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5940" windowWidth="19260" windowHeight="6000" tabRatio="955" firstSheet="1" activeTab="1"/>
  </bookViews>
  <sheets>
    <sheet name="MACROS" sheetId="1" state="hidden" r:id="rId1"/>
    <sheet name="CONTENTS" sheetId="2" r:id="rId2"/>
    <sheet name="FORM-10 (A-F)" sheetId="3" r:id="rId3"/>
    <sheet name="Breakdown" sheetId="4" r:id="rId4"/>
    <sheet name="RFA Sheet" sheetId="5" r:id="rId5"/>
    <sheet name="Cash Flow" sheetId="6" r:id="rId6"/>
    <sheet name="Project Presentation" sheetId="7" r:id="rId7"/>
    <sheet name="Closing Statement" sheetId="8" r:id="rId8"/>
    <sheet name="CONTENTS TC" sheetId="9" r:id="rId9"/>
    <sheet name="Signature Page" sheetId="10" r:id="rId10"/>
    <sheet name="Rent Qual. Chart" sheetId="11" r:id="rId11"/>
    <sheet name="EligBasisLimits" sheetId="12" r:id="rId12"/>
    <sheet name="Carryover" sheetId="13" r:id="rId13"/>
    <sheet name="Ties" sheetId="14" r:id="rId14"/>
    <sheet name="Percentage_Limits" sheetId="15" r:id="rId15"/>
    <sheet name="OPER INCOME" sheetId="16" r:id="rId16"/>
    <sheet name="NOI" sheetId="17" r:id="rId17"/>
  </sheets>
  <externalReferences>
    <externalReference r:id="rId20"/>
    <externalReference r:id="rId21"/>
    <externalReference r:id="rId22"/>
    <externalReference r:id="rId23"/>
  </externalReferences>
  <definedNames>
    <definedName name="_xlfn.IFERROR" hidden="1">#NAME?</definedName>
    <definedName name="_xlfn.SINGLE" hidden="1">#NAME?</definedName>
    <definedName name="a" localSheetId="3">'Breakdown'!$J$30:$J$31,'Breakdown'!$H$30:$H$31,'Breakdown'!$F$30:$F$31,'Breakdown'!$J$38:$J$48,'Breakdown'!$J$52:$J$61,'Breakdown'!$F$67:$F$75,'Breakdown'!$B$84:$F$91,'Breakdown'!$H$84:$H$91,'Breakdown'!$C$98:$G$98,'Breakdown'!$C$100:$D$100</definedName>
    <definedName name="a" localSheetId="12">'Breakdown'!$J$30:$J$31,'Breakdown'!$H$30:$H$31,'Breakdown'!$F$30:$F$31,'Breakdown'!$J$38:$J$48,'Breakdown'!$J$52:$J$61,'Breakdown'!$F$67:$F$75,'Breakdown'!$B$84:$F$91,'Breakdown'!$H$84:$H$91,'Breakdown'!$C$98:$G$98,'Breakdown'!$C$100:$D$100</definedName>
    <definedName name="a" localSheetId="16">'Breakdown'!$J$30:$J$31,'Breakdown'!$H$30:$H$31,'Breakdown'!$F$30:$F$31,'Breakdown'!$J$38:$J$48,'Breakdown'!$J$52:$J$61,'Breakdown'!$F$67:$F$75,'Breakdown'!$B$84:$F$91,'Breakdown'!$H$84:$H$91,'Breakdown'!$C$98:$G$98,'Breakdown'!$C$100:$D$100</definedName>
    <definedName name="a" localSheetId="15">'Breakdown'!$J$30:$J$31,'Breakdown'!$H$30:$H$31,'Breakdown'!$F$30:$F$31,'Breakdown'!$J$38:$J$48,'Breakdown'!$J$52:$J$61,'Breakdown'!$F$67:$F$75,'Breakdown'!$B$84:$F$91,'Breakdown'!$H$84:$H$91,'Breakdown'!$C$98:$G$98,'Breakdown'!$C$100:$D$100</definedName>
    <definedName name="a" localSheetId="14">'Breakdown'!$J$30:$J$31,'Breakdown'!$H$30:$H$31,'Breakdown'!$F$30:$F$31,'Breakdown'!$J$38:$J$48,'Breakdown'!$J$52:$J$61,'Breakdown'!$F$67:$F$75,'Breakdown'!$B$84:$F$91,'Breakdown'!$H$84:$H$91,'Breakdown'!$C$98:$G$98,'Breakdown'!$C$100:$D$100</definedName>
    <definedName name="a" localSheetId="9">'[1]Breakdown'!$J$30:$J$31,'[1]Breakdown'!$H$30:$H$31,'[1]Breakdown'!$F$30:$F$31,'[1]Breakdown'!$J$38:$J$47,'[1]Breakdown'!$J$50:$J$58,'[1]Breakdown'!$F$63:$F$72,'[1]Breakdown'!$B$81:$F$87,'[1]Breakdown'!$H$81:$H$87,'[1]Breakdown'!$C$94:$G$94,'[1]Breakdown'!$C$96:$D$96</definedName>
    <definedName name="a" localSheetId="13">'Breakdown'!$J$30:$J$31,'Breakdown'!$H$30:$H$31,'Breakdown'!$F$30:$F$31,'Breakdown'!$J$38:$J$48,'Breakdown'!$J$52:$J$61,'Breakdown'!$F$67:$F$75,'Breakdown'!$B$84:$F$91,'Breakdown'!$H$84:$H$91,'Breakdown'!$C$98:$G$98,'Breakdown'!$C$100:$D$100</definedName>
    <definedName name="a">#REF!,#REF!,#REF!,#REF!,#REF!,#REF!,#REF!,#REF!,#REF!,#REF!</definedName>
    <definedName name="ACREAGE" localSheetId="2">'FORM-10 (A-F)'!$E$120:$E$120</definedName>
    <definedName name="ACREAGE">#REF!</definedName>
    <definedName name="AGENCY_DEBTSERV" localSheetId="2">'FORM-10 (A-F)'!$F$456</definedName>
    <definedName name="AGENCY_DEBTSERV">#REF!</definedName>
    <definedName name="BR_1" localSheetId="2">'FORM-10 (A-F)'!$D$51:$D$51</definedName>
    <definedName name="BR_1">#REF!</definedName>
    <definedName name="BR_10" localSheetId="2">'FORM-10 (A-F)'!$D$60</definedName>
    <definedName name="BR_10">#REF!</definedName>
    <definedName name="BR_11" localSheetId="3">#REF!</definedName>
    <definedName name="BR_11" localSheetId="12">#REF!</definedName>
    <definedName name="BR_11" localSheetId="16">#REF!</definedName>
    <definedName name="BR_11" localSheetId="15">#REF!</definedName>
    <definedName name="BR_11" localSheetId="14">#REF!</definedName>
    <definedName name="BR_11" localSheetId="9">#REF!</definedName>
    <definedName name="BR_11" localSheetId="13">#REF!</definedName>
    <definedName name="BR_11">'FORM-10 (A-F)'!$D$61</definedName>
    <definedName name="BR_12" localSheetId="3">#REF!</definedName>
    <definedName name="BR_12" localSheetId="12">#REF!</definedName>
    <definedName name="BR_12" localSheetId="16">#REF!</definedName>
    <definedName name="BR_12" localSheetId="15">#REF!</definedName>
    <definedName name="BR_12" localSheetId="14">#REF!</definedName>
    <definedName name="BR_12" localSheetId="9">#REF!</definedName>
    <definedName name="BR_12" localSheetId="13">#REF!</definedName>
    <definedName name="BR_12">'FORM-10 (A-F)'!$D$62</definedName>
    <definedName name="BR_13" localSheetId="3">#REF!</definedName>
    <definedName name="BR_13" localSheetId="12">#REF!</definedName>
    <definedName name="BR_13" localSheetId="16">#REF!</definedName>
    <definedName name="BR_13" localSheetId="15">#REF!</definedName>
    <definedName name="BR_13" localSheetId="14">#REF!</definedName>
    <definedName name="BR_13" localSheetId="9">#REF!</definedName>
    <definedName name="BR_13" localSheetId="13">#REF!</definedName>
    <definedName name="BR_13">'FORM-10 (A-F)'!$D$63</definedName>
    <definedName name="BR_14" localSheetId="3">#REF!</definedName>
    <definedName name="BR_14" localSheetId="12">#REF!</definedName>
    <definedName name="BR_14" localSheetId="16">#REF!</definedName>
    <definedName name="BR_14" localSheetId="15">#REF!</definedName>
    <definedName name="BR_14" localSheetId="14">#REF!</definedName>
    <definedName name="BR_14" localSheetId="9">#REF!</definedName>
    <definedName name="BR_14" localSheetId="13">#REF!</definedName>
    <definedName name="BR_14">'FORM-10 (A-F)'!$D$65</definedName>
    <definedName name="BR_15" localSheetId="3">#REF!</definedName>
    <definedName name="BR_15" localSheetId="12">#REF!</definedName>
    <definedName name="BR_15" localSheetId="16">#REF!</definedName>
    <definedName name="BR_15" localSheetId="15">#REF!</definedName>
    <definedName name="BR_15" localSheetId="14">#REF!</definedName>
    <definedName name="BR_15" localSheetId="9">#REF!</definedName>
    <definedName name="BR_15" localSheetId="13">#REF!</definedName>
    <definedName name="BR_15">'FORM-10 (A-F)'!$D$66</definedName>
    <definedName name="BR_16" localSheetId="3">#REF!</definedName>
    <definedName name="BR_16" localSheetId="12">#REF!</definedName>
    <definedName name="BR_16" localSheetId="16">#REF!</definedName>
    <definedName name="BR_16" localSheetId="15">#REF!</definedName>
    <definedName name="BR_16" localSheetId="14">#REF!</definedName>
    <definedName name="BR_16" localSheetId="9">#REF!</definedName>
    <definedName name="BR_16" localSheetId="13">#REF!</definedName>
    <definedName name="BR_16">'FORM-10 (A-F)'!$D$67</definedName>
    <definedName name="BR_17" localSheetId="3">#REF!</definedName>
    <definedName name="BR_17" localSheetId="12">#REF!</definedName>
    <definedName name="BR_17" localSheetId="16">#REF!</definedName>
    <definedName name="BR_17" localSheetId="15">#REF!</definedName>
    <definedName name="BR_17" localSheetId="14">#REF!</definedName>
    <definedName name="BR_17" localSheetId="9">#REF!</definedName>
    <definedName name="BR_17" localSheetId="13">#REF!</definedName>
    <definedName name="BR_17">'FORM-10 (A-F)'!$D$69</definedName>
    <definedName name="BR_18" localSheetId="3">#REF!</definedName>
    <definedName name="BR_18" localSheetId="12">#REF!</definedName>
    <definedName name="BR_18" localSheetId="16">#REF!</definedName>
    <definedName name="BR_18" localSheetId="15">#REF!</definedName>
    <definedName name="BR_18" localSheetId="14">#REF!</definedName>
    <definedName name="BR_18" localSheetId="9">#REF!</definedName>
    <definedName name="BR_18" localSheetId="13">#REF!</definedName>
    <definedName name="BR_18">'FORM-10 (A-F)'!$D$70</definedName>
    <definedName name="BR_19" localSheetId="3">#REF!</definedName>
    <definedName name="BR_19" localSheetId="12">#REF!</definedName>
    <definedName name="BR_19" localSheetId="16">#REF!</definedName>
    <definedName name="BR_19" localSheetId="15">#REF!</definedName>
    <definedName name="BR_19" localSheetId="14">#REF!</definedName>
    <definedName name="BR_19" localSheetId="9">#REF!</definedName>
    <definedName name="BR_19" localSheetId="13">#REF!</definedName>
    <definedName name="BR_19">'FORM-10 (A-F)'!$D$71</definedName>
    <definedName name="BR_2" localSheetId="2">'FORM-10 (A-F)'!$D$52:$D$52</definedName>
    <definedName name="BR_2">#REF!</definedName>
    <definedName name="BR_3" localSheetId="2">'FORM-10 (A-F)'!$D$53:$D$53</definedName>
    <definedName name="BR_3">#REF!</definedName>
    <definedName name="BR_4" localSheetId="2">'FORM-10 (A-F)'!$D$54:$D$54</definedName>
    <definedName name="BR_4">#REF!</definedName>
    <definedName name="BR_5" localSheetId="2">'FORM-10 (A-F)'!$D$55:$D$55</definedName>
    <definedName name="BR_5">#REF!</definedName>
    <definedName name="BR_6" localSheetId="2">'FORM-10 (A-F)'!$D$56</definedName>
    <definedName name="BR_6">#REF!</definedName>
    <definedName name="BR_7" localSheetId="2">'FORM-10 (A-F)'!$D$57</definedName>
    <definedName name="BR_7">#REF!</definedName>
    <definedName name="BR_8" localSheetId="2">'FORM-10 (A-F)'!$D$58</definedName>
    <definedName name="BR_8">#REF!</definedName>
    <definedName name="BR_9" localSheetId="2">'FORM-10 (A-F)'!$D$59</definedName>
    <definedName name="BR_9">#REF!</definedName>
    <definedName name="CARRY_PERC" localSheetId="2">'FORM-10 (A-F)'!$C$164:$C$164</definedName>
    <definedName name="CARRY_PERC">#REF!</definedName>
    <definedName name="CASHFLOW" localSheetId="3">#REF!</definedName>
    <definedName name="CASHFLOW" localSheetId="12">#REF!</definedName>
    <definedName name="CASHFLOW" localSheetId="8">#REF!</definedName>
    <definedName name="CASHFLOW" localSheetId="16">#REF!</definedName>
    <definedName name="CASHFLOW" localSheetId="15">#REF!</definedName>
    <definedName name="CASHFLOW" localSheetId="14">#REF!</definedName>
    <definedName name="CASHFLOW" localSheetId="9">#REF!</definedName>
    <definedName name="CASHFLOW" localSheetId="13">#REF!</definedName>
    <definedName name="CASHFLOW">'Cash Flow'!$A$1:$AG$85</definedName>
    <definedName name="CLOSING" localSheetId="2">'FORM-10 (A-F)'!$A$10</definedName>
    <definedName name="CLOSING">#REF!</definedName>
    <definedName name="CNTRCTFE" localSheetId="2">'FORM-10 (A-F)'!$H$134</definedName>
    <definedName name="CNTRCTFE">#REF!</definedName>
    <definedName name="COMMIT" localSheetId="2">'FORM-10 (A-F)'!$A$7</definedName>
    <definedName name="COMMIT">#REF!</definedName>
    <definedName name="CONSTERM" localSheetId="2">'FORM-10 (A-F)'!$C$33:$C$33</definedName>
    <definedName name="CONSTERM">#REF!</definedName>
    <definedName name="CONSTR" localSheetId="3">#REF!</definedName>
    <definedName name="CONSTR" localSheetId="12">#REF!</definedName>
    <definedName name="CONSTR" localSheetId="1">'[3]FORM-10 (A-F)'!$J$136</definedName>
    <definedName name="CONSTR" localSheetId="8">'[3]FORM-10 (A-F)'!$J$136</definedName>
    <definedName name="CONSTR" localSheetId="16">#REF!</definedName>
    <definedName name="CONSTR" localSheetId="15">#REF!</definedName>
    <definedName name="CONSTR" localSheetId="14">#REF!</definedName>
    <definedName name="CONSTR" localSheetId="9">#REF!</definedName>
    <definedName name="CONSTR" localSheetId="13">#REF!</definedName>
    <definedName name="CONSTR">'FORM-10 (A-F)'!$J$137</definedName>
    <definedName name="COUNTY" localSheetId="2">'FORM-10 (A-F)'!$B$18:$B$18</definedName>
    <definedName name="COUNTY">#REF!</definedName>
    <definedName name="DATE_PRP" localSheetId="2">'FORM-10 (A-F)'!$F$8:$F$8</definedName>
    <definedName name="DATE_PRP">#REF!</definedName>
    <definedName name="DEBT_OTH" localSheetId="2">'FORM-10 (A-F)'!$F$459:$F$459</definedName>
    <definedName name="DEBT_OTH">#REF!</definedName>
    <definedName name="DEV_NAME" localSheetId="2">'FORM-10 (A-F)'!$C$12:$C$12</definedName>
    <definedName name="DEV_NAME">#REF!</definedName>
    <definedName name="DEV_STREET" localSheetId="2">'FORM-10 (A-F)'!$C$14</definedName>
    <definedName name="DEV_STREET">#REF!</definedName>
    <definedName name="DEVELOPMENT">'Cash Flow'!$A$1:$AJ$84</definedName>
    <definedName name="DEVFEE" localSheetId="3">#REF!</definedName>
    <definedName name="DEVFEE" localSheetId="12">#REF!</definedName>
    <definedName name="DEVFEE" localSheetId="1">'[4]FORM-10 (A-F)'!#REF!</definedName>
    <definedName name="DEVFEE" localSheetId="8">'[3]FORM-10 (A-F)'!$J$173</definedName>
    <definedName name="DEVFEE" localSheetId="16">#REF!</definedName>
    <definedName name="DEVFEE" localSheetId="15">#REF!</definedName>
    <definedName name="DEVFEE" localSheetId="14">#REF!</definedName>
    <definedName name="DEVFEE" localSheetId="9">#REF!</definedName>
    <definedName name="DEVFEE" localSheetId="13">#REF!</definedName>
    <definedName name="DEVFEE">'FORM-10 (A-F)'!#REF!</definedName>
    <definedName name="DEVFEE_PERC" localSheetId="3">#REF!</definedName>
    <definedName name="DEVFEE_PERC" localSheetId="12">#REF!</definedName>
    <definedName name="DEVFEE_PERC" localSheetId="1">'[4]FORM-10 (A-F)'!#REF!</definedName>
    <definedName name="DEVFEE_PERC" localSheetId="8">#REF!</definedName>
    <definedName name="DEVFEE_PERC" localSheetId="16">#REF!</definedName>
    <definedName name="DEVFEE_PERC" localSheetId="15">#REF!</definedName>
    <definedName name="DEVFEE_PERC" localSheetId="14">#REF!</definedName>
    <definedName name="DEVFEE_PERC" localSheetId="9">#REF!</definedName>
    <definedName name="DEVFEE_PERC" localSheetId="13">#REF!</definedName>
    <definedName name="DEVFEE_PERC">'FORM-10 (A-F)'!#REF!</definedName>
    <definedName name="DSR" localSheetId="3">#REF!</definedName>
    <definedName name="DSR" localSheetId="12">#REF!</definedName>
    <definedName name="DSR" localSheetId="1">'[3]FORM-10 (A-F)'!$M$498</definedName>
    <definedName name="DSR" localSheetId="8">'[3]FORM-10 (A-F)'!$M$498</definedName>
    <definedName name="DSR" localSheetId="16">#REF!</definedName>
    <definedName name="DSR" localSheetId="15">#REF!</definedName>
    <definedName name="DSR" localSheetId="14">#REF!</definedName>
    <definedName name="DSR" localSheetId="9">#REF!</definedName>
    <definedName name="DSR" localSheetId="13">#REF!</definedName>
    <definedName name="DSR">'FORM-10 (A-F)'!$M$487</definedName>
    <definedName name="DSR_SOLV" localSheetId="3">#REF!</definedName>
    <definedName name="DSR_SOLV" localSheetId="12">#REF!</definedName>
    <definedName name="DSR_SOLV" localSheetId="16">#REF!</definedName>
    <definedName name="DSR_SOLV" localSheetId="15">#REF!</definedName>
    <definedName name="DSR_SOLV" localSheetId="14">#REF!</definedName>
    <definedName name="DSR_SOLV" localSheetId="9">#REF!</definedName>
    <definedName name="DSR_SOLV" localSheetId="13">#REF!</definedName>
    <definedName name="DSR_SOLV">'FORM-10 (A-F)'!$G$475</definedName>
    <definedName name="DU_1" localSheetId="2">'FORM-10 (A-F)'!$F$51:$F$51</definedName>
    <definedName name="DU_1">#REF!</definedName>
    <definedName name="DU_10" localSheetId="2">'FORM-10 (A-F)'!$F$60</definedName>
    <definedName name="DU_10">#REF!</definedName>
    <definedName name="DU_11" localSheetId="3">#REF!</definedName>
    <definedName name="DU_11" localSheetId="12">#REF!</definedName>
    <definedName name="DU_11" localSheetId="16">#REF!</definedName>
    <definedName name="DU_11" localSheetId="15">#REF!</definedName>
    <definedName name="DU_11" localSheetId="14">#REF!</definedName>
    <definedName name="DU_11" localSheetId="9">#REF!</definedName>
    <definedName name="DU_11" localSheetId="13">#REF!</definedName>
    <definedName name="DU_11">'FORM-10 (A-F)'!$F$61</definedName>
    <definedName name="DU_12" localSheetId="3">#REF!</definedName>
    <definedName name="DU_12" localSheetId="12">#REF!</definedName>
    <definedName name="DU_12" localSheetId="16">#REF!</definedName>
    <definedName name="DU_12" localSheetId="15">#REF!</definedName>
    <definedName name="DU_12" localSheetId="14">#REF!</definedName>
    <definedName name="DU_12" localSheetId="9">#REF!</definedName>
    <definedName name="DU_12" localSheetId="13">#REF!</definedName>
    <definedName name="DU_12">'FORM-10 (A-F)'!$F$62</definedName>
    <definedName name="DU_13" localSheetId="3">#REF!</definedName>
    <definedName name="DU_13" localSheetId="12">#REF!</definedName>
    <definedName name="DU_13" localSheetId="16">#REF!</definedName>
    <definedName name="DU_13" localSheetId="15">#REF!</definedName>
    <definedName name="DU_13" localSheetId="14">#REF!</definedName>
    <definedName name="DU_13" localSheetId="9">#REF!</definedName>
    <definedName name="DU_13" localSheetId="13">#REF!</definedName>
    <definedName name="DU_13">'FORM-10 (A-F)'!$F$63</definedName>
    <definedName name="DU_14" localSheetId="3">#REF!</definedName>
    <definedName name="DU_14" localSheetId="12">#REF!</definedName>
    <definedName name="DU_14" localSheetId="16">#REF!</definedName>
    <definedName name="DU_14" localSheetId="15">#REF!</definedName>
    <definedName name="DU_14" localSheetId="14">#REF!</definedName>
    <definedName name="DU_14" localSheetId="9">#REF!</definedName>
    <definedName name="DU_14" localSheetId="13">#REF!</definedName>
    <definedName name="DU_14">'FORM-10 (A-F)'!$F$65</definedName>
    <definedName name="DU_15" localSheetId="3">#REF!</definedName>
    <definedName name="DU_15" localSheetId="12">#REF!</definedName>
    <definedName name="DU_15" localSheetId="16">#REF!</definedName>
    <definedName name="DU_15" localSheetId="15">#REF!</definedName>
    <definedName name="DU_15" localSheetId="14">#REF!</definedName>
    <definedName name="DU_15" localSheetId="9">#REF!</definedName>
    <definedName name="DU_15" localSheetId="13">#REF!</definedName>
    <definedName name="DU_15">'FORM-10 (A-F)'!$F$66</definedName>
    <definedName name="DU_16" localSheetId="3">#REF!</definedName>
    <definedName name="DU_16" localSheetId="12">#REF!</definedName>
    <definedName name="DU_16" localSheetId="16">#REF!</definedName>
    <definedName name="DU_16" localSheetId="15">#REF!</definedName>
    <definedName name="DU_16" localSheetId="14">#REF!</definedName>
    <definedName name="DU_16" localSheetId="9">#REF!</definedName>
    <definedName name="DU_16" localSheetId="13">#REF!</definedName>
    <definedName name="DU_16">'FORM-10 (A-F)'!$F$67</definedName>
    <definedName name="DU_17" localSheetId="3">#REF!</definedName>
    <definedName name="DU_17" localSheetId="12">#REF!</definedName>
    <definedName name="DU_17" localSheetId="16">#REF!</definedName>
    <definedName name="DU_17" localSheetId="15">#REF!</definedName>
    <definedName name="DU_17" localSheetId="14">#REF!</definedName>
    <definedName name="DU_17" localSheetId="9">#REF!</definedName>
    <definedName name="DU_17" localSheetId="13">#REF!</definedName>
    <definedName name="DU_17">'FORM-10 (A-F)'!$F$68</definedName>
    <definedName name="DU_18" localSheetId="3">#REF!</definedName>
    <definedName name="DU_18" localSheetId="12">#REF!</definedName>
    <definedName name="DU_18" localSheetId="16">#REF!</definedName>
    <definedName name="DU_18" localSheetId="15">#REF!</definedName>
    <definedName name="DU_18" localSheetId="14">#REF!</definedName>
    <definedName name="DU_18" localSheetId="9">#REF!</definedName>
    <definedName name="DU_18" localSheetId="13">#REF!</definedName>
    <definedName name="DU_18">'FORM-10 (A-F)'!$F$69</definedName>
    <definedName name="DU_19" localSheetId="3">#REF!</definedName>
    <definedName name="DU_19" localSheetId="12">#REF!</definedName>
    <definedName name="DU_19" localSheetId="16">#REF!</definedName>
    <definedName name="DU_19" localSheetId="15">#REF!</definedName>
    <definedName name="DU_19" localSheetId="14">#REF!</definedName>
    <definedName name="DU_19" localSheetId="9">#REF!</definedName>
    <definedName name="DU_19" localSheetId="13">#REF!</definedName>
    <definedName name="DU_19">'FORM-10 (A-F)'!$F$70</definedName>
    <definedName name="DU_2" localSheetId="2">'FORM-10 (A-F)'!$F$52:$F$52</definedName>
    <definedName name="DU_2">#REF!</definedName>
    <definedName name="DU_20" localSheetId="3">#REF!</definedName>
    <definedName name="DU_20" localSheetId="12">#REF!</definedName>
    <definedName name="DU_20" localSheetId="16">#REF!</definedName>
    <definedName name="DU_20" localSheetId="15">#REF!</definedName>
    <definedName name="DU_20" localSheetId="14">#REF!</definedName>
    <definedName name="DU_20" localSheetId="9">#REF!</definedName>
    <definedName name="DU_20" localSheetId="13">#REF!</definedName>
    <definedName name="DU_20">'FORM-10 (A-F)'!$F$71</definedName>
    <definedName name="DU_3" localSheetId="2">'FORM-10 (A-F)'!$F$53:$F$53</definedName>
    <definedName name="DU_3">#REF!</definedName>
    <definedName name="DU_4" localSheetId="2">'FORM-10 (A-F)'!$F$54:$F$54</definedName>
    <definedName name="DU_4">#REF!</definedName>
    <definedName name="DU_5" localSheetId="2">'FORM-10 (A-F)'!$F$55:$F$55</definedName>
    <definedName name="DU_5">#REF!</definedName>
    <definedName name="DU_6" localSheetId="2">'FORM-10 (A-F)'!$F$56</definedName>
    <definedName name="DU_6">#REF!</definedName>
    <definedName name="DU_7" localSheetId="2">'FORM-10 (A-F)'!$F$57</definedName>
    <definedName name="DU_7">#REF!</definedName>
    <definedName name="DU_8" localSheetId="2">'FORM-10 (A-F)'!$F$58</definedName>
    <definedName name="DU_8">#REF!</definedName>
    <definedName name="DU_9" localSheetId="2">'FORM-10 (A-F)'!$F$59</definedName>
    <definedName name="DU_9">#REF!</definedName>
    <definedName name="DWELUNIT" localSheetId="2">'FORM-10 (A-F)'!$F$73:$F$73</definedName>
    <definedName name="DWELUNIT">#REF!</definedName>
    <definedName name="ERR1" localSheetId="2">'FORM-10 (A-F)'!$S$738:$S$739</definedName>
    <definedName name="ERR1">#REF!</definedName>
    <definedName name="F10A" localSheetId="3">#REF!</definedName>
    <definedName name="F10A" localSheetId="12">#REF!</definedName>
    <definedName name="F10A" localSheetId="16">#REF!</definedName>
    <definedName name="F10A" localSheetId="15">#REF!</definedName>
    <definedName name="F10A" localSheetId="14">#REF!</definedName>
    <definedName name="F10A" localSheetId="9">#REF!</definedName>
    <definedName name="F10A" localSheetId="13">#REF!</definedName>
    <definedName name="F10A">'FORM-10 (A-F)'!$A$2:$J$77</definedName>
    <definedName name="F10B" localSheetId="3">#REF!</definedName>
    <definedName name="F10B" localSheetId="12">#REF!</definedName>
    <definedName name="F10B" localSheetId="16">#REF!</definedName>
    <definedName name="F10B" localSheetId="15">#REF!</definedName>
    <definedName name="F10B" localSheetId="14">#REF!</definedName>
    <definedName name="F10B" localSheetId="9">#REF!</definedName>
    <definedName name="F10B" localSheetId="13">#REF!</definedName>
    <definedName name="F10B">'FORM-10 (A-F)'!$A$93:$J$235</definedName>
    <definedName name="F10C" localSheetId="3">#REF!</definedName>
    <definedName name="F10C" localSheetId="12">#REF!</definedName>
    <definedName name="F10C" localSheetId="16">#REF!</definedName>
    <definedName name="F10C" localSheetId="15">#REF!</definedName>
    <definedName name="F10C" localSheetId="14">#REF!</definedName>
    <definedName name="F10C" localSheetId="9">#REF!</definedName>
    <definedName name="F10C" localSheetId="13">#REF!</definedName>
    <definedName name="F10C">'FORM-10 (A-F)'!$A$238:$J$300</definedName>
    <definedName name="F10D" localSheetId="3">#REF!</definedName>
    <definedName name="F10D" localSheetId="12">#REF!</definedName>
    <definedName name="F10D" localSheetId="16">#REF!</definedName>
    <definedName name="F10D" localSheetId="15">#REF!</definedName>
    <definedName name="F10D" localSheetId="14">#REF!</definedName>
    <definedName name="F10D" localSheetId="9">#REF!</definedName>
    <definedName name="F10D" localSheetId="13">#REF!</definedName>
    <definedName name="F10D">'FORM-10 (A-F)'!$A$318:$J$394</definedName>
    <definedName name="F10E" localSheetId="3">#REF!</definedName>
    <definedName name="F10E" localSheetId="12">#REF!</definedName>
    <definedName name="F10E" localSheetId="16">#REF!</definedName>
    <definedName name="F10E" localSheetId="15">#REF!</definedName>
    <definedName name="F10E" localSheetId="14">#REF!</definedName>
    <definedName name="F10E" localSheetId="9">#REF!</definedName>
    <definedName name="F10E" localSheetId="13">#REF!</definedName>
    <definedName name="F10E">'FORM-10 (A-F)'!$A$408:$J$481</definedName>
    <definedName name="FEDERAL_LOW_INCOME_HOUSING_TAX_CREDITS" localSheetId="1">#REF!</definedName>
    <definedName name="FEDERAL_LOW_INCOME_HOUSING_TAX_CREDITS" localSheetId="8">#REF!</definedName>
    <definedName name="FEDERAL_LOW_INCOME_HOUSING_TAX_CREDITS">'NOI'!$A$1:$X$57</definedName>
    <definedName name="FINANCE1" localSheetId="2">'FORM-10 (A-F)'!$C$38:$C$38</definedName>
    <definedName name="FINANCE1">#REF!</definedName>
    <definedName name="FINANCE2" localSheetId="2">'FORM-10 (A-F)'!$C$39:$C$39</definedName>
    <definedName name="FINANCE2">#REF!</definedName>
    <definedName name="FINANCE3" localSheetId="2">'FORM-10 (A-F)'!$C$40:$C$40</definedName>
    <definedName name="FINANCE3">#REF!</definedName>
    <definedName name="form10E">#REF!</definedName>
    <definedName name="form10F">#REF!</definedName>
    <definedName name="Form10G">#REF!</definedName>
    <definedName name="FUNDA_AMT" localSheetId="2">'FORM-10 (A-F)'!$J$107</definedName>
    <definedName name="FUNDA_AMT">#REF!</definedName>
    <definedName name="FUNDA_DESC" localSheetId="2">'FORM-10 (A-F)'!$B$107</definedName>
    <definedName name="FUNDA_DESC">#REF!</definedName>
    <definedName name="FUNDA_FLAG" localSheetId="2">'FORM-10 (A-F)'!$G$107</definedName>
    <definedName name="FUNDA_FLAG">#REF!</definedName>
    <definedName name="FUNDB_AMT" localSheetId="2">'FORM-10 (A-F)'!$J$108</definedName>
    <definedName name="FUNDB_AMT">#REF!</definedName>
    <definedName name="FUNDB_DESC" localSheetId="2">'FORM-10 (A-F)'!$B$108</definedName>
    <definedName name="FUNDB_DESC">#REF!</definedName>
    <definedName name="FUNDB_FLAG" localSheetId="2">'FORM-10 (A-F)'!$G$108</definedName>
    <definedName name="FUNDB_FLAG">#REF!</definedName>
    <definedName name="FUNDC_AMT" localSheetId="2">'FORM-10 (A-F)'!$J$109</definedName>
    <definedName name="FUNDC_AMT">#REF!</definedName>
    <definedName name="FUNDC_DESC" localSheetId="2">'FORM-10 (A-F)'!$B$109</definedName>
    <definedName name="FUNDC_DESC">#REF!</definedName>
    <definedName name="FUNDC_FLAG" localSheetId="2">'FORM-10 (A-F)'!$G$109</definedName>
    <definedName name="FUNDC_FLAG">#REF!</definedName>
    <definedName name="FUNDD_AMT" localSheetId="2">'FORM-10 (A-F)'!$J$110</definedName>
    <definedName name="FUNDD_AMT">#REF!</definedName>
    <definedName name="FUNDD_DESC" localSheetId="2">'FORM-10 (A-F)'!$B$110</definedName>
    <definedName name="FUNDD_DESC">#REF!</definedName>
    <definedName name="FUNDD_FLAG" localSheetId="2">'FORM-10 (A-F)'!$G$110</definedName>
    <definedName name="FUNDD_FLAG">#REF!</definedName>
    <definedName name="FUNDE_AMT" localSheetId="2">'FORM-10 (A-F)'!$J$111</definedName>
    <definedName name="FUNDE_AMT">#REF!</definedName>
    <definedName name="FUNDE_DESC" localSheetId="2">'FORM-10 (A-F)'!$B$111</definedName>
    <definedName name="FUNDE_DESC">#REF!</definedName>
    <definedName name="FUNDE_FLAG" localSheetId="2">'FORM-10 (A-F)'!$G$111</definedName>
    <definedName name="FUNDE_FLAG">#REF!</definedName>
    <definedName name="FUNDF_AMT" localSheetId="2">'FORM-10 (A-F)'!$J$112</definedName>
    <definedName name="FUNDF_AMT">#REF!</definedName>
    <definedName name="FUNDF_DESC" localSheetId="3">#REF!</definedName>
    <definedName name="FUNDF_DESC" localSheetId="12">#REF!</definedName>
    <definedName name="FUNDF_DESC" localSheetId="16">#REF!</definedName>
    <definedName name="FUNDF_DESC" localSheetId="15">#REF!</definedName>
    <definedName name="FUNDF_DESC" localSheetId="14">#REF!</definedName>
    <definedName name="FUNDF_DESC" localSheetId="9">#REF!</definedName>
    <definedName name="FUNDF_DESC" localSheetId="13">#REF!</definedName>
    <definedName name="FUNDF_DESC">'FORM-10 (A-F)'!$B$112:$E$112</definedName>
    <definedName name="FUNDF_FLAG" localSheetId="2">'FORM-10 (A-F)'!$G$112</definedName>
    <definedName name="FUNDF_FLAG">#REF!</definedName>
    <definedName name="FUNDG_AMT" localSheetId="3">#REF!</definedName>
    <definedName name="FUNDG_AMT" localSheetId="12">#REF!</definedName>
    <definedName name="FUNDG_AMT" localSheetId="16">#REF!</definedName>
    <definedName name="FUNDG_AMT" localSheetId="15">#REF!</definedName>
    <definedName name="FUNDG_AMT" localSheetId="14">#REF!</definedName>
    <definedName name="FUNDG_AMT" localSheetId="9">#REF!</definedName>
    <definedName name="FUNDG_AMT" localSheetId="13">#REF!</definedName>
    <definedName name="FUNDG_AMT">'FORM-10 (A-F)'!$J$113</definedName>
    <definedName name="FUNDG_DESC" localSheetId="3">#REF!</definedName>
    <definedName name="FUNDG_DESC" localSheetId="12">#REF!</definedName>
    <definedName name="FUNDG_DESC" localSheetId="16">#REF!</definedName>
    <definedName name="FUNDG_DESC" localSheetId="15">#REF!</definedName>
    <definedName name="FUNDG_DESC" localSheetId="14">#REF!</definedName>
    <definedName name="FUNDG_DESC" localSheetId="9">#REF!</definedName>
    <definedName name="FUNDG_DESC" localSheetId="13">#REF!</definedName>
    <definedName name="FUNDG_DESC">'FORM-10 (A-F)'!$B$113</definedName>
    <definedName name="FUNDG_FLAG" localSheetId="3">#REF!</definedName>
    <definedName name="FUNDG_FLAG" localSheetId="12">#REF!</definedName>
    <definedName name="FUNDG_FLAG" localSheetId="16">#REF!</definedName>
    <definedName name="FUNDG_FLAG" localSheetId="15">#REF!</definedName>
    <definedName name="FUNDG_FLAG" localSheetId="14">#REF!</definedName>
    <definedName name="FUNDG_FLAG" localSheetId="9">#REF!</definedName>
    <definedName name="FUNDG_FLAG" localSheetId="13">#REF!</definedName>
    <definedName name="FUNDG_FLAG">'FORM-10 (A-F)'!$G$113</definedName>
    <definedName name="FUNDH_AMT" localSheetId="3">#REF!</definedName>
    <definedName name="FUNDH_AMT" localSheetId="12">#REF!</definedName>
    <definedName name="FUNDH_AMT" localSheetId="1">'[3]FORM-10 (A-F)'!$J$112</definedName>
    <definedName name="FUNDH_AMT" localSheetId="8">'[3]FORM-10 (A-F)'!$J$112</definedName>
    <definedName name="FUNDH_AMT" localSheetId="16">#REF!</definedName>
    <definedName name="FUNDH_AMT" localSheetId="15">#REF!</definedName>
    <definedName name="FUNDH_AMT" localSheetId="14">#REF!</definedName>
    <definedName name="FUNDH_AMT" localSheetId="9">#REF!</definedName>
    <definedName name="FUNDH_AMT" localSheetId="13">#REF!</definedName>
    <definedName name="FUNDH_AMT">'FORM-10 (A-F)'!$J$114</definedName>
    <definedName name="FUNDH_DESC" localSheetId="3">#REF!</definedName>
    <definedName name="FUNDH_DESC" localSheetId="12">#REF!</definedName>
    <definedName name="FUNDH_DESC" localSheetId="16">#REF!</definedName>
    <definedName name="FUNDH_DESC" localSheetId="15">#REF!</definedName>
    <definedName name="FUNDH_DESC" localSheetId="14">#REF!</definedName>
    <definedName name="FUNDH_DESC" localSheetId="9">#REF!</definedName>
    <definedName name="FUNDH_DESC" localSheetId="13">#REF!</definedName>
    <definedName name="FUNDH_DESC">'FORM-10 (A-F)'!$B$114</definedName>
    <definedName name="FUNDH_FLAG" localSheetId="3">#REF!</definedName>
    <definedName name="FUNDH_FLAG" localSheetId="12">#REF!</definedName>
    <definedName name="FUNDH_FLAG" localSheetId="16">#REF!</definedName>
    <definedName name="FUNDH_FLAG" localSheetId="15">#REF!</definedName>
    <definedName name="FUNDH_FLAG" localSheetId="14">#REF!</definedName>
    <definedName name="FUNDH_FLAG" localSheetId="9">#REF!</definedName>
    <definedName name="FUNDH_FLAG" localSheetId="13">#REF!</definedName>
    <definedName name="FUNDH_FLAG">'FORM-10 (A-F)'!$G$114</definedName>
    <definedName name="FUNDS_ESCROWED" localSheetId="2">'FORM-10 (A-F)'!#REF!</definedName>
    <definedName name="FUNDS_ESCROWED">#REF!</definedName>
    <definedName name="GROSHELT" localSheetId="2">'FORM-10 (A-F)'!$E$295:$E$295</definedName>
    <definedName name="GROSHELT">#REF!</definedName>
    <definedName name="GROSRENT" localSheetId="2">'FORM-10 (A-F)'!$I$355:$I$355</definedName>
    <definedName name="GROSRENT">#REF!</definedName>
    <definedName name="HMFA" localSheetId="2">'FORM-10 (A-F)'!$G$7:$G$7</definedName>
    <definedName name="HMFA">#REF!</definedName>
    <definedName name="INDUCE" localSheetId="2">'FORM-10 (A-F)'!$A$6:$A$6</definedName>
    <definedName name="INDUCE">#REF!</definedName>
    <definedName name="inputEligBasisLimits" localSheetId="3">'EligBasisLimits'!$C$4:$E$4,'EligBasisLimits'!$C$5:$D$6,'EligBasisLimits'!$C$26:$C$31,'EligBasisLimits'!#REF!,'EligBasisLimits'!$H$28:$H$33,'EligBasisLimits'!$C$40:$C$45</definedName>
    <definedName name="inputEligBasisLimits" localSheetId="12">'EligBasisLimits'!$C$4:$E$4,'EligBasisLimits'!$C$5:$D$6,'EligBasisLimits'!$C$26:$C$31,'EligBasisLimits'!#REF!,'EligBasisLimits'!$H$28:$H$33,'EligBasisLimits'!$C$40:$C$45</definedName>
    <definedName name="inputEligBasisLimits" localSheetId="16">'EligBasisLimits'!$C$4:$E$4,'EligBasisLimits'!$C$5:$D$6,'EligBasisLimits'!$C$26:$C$31,'EligBasisLimits'!#REF!,'EligBasisLimits'!$H$28:$H$33,'EligBasisLimits'!$C$40:$C$45</definedName>
    <definedName name="inputEligBasisLimits" localSheetId="15">'EligBasisLimits'!$C$4:$E$4,'EligBasisLimits'!$C$5:$D$6,'EligBasisLimits'!$C$26:$C$31,'EligBasisLimits'!#REF!,'EligBasisLimits'!$H$28:$H$33,'EligBasisLimits'!$C$40:$C$45</definedName>
    <definedName name="inputEligBasisLimits" localSheetId="14">'EligBasisLimits'!$C$4:$E$4,'EligBasisLimits'!$C$5:$D$6,'EligBasisLimits'!$C$26:$C$31,'EligBasisLimits'!#REF!,'EligBasisLimits'!$H$28:$H$33,'EligBasisLimits'!$C$40:$C$45</definedName>
    <definedName name="inputEligBasisLimits" localSheetId="9">'[1]EligBasisLimits'!$C$7:$E$7,'[1]EligBasisLimits'!$C$8:$D$9,'[1]EligBasisLimits'!$C$27:$C$32,'[1]EligBasisLimits'!$H$27:$H$32,'[1]EligBasisLimits'!$H$41:$H$46,'[1]EligBasisLimits'!$C$41:$C$46</definedName>
    <definedName name="inputEligBasisLimits" localSheetId="13">'EligBasisLimits'!$C$4:$E$4,'EligBasisLimits'!$C$5:$D$6,'EligBasisLimits'!$C$26:$C$31,'EligBasisLimits'!#REF!,'EligBasisLimits'!$H$28:$H$33,'EligBasisLimits'!$C$40:$C$45</definedName>
    <definedName name="inputEligBasisLimits">#REF!,#REF!,#REF!,#REF!,#REF!,#REF!</definedName>
    <definedName name="inputTies" localSheetId="3">'Breakdown'!$C$13,'Breakdown'!$C$15,'Breakdown'!$C$17,'Breakdown'!$C$19,'Breakdown'!$C$22,'Breakdown'!$C$24,'Breakdown'!$C$43:$C$50</definedName>
    <definedName name="inputTies" localSheetId="12">'Ties'!$C$14,'Ties'!$C$16,'Ties'!$C$18,'Ties'!$C$20,'Ties'!#REF!,'Ties'!$H$13,'Ties'!$C$28:$C$33</definedName>
    <definedName name="inputTies" localSheetId="16">'Ties'!$C$14,'Ties'!$C$16,'Ties'!$C$18,'Ties'!$C$20,'Ties'!#REF!,'Ties'!$H$13,'Ties'!$C$28:$C$33</definedName>
    <definedName name="inputTies" localSheetId="15">'Ties'!$C$14,'Ties'!$C$16,'Ties'!$C$18,'Ties'!$C$20,'Ties'!#REF!,'Ties'!$H$13,'Ties'!$C$28:$C$33</definedName>
    <definedName name="inputTies" localSheetId="14">'Ties'!$C$14,'Ties'!$C$16,'Ties'!$C$18,'Ties'!$C$20,'Ties'!#REF!,'Ties'!$H$13,'Ties'!$C$28:$C$33</definedName>
    <definedName name="inputTies" localSheetId="9">'[1]Ties'!$C$13,'[1]Ties'!$C$15,'[1]Ties'!$C$17,'[1]Ties'!$C$19,'[1]Ties'!$C$21,'[1]Ties'!$C$23,'[1]Ties'!$C$43:$C$48</definedName>
    <definedName name="inputTies" localSheetId="13">'Ties'!$C$14,'Ties'!$C$16,'Ties'!$C$18,'Ties'!$C$20,'Ties'!#REF!,'Ties'!$H$13,'Ties'!$C$28:$C$33</definedName>
    <definedName name="inputTies">#REF!,#REF!,#REF!,#REF!,#REF!,#REF!,#REF!</definedName>
    <definedName name="INSUR_EX" localSheetId="2">'FORM-10 (A-F)'!$F$443:$F$443</definedName>
    <definedName name="INSUR_EX">#REF!</definedName>
    <definedName name="LOW_INC_PERC">#REF!</definedName>
    <definedName name="MANAGE_FEE_PERC" localSheetId="2">'FORM-10 (A-F)'!$D$440</definedName>
    <definedName name="MANAGE_FEE_PERC">#REF!</definedName>
    <definedName name="MAX_DEV_FEE">#REF!</definedName>
    <definedName name="MGMT_RVW" localSheetId="2">'FORM-10 (A-F)'!$G$243:$G$243</definedName>
    <definedName name="MGMT_RVW">#REF!</definedName>
    <definedName name="MIP" localSheetId="3">#REF!</definedName>
    <definedName name="MIP" localSheetId="12">#REF!</definedName>
    <definedName name="MIP" localSheetId="16">#REF!</definedName>
    <definedName name="MIP" localSheetId="15">#REF!</definedName>
    <definedName name="MIP" localSheetId="14">#REF!</definedName>
    <definedName name="MIP" localSheetId="9">#REF!</definedName>
    <definedName name="MIP" localSheetId="13">#REF!</definedName>
    <definedName name="MIP">'FORM-10 (A-F)'!$F$453</definedName>
    <definedName name="MORTG_INTEREST" localSheetId="2">'FORM-10 (A-F)'!$F$451</definedName>
    <definedName name="MORTG_INTEREST">#REF!</definedName>
    <definedName name="MORTG_RATE" localSheetId="2">'FORM-10 (A-F)'!$C$322</definedName>
    <definedName name="MORTG_RATE">#REF!</definedName>
    <definedName name="MORTG_TERM" localSheetId="2">'FORM-10 (A-F)'!$C$323</definedName>
    <definedName name="MORTG_TERM">#REF!</definedName>
    <definedName name="MORTG1_2" localSheetId="2">'FORM-10 (A-F)'!$G$164:$G$164</definedName>
    <definedName name="MORTG1_2">#REF!</definedName>
    <definedName name="MORTGAGE" localSheetId="3">#REF!</definedName>
    <definedName name="MORTGAGE" localSheetId="12">#REF!</definedName>
    <definedName name="MORTGAGE" localSheetId="1">'[3]FORM-10 (A-F)'!$J$224</definedName>
    <definedName name="MORTGAGE" localSheetId="8">'[3]FORM-10 (A-F)'!$J$224</definedName>
    <definedName name="MORTGAGE" localSheetId="16">#REF!</definedName>
    <definedName name="MORTGAGE" localSheetId="15">#REF!</definedName>
    <definedName name="MORTGAGE" localSheetId="14">#REF!</definedName>
    <definedName name="MORTGAGE" localSheetId="9">#REF!</definedName>
    <definedName name="MORTGAGE" localSheetId="13">#REF!</definedName>
    <definedName name="MORTGAGE">'FORM-10 (A-F)'!$J$216</definedName>
    <definedName name="mos._______on" localSheetId="3">#REF!</definedName>
    <definedName name="mos._______on" localSheetId="12">#REF!</definedName>
    <definedName name="mos._______on" localSheetId="16">#REF!</definedName>
    <definedName name="mos._______on" localSheetId="15">#REF!</definedName>
    <definedName name="mos._______on" localSheetId="14">#REF!</definedName>
    <definedName name="mos._______on" localSheetId="9">#REF!</definedName>
    <definedName name="mos._______on" localSheetId="13">#REF!</definedName>
    <definedName name="mos._______on">'FORM-10 (A-F)'!$G$164</definedName>
    <definedName name="MRTGandFEE_AMT" localSheetId="2">'FORM-10 (A-F)'!$F$452:$F$452</definedName>
    <definedName name="MRTGandFEE_AMT">#REF!</definedName>
    <definedName name="MRTGandFEE_PERC" localSheetId="2">'FORM-10 (A-F)'!$D$452</definedName>
    <definedName name="MRTGandFEE_PERC">#REF!</definedName>
    <definedName name="MUNICIP" localSheetId="2">'FORM-10 (A-F)'!$B$17:$B$17</definedName>
    <definedName name="MUNICIP">#REF!</definedName>
    <definedName name="NET_APT_RENTS" localSheetId="2">'FORM-10 (A-F)'!$F$418</definedName>
    <definedName name="NET_APT_RENTS">#REF!</definedName>
    <definedName name="NET_INCOME" localSheetId="2">'FORM-10 (A-F)'!$H$463</definedName>
    <definedName name="NET_INCOME">#REF!</definedName>
    <definedName name="NET_OPERATING" localSheetId="2">'FORM-10 (A-F)'!$H$449</definedName>
    <definedName name="NET_OPERATING">#REF!</definedName>
    <definedName name="NET_OTHR_RENTAL" localSheetId="2">'FORM-10 (A-F)'!$F$423</definedName>
    <definedName name="NET_OTHR_RENTAL">#REF!</definedName>
    <definedName name="NETRNTAR" localSheetId="2">'FORM-10 (A-F)'!$G$73:$G$73</definedName>
    <definedName name="NETRNTAR">#REF!</definedName>
    <definedName name="PAYMNTS_PERYEAR" localSheetId="2">'FORM-10 (A-F)'!$M$326</definedName>
    <definedName name="PAYMNTS_PERYEAR">#REF!</definedName>
    <definedName name="PREPARER" localSheetId="2">'FORM-10 (A-F)'!$G$9:$G$9</definedName>
    <definedName name="PREPARER">#REF!</definedName>
    <definedName name="_xlnm.Print_Area" localSheetId="3">'Breakdown'!$A$1:$O$105</definedName>
    <definedName name="_xlnm.Print_Area" localSheetId="12">'Carryover'!$A$1:$K$85</definedName>
    <definedName name="_xlnm.Print_Area" localSheetId="5">'Cash Flow'!$A$1:$AG$85</definedName>
    <definedName name="_xlnm.Print_Area" localSheetId="7">'Closing Statement'!$A$1:$J$83</definedName>
    <definedName name="_xlnm.Print_Area" localSheetId="11">'EligBasisLimits'!$A$1:$I$36</definedName>
    <definedName name="_xlnm.Print_Area" localSheetId="2">'FORM-10 (A-F)'!$A$1:$J$483</definedName>
    <definedName name="_xlnm.Print_Area" localSheetId="16">'NOI'!$A$1:$X$57</definedName>
    <definedName name="_xlnm.Print_Area" localSheetId="15">'OPER INCOME'!$A$1:$X$58</definedName>
    <definedName name="_xlnm.Print_Area" localSheetId="14">'Percentage_Limits'!$A$1:$M$67</definedName>
    <definedName name="_xlnm.Print_Area" localSheetId="6">'Project Presentation'!$A$1:$J$95</definedName>
    <definedName name="_xlnm.Print_Area" localSheetId="10">'Rent Qual. Chart'!$A$1:$M$59</definedName>
    <definedName name="_xlnm.Print_Area" localSheetId="4">'RFA Sheet'!$A$1:$J$56</definedName>
    <definedName name="_xlnm.Print_Area" localSheetId="13">'Ties'!$A$1:$J$56</definedName>
    <definedName name="rangeBreakdown" localSheetId="3">'Breakdown'!$A$1:$N$104</definedName>
    <definedName name="rangeBreakdown">#REF!</definedName>
    <definedName name="rangeCarryOver" localSheetId="12">'Carryover'!$A$1:$I$84</definedName>
    <definedName name="rangeCarryOver" localSheetId="1">#REF!</definedName>
    <definedName name="rangeCarryOver" localSheetId="8">#REF!</definedName>
    <definedName name="rangeCarryOver">#REF!</definedName>
    <definedName name="rangeEligBasisLimits" localSheetId="1">#REF!</definedName>
    <definedName name="rangeEligBasisLimits" localSheetId="8">#REF!</definedName>
    <definedName name="rangeEligBasisLimits">#REF!</definedName>
    <definedName name="rangeMFbreakdown">#REF!,#REF!</definedName>
    <definedName name="rangeNOI">#REF!</definedName>
    <definedName name="rangeOperInc" localSheetId="15">'OPER INCOME'!$A$1:$X$58</definedName>
    <definedName name="rangeOperInc">#REF!</definedName>
    <definedName name="rangePercentLimits" localSheetId="14">'Percentage_Limits'!$A$1:$N$65</definedName>
    <definedName name="rangePercentLimits">#REF!</definedName>
    <definedName name="rangeRQC">#REF!</definedName>
    <definedName name="rangeSigPage" localSheetId="1">#REF!</definedName>
    <definedName name="rangeSigPage" localSheetId="8">#REF!</definedName>
    <definedName name="rangeSigPage">#REF!</definedName>
    <definedName name="rangeTies" localSheetId="1">#REF!</definedName>
    <definedName name="rangeTies" localSheetId="8">#REF!</definedName>
    <definedName name="rangeTies" localSheetId="13">'Ties'!$A$1:$J$41</definedName>
    <definedName name="rangeTies">#REF!</definedName>
    <definedName name="RE_TAX_PERC" localSheetId="2">'FORM-10 (A-F)'!$E$297:$E$297</definedName>
    <definedName name="RE_TAX_PERC">#REF!</definedName>
    <definedName name="RE_TAXAB" localSheetId="2">'FORM-10 (A-F)'!$E$298:$E$298</definedName>
    <definedName name="RE_TAXAB">#REF!</definedName>
    <definedName name="RENT_UP" localSheetId="2">'FORM-10 (A-F)'!$C$34:$C$34</definedName>
    <definedName name="RENT_UP">#REF!</definedName>
    <definedName name="RETURN_ONEQ_AMT" localSheetId="2">'FORM-10 (A-F)'!$M$475</definedName>
    <definedName name="RETURN_ONEQ_AMT">#REF!</definedName>
    <definedName name="RETURN_ONEQUITY" localSheetId="2">'FORM-10 (A-F)'!$H$465</definedName>
    <definedName name="RETURN_ONEQUITY">#REF!</definedName>
    <definedName name="REVIEWBY" localSheetId="2">'FORM-10 (A-F)'!$G$10:$G$10</definedName>
    <definedName name="REVIEWBY">#REF!</definedName>
    <definedName name="RR_PERC" localSheetId="2">'FORM-10 (A-F)'!$C$445</definedName>
    <definedName name="RR_PERC">#REF!</definedName>
    <definedName name="S_U" localSheetId="3">#REF!</definedName>
    <definedName name="S_U" localSheetId="12">#REF!</definedName>
    <definedName name="S_U" localSheetId="8">#REF!</definedName>
    <definedName name="S_U" localSheetId="16">#REF!</definedName>
    <definedName name="S_U" localSheetId="15">#REF!</definedName>
    <definedName name="S_U" localSheetId="14">#REF!</definedName>
    <definedName name="S_U" localSheetId="9">#REF!</definedName>
    <definedName name="S_U" localSheetId="13">#REF!</definedName>
    <definedName name="S_U">#REF!</definedName>
    <definedName name="SandU">#REF!</definedName>
    <definedName name="SCHEDULE_10_B___EST._DEVELOPMENT_COSTS_AND_CAPITAL_REQUIREMENTS">#REF!</definedName>
    <definedName name="SOLV1" localSheetId="3">#REF!</definedName>
    <definedName name="SOLV1" localSheetId="12">#REF!</definedName>
    <definedName name="SOLV1" localSheetId="1">'[3]FORM-10 (A-F)'!$C$493</definedName>
    <definedName name="SOLV1" localSheetId="8">'[3]FORM-10 (A-F)'!$C$493</definedName>
    <definedName name="SOLV1" localSheetId="16">#REF!</definedName>
    <definedName name="SOLV1" localSheetId="15">#REF!</definedName>
    <definedName name="SOLV1" localSheetId="14">#REF!</definedName>
    <definedName name="SOLV1" localSheetId="9">#REF!</definedName>
    <definedName name="SOLV1" localSheetId="13">#REF!</definedName>
    <definedName name="SOLV1">'FORM-10 (A-F)'!$C$482</definedName>
    <definedName name="SOLV2" localSheetId="3">#REF!</definedName>
    <definedName name="SOLV2" localSheetId="12">#REF!</definedName>
    <definedName name="SOLV2" localSheetId="1">'[3]FORM-10 (A-F)'!$M$491</definedName>
    <definedName name="SOLV2" localSheetId="8">'[3]FORM-10 (A-F)'!$M$491</definedName>
    <definedName name="SOLV2" localSheetId="16">#REF!</definedName>
    <definedName name="SOLV2" localSheetId="15">#REF!</definedName>
    <definedName name="SOLV2" localSheetId="14">#REF!</definedName>
    <definedName name="SOLV2" localSheetId="9">#REF!</definedName>
    <definedName name="SOLV2" localSheetId="13">#REF!</definedName>
    <definedName name="SOLV2">'FORM-10 (A-F)'!$M$480</definedName>
    <definedName name="solver_adj" localSheetId="0" hidden="1">'MACROS'!$J$145</definedName>
    <definedName name="solver_cvg" localSheetId="2" hidden="1">0.0001</definedName>
    <definedName name="solver_drv" localSheetId="2" hidden="1">1</definedName>
    <definedName name="solver_est" localSheetId="2" hidden="1">1</definedName>
    <definedName name="solver_itr" localSheetId="2" hidden="1">100</definedName>
    <definedName name="solver_lhs1" localSheetId="2" hidden="1">'FORM-10 (A-F)'!$G$475</definedName>
    <definedName name="solver_lhs10" localSheetId="2" hidden="1">'FORM-10 (A-F)'!$F$456</definedName>
    <definedName name="solver_lhs11" localSheetId="2" hidden="1">'FORM-10 (A-F)'!$G$475</definedName>
    <definedName name="solver_lhs12" localSheetId="2" hidden="1">'FORM-10 (A-F)'!$F$456</definedName>
    <definedName name="solver_lhs13" localSheetId="2" hidden="1">'FORM-10 (A-F)'!$G$475</definedName>
    <definedName name="solver_lhs14" localSheetId="2" hidden="1">'FORM-10 (A-F)'!$F$456</definedName>
    <definedName name="solver_lhs15" localSheetId="2" hidden="1">'FORM-10 (A-F)'!$G$475</definedName>
    <definedName name="solver_lhs16" localSheetId="2" hidden="1">'FORM-10 (A-F)'!$F$456</definedName>
    <definedName name="solver_lhs17" localSheetId="2" hidden="1">'FORM-10 (A-F)'!$G$475</definedName>
    <definedName name="solver_lhs18" localSheetId="2" hidden="1">'FORM-10 (A-F)'!$F$456</definedName>
    <definedName name="solver_lhs19" localSheetId="2" hidden="1">'FORM-10 (A-F)'!$G$475</definedName>
    <definedName name="solver_lhs2" localSheetId="2" hidden="1">'FORM-10 (A-F)'!$F$456</definedName>
    <definedName name="solver_lhs20" localSheetId="2" hidden="1">'FORM-10 (A-F)'!$F$456</definedName>
    <definedName name="solver_lhs21" localSheetId="2" hidden="1">'FORM-10 (A-F)'!$G$475</definedName>
    <definedName name="solver_lhs22" localSheetId="2" hidden="1">'FORM-10 (A-F)'!$F$456</definedName>
    <definedName name="solver_lhs23" localSheetId="2" hidden="1">'FORM-10 (A-F)'!$G$475</definedName>
    <definedName name="solver_lhs24" localSheetId="2" hidden="1">'FORM-10 (A-F)'!$F$456</definedName>
    <definedName name="solver_lhs25" localSheetId="2" hidden="1">'FORM-10 (A-F)'!$G$475</definedName>
    <definedName name="solver_lhs26" localSheetId="2" hidden="1">'FORM-10 (A-F)'!$F$456</definedName>
    <definedName name="solver_lhs27" localSheetId="2" hidden="1">'FORM-10 (A-F)'!$G$475</definedName>
    <definedName name="solver_lhs28" localSheetId="2" hidden="1">'FORM-10 (A-F)'!$F$456</definedName>
    <definedName name="solver_lhs29" localSheetId="2" hidden="1">'FORM-10 (A-F)'!$G$475</definedName>
    <definedName name="solver_lhs3" localSheetId="2" hidden="1">'FORM-10 (A-F)'!$G$475</definedName>
    <definedName name="solver_lhs30" localSheetId="2" hidden="1">'FORM-10 (A-F)'!$F$456</definedName>
    <definedName name="solver_lhs31" localSheetId="2" hidden="1">'FORM-10 (A-F)'!$G$475</definedName>
    <definedName name="solver_lhs32" localSheetId="2" hidden="1">'FORM-10 (A-F)'!$F$456</definedName>
    <definedName name="solver_lhs33" localSheetId="2" hidden="1">'FORM-10 (A-F)'!$G$475</definedName>
    <definedName name="solver_lhs34" localSheetId="2" hidden="1">'FORM-10 (A-F)'!$F$456</definedName>
    <definedName name="solver_lhs35" localSheetId="2" hidden="1">'FORM-10 (A-F)'!$G$475</definedName>
    <definedName name="solver_lhs36" localSheetId="2" hidden="1">'FORM-10 (A-F)'!$F$456</definedName>
    <definedName name="solver_lhs37" localSheetId="2" hidden="1">'FORM-10 (A-F)'!$G$475</definedName>
    <definedName name="solver_lhs38" localSheetId="2" hidden="1">'FORM-10 (A-F)'!$F$456</definedName>
    <definedName name="solver_lhs39" localSheetId="2" hidden="1">'FORM-10 (A-F)'!$G$475</definedName>
    <definedName name="solver_lhs4" localSheetId="2" hidden="1">'FORM-10 (A-F)'!$F$456</definedName>
    <definedName name="solver_lhs40" localSheetId="2" hidden="1">'FORM-10 (A-F)'!$F$456</definedName>
    <definedName name="solver_lhs41" localSheetId="2" hidden="1">'FORM-10 (A-F)'!$G$475</definedName>
    <definedName name="solver_lhs42" localSheetId="2" hidden="1">'FORM-10 (A-F)'!$F$456</definedName>
    <definedName name="solver_lhs43" localSheetId="2" hidden="1">'FORM-10 (A-F)'!$G$475</definedName>
    <definedName name="solver_lhs44" localSheetId="2" hidden="1">'FORM-10 (A-F)'!$F$456</definedName>
    <definedName name="solver_lhs45" localSheetId="2" hidden="1">'FORM-10 (A-F)'!$G$475</definedName>
    <definedName name="solver_lhs46" localSheetId="2" hidden="1">'FORM-10 (A-F)'!$F$456</definedName>
    <definedName name="solver_lhs47" localSheetId="2" hidden="1">'FORM-10 (A-F)'!$G$475</definedName>
    <definedName name="solver_lhs48" localSheetId="2" hidden="1">'FORM-10 (A-F)'!$F$456</definedName>
    <definedName name="solver_lhs49" localSheetId="2" hidden="1">'FORM-10 (A-F)'!$G$475</definedName>
    <definedName name="solver_lhs5" localSheetId="2" hidden="1">'FORM-10 (A-F)'!$G$475</definedName>
    <definedName name="solver_lhs50" localSheetId="2" hidden="1">'FORM-10 (A-F)'!$F$456</definedName>
    <definedName name="solver_lhs51" localSheetId="2" hidden="1">'FORM-10 (A-F)'!$G$475</definedName>
    <definedName name="solver_lhs52" localSheetId="2" hidden="1">'FORM-10 (A-F)'!$F$456</definedName>
    <definedName name="solver_lhs53" localSheetId="2" hidden="1">'FORM-10 (A-F)'!$G$475</definedName>
    <definedName name="solver_lhs54" localSheetId="2" hidden="1">'FORM-10 (A-F)'!$F$456</definedName>
    <definedName name="solver_lhs55" localSheetId="2" hidden="1">'FORM-10 (A-F)'!$G$475</definedName>
    <definedName name="solver_lhs56" localSheetId="2" hidden="1">'FORM-10 (A-F)'!$F$456</definedName>
    <definedName name="solver_lhs57" localSheetId="2" hidden="1">'FORM-10 (A-F)'!$G$475</definedName>
    <definedName name="solver_lhs58" localSheetId="2" hidden="1">'FORM-10 (A-F)'!$F$456</definedName>
    <definedName name="solver_lhs59" localSheetId="2" hidden="1">'FORM-10 (A-F)'!$G$475</definedName>
    <definedName name="solver_lhs6" localSheetId="2" hidden="1">'FORM-10 (A-F)'!$F$456</definedName>
    <definedName name="solver_lhs60" localSheetId="2" hidden="1">'FORM-10 (A-F)'!$F$456</definedName>
    <definedName name="solver_lhs61" localSheetId="2" hidden="1">'FORM-10 (A-F)'!$G$475</definedName>
    <definedName name="solver_lhs62" localSheetId="2" hidden="1">'FORM-10 (A-F)'!$F$456</definedName>
    <definedName name="solver_lhs63" localSheetId="2" hidden="1">'FORM-10 (A-F)'!$G$475</definedName>
    <definedName name="solver_lhs64" localSheetId="2" hidden="1">'FORM-10 (A-F)'!$F$456</definedName>
    <definedName name="solver_lhs65" localSheetId="2" hidden="1">'FORM-10 (A-F)'!$G$475</definedName>
    <definedName name="solver_lhs66" localSheetId="2" hidden="1">'FORM-10 (A-F)'!$F$456</definedName>
    <definedName name="solver_lhs67" localSheetId="2" hidden="1">'FORM-10 (A-F)'!$G$475</definedName>
    <definedName name="solver_lhs68" localSheetId="2" hidden="1">'FORM-10 (A-F)'!$F$456</definedName>
    <definedName name="solver_lhs69" localSheetId="2" hidden="1">'FORM-10 (A-F)'!$G$475</definedName>
    <definedName name="solver_lhs7" localSheetId="2" hidden="1">'FORM-10 (A-F)'!$G$475</definedName>
    <definedName name="solver_lhs70" localSheetId="2" hidden="1">'FORM-10 (A-F)'!$F$456</definedName>
    <definedName name="solver_lhs71" localSheetId="2" hidden="1">'FORM-10 (A-F)'!$G$475</definedName>
    <definedName name="solver_lhs72" localSheetId="2" hidden="1">'FORM-10 (A-F)'!$F$456</definedName>
    <definedName name="solver_lhs73" localSheetId="2" hidden="1">'FORM-10 (A-F)'!$G$475</definedName>
    <definedName name="solver_lhs74" localSheetId="2" hidden="1">'FORM-10 (A-F)'!$F$456</definedName>
    <definedName name="solver_lhs75" localSheetId="2" hidden="1">'FORM-10 (A-F)'!$G$475</definedName>
    <definedName name="solver_lhs76" localSheetId="2" hidden="1">'FORM-10 (A-F)'!$F$456</definedName>
    <definedName name="solver_lhs77" localSheetId="2" hidden="1">'FORM-10 (A-F)'!$G$475</definedName>
    <definedName name="solver_lhs78" localSheetId="2" hidden="1">'FORM-10 (A-F)'!$F$456</definedName>
    <definedName name="solver_lhs79" localSheetId="2" hidden="1">'FORM-10 (A-F)'!$G$475</definedName>
    <definedName name="solver_lhs8" localSheetId="2" hidden="1">'FORM-10 (A-F)'!$F$456</definedName>
    <definedName name="solver_lhs80" localSheetId="2" hidden="1">'FORM-10 (A-F)'!$F$456</definedName>
    <definedName name="solver_lhs81" localSheetId="2" hidden="1">'FORM-10 (A-F)'!$G$475</definedName>
    <definedName name="solver_lhs82" localSheetId="2" hidden="1">'FORM-10 (A-F)'!$F$456</definedName>
    <definedName name="solver_lhs83" localSheetId="2" hidden="1">'FORM-10 (A-F)'!$G$475</definedName>
    <definedName name="solver_lhs84" localSheetId="2" hidden="1">'FORM-10 (A-F)'!$F$456</definedName>
    <definedName name="solver_lhs85" localSheetId="2" hidden="1">'FORM-10 (A-F)'!$G$475</definedName>
    <definedName name="solver_lhs86" localSheetId="2" hidden="1">'FORM-10 (A-F)'!$F$456</definedName>
    <definedName name="solver_lhs87" localSheetId="2" hidden="1">'FORM-10 (A-F)'!$G$475</definedName>
    <definedName name="solver_lhs88" localSheetId="2" hidden="1">'FORM-10 (A-F)'!$F$456</definedName>
    <definedName name="solver_lhs89" localSheetId="2" hidden="1">'FORM-10 (A-F)'!$G$475</definedName>
    <definedName name="solver_lhs9" localSheetId="2" hidden="1">'FORM-10 (A-F)'!$G$475</definedName>
    <definedName name="solver_lhs90" localSheetId="2" hidden="1">'FORM-10 (A-F)'!$F$456</definedName>
    <definedName name="solver_lin" localSheetId="2" hidden="1">2</definedName>
    <definedName name="solver_neg" localSheetId="2" hidden="1">2</definedName>
    <definedName name="solver_num" localSheetId="2" hidden="1">0</definedName>
    <definedName name="solver_nwt" localSheetId="2" hidden="1">1</definedName>
    <definedName name="solver_opt" localSheetId="0" hidden="1">'MACROS'!$G$384</definedName>
    <definedName name="solver_pre" localSheetId="2" hidden="1">0.000001</definedName>
    <definedName name="solver_rel1" localSheetId="2" hidden="1">3</definedName>
    <definedName name="solver_rel10" localSheetId="2" hidden="1">2</definedName>
    <definedName name="solver_rel11" localSheetId="2" hidden="1">3</definedName>
    <definedName name="solver_rel12" localSheetId="2" hidden="1">2</definedName>
    <definedName name="solver_rel13" localSheetId="2" hidden="1">3</definedName>
    <definedName name="solver_rel14" localSheetId="2" hidden="1">2</definedName>
    <definedName name="solver_rel15" localSheetId="2" hidden="1">3</definedName>
    <definedName name="solver_rel16" localSheetId="2" hidden="1">2</definedName>
    <definedName name="solver_rel17" localSheetId="2" hidden="1">3</definedName>
    <definedName name="solver_rel18" localSheetId="2" hidden="1">2</definedName>
    <definedName name="solver_rel19" localSheetId="2" hidden="1">3</definedName>
    <definedName name="solver_rel2" localSheetId="2" hidden="1">2</definedName>
    <definedName name="solver_rel20" localSheetId="2" hidden="1">2</definedName>
    <definedName name="solver_rel21" localSheetId="2" hidden="1">3</definedName>
    <definedName name="solver_rel22" localSheetId="2" hidden="1">2</definedName>
    <definedName name="solver_rel23" localSheetId="2" hidden="1">3</definedName>
    <definedName name="solver_rel24" localSheetId="2" hidden="1">2</definedName>
    <definedName name="solver_rel25" localSheetId="2" hidden="1">3</definedName>
    <definedName name="solver_rel26" localSheetId="2" hidden="1">2</definedName>
    <definedName name="solver_rel27" localSheetId="2" hidden="1">3</definedName>
    <definedName name="solver_rel28" localSheetId="2" hidden="1">2</definedName>
    <definedName name="solver_rel29" localSheetId="2" hidden="1">3</definedName>
    <definedName name="solver_rel3" localSheetId="2" hidden="1">3</definedName>
    <definedName name="solver_rel30" localSheetId="2" hidden="1">2</definedName>
    <definedName name="solver_rel31" localSheetId="2" hidden="1">3</definedName>
    <definedName name="solver_rel32" localSheetId="2" hidden="1">2</definedName>
    <definedName name="solver_rel33" localSheetId="2" hidden="1">3</definedName>
    <definedName name="solver_rel34" localSheetId="2" hidden="1">2</definedName>
    <definedName name="solver_rel35" localSheetId="2" hidden="1">3</definedName>
    <definedName name="solver_rel36" localSheetId="2" hidden="1">2</definedName>
    <definedName name="solver_rel37" localSheetId="2" hidden="1">3</definedName>
    <definedName name="solver_rel38" localSheetId="2" hidden="1">2</definedName>
    <definedName name="solver_rel39" localSheetId="2" hidden="1">3</definedName>
    <definedName name="solver_rel4" localSheetId="2" hidden="1">2</definedName>
    <definedName name="solver_rel40" localSheetId="2" hidden="1">2</definedName>
    <definedName name="solver_rel41" localSheetId="2" hidden="1">3</definedName>
    <definedName name="solver_rel42" localSheetId="2" hidden="1">2</definedName>
    <definedName name="solver_rel43" localSheetId="2" hidden="1">3</definedName>
    <definedName name="solver_rel44" localSheetId="2" hidden="1">2</definedName>
    <definedName name="solver_rel45" localSheetId="2" hidden="1">3</definedName>
    <definedName name="solver_rel46" localSheetId="2" hidden="1">2</definedName>
    <definedName name="solver_rel47" localSheetId="2" hidden="1">3</definedName>
    <definedName name="solver_rel48" localSheetId="2" hidden="1">2</definedName>
    <definedName name="solver_rel49" localSheetId="2" hidden="1">3</definedName>
    <definedName name="solver_rel5" localSheetId="2" hidden="1">3</definedName>
    <definedName name="solver_rel50" localSheetId="2" hidden="1">2</definedName>
    <definedName name="solver_rel51" localSheetId="2" hidden="1">3</definedName>
    <definedName name="solver_rel52" localSheetId="2" hidden="1">2</definedName>
    <definedName name="solver_rel53" localSheetId="2" hidden="1">3</definedName>
    <definedName name="solver_rel54" localSheetId="2" hidden="1">2</definedName>
    <definedName name="solver_rel55" localSheetId="2" hidden="1">3</definedName>
    <definedName name="solver_rel56" localSheetId="2" hidden="1">2</definedName>
    <definedName name="solver_rel57" localSheetId="2" hidden="1">3</definedName>
    <definedName name="solver_rel58" localSheetId="2" hidden="1">2</definedName>
    <definedName name="solver_rel59" localSheetId="2" hidden="1">3</definedName>
    <definedName name="solver_rel6" localSheetId="2" hidden="1">2</definedName>
    <definedName name="solver_rel60" localSheetId="2" hidden="1">2</definedName>
    <definedName name="solver_rel61" localSheetId="2" hidden="1">3</definedName>
    <definedName name="solver_rel62" localSheetId="2" hidden="1">2</definedName>
    <definedName name="solver_rel63" localSheetId="2" hidden="1">3</definedName>
    <definedName name="solver_rel64" localSheetId="2" hidden="1">2</definedName>
    <definedName name="solver_rel65" localSheetId="2" hidden="1">3</definedName>
    <definedName name="solver_rel66" localSheetId="2" hidden="1">2</definedName>
    <definedName name="solver_rel67" localSheetId="2" hidden="1">3</definedName>
    <definedName name="solver_rel68" localSheetId="2" hidden="1">2</definedName>
    <definedName name="solver_rel69" localSheetId="2" hidden="1">3</definedName>
    <definedName name="solver_rel7" localSheetId="2" hidden="1">3</definedName>
    <definedName name="solver_rel70" localSheetId="2" hidden="1">2</definedName>
    <definedName name="solver_rel71" localSheetId="2" hidden="1">3</definedName>
    <definedName name="solver_rel72" localSheetId="2" hidden="1">2</definedName>
    <definedName name="solver_rel73" localSheetId="2" hidden="1">3</definedName>
    <definedName name="solver_rel74" localSheetId="2" hidden="1">2</definedName>
    <definedName name="solver_rel75" localSheetId="2" hidden="1">3</definedName>
    <definedName name="solver_rel76" localSheetId="2" hidden="1">2</definedName>
    <definedName name="solver_rel77" localSheetId="2" hidden="1">3</definedName>
    <definedName name="solver_rel78" localSheetId="2" hidden="1">2</definedName>
    <definedName name="solver_rel79" localSheetId="2" hidden="1">3</definedName>
    <definedName name="solver_rel8" localSheetId="2" hidden="1">2</definedName>
    <definedName name="solver_rel80" localSheetId="2" hidden="1">2</definedName>
    <definedName name="solver_rel81" localSheetId="2" hidden="1">3</definedName>
    <definedName name="solver_rel82" localSheetId="2" hidden="1">2</definedName>
    <definedName name="solver_rel83" localSheetId="2" hidden="1">3</definedName>
    <definedName name="solver_rel84" localSheetId="2" hidden="1">2</definedName>
    <definedName name="solver_rel85" localSheetId="2" hidden="1">3</definedName>
    <definedName name="solver_rel86" localSheetId="2" hidden="1">2</definedName>
    <definedName name="solver_rel87" localSheetId="2" hidden="1">3</definedName>
    <definedName name="solver_rel88" localSheetId="2" hidden="1">2</definedName>
    <definedName name="solver_rel89" localSheetId="2" hidden="1">3</definedName>
    <definedName name="solver_rel9" localSheetId="2" hidden="1">3</definedName>
    <definedName name="solver_rel90" localSheetId="2" hidden="1">2</definedName>
    <definedName name="solver_rhs1" localSheetId="2" hidden="1">SOLV1</definedName>
    <definedName name="solver_rhs10" localSheetId="2" hidden="1">'FORM-10 (A-F)'!$M$480</definedName>
    <definedName name="solver_rhs11" localSheetId="2" hidden="1">'FORM-10 (A-F)'!$C$482</definedName>
    <definedName name="solver_rhs12" localSheetId="2" hidden="1">'FORM-10 (A-F)'!$M$480</definedName>
    <definedName name="solver_rhs13" localSheetId="2" hidden="1">'FORM-10 (A-F)'!$C$482</definedName>
    <definedName name="solver_rhs14" localSheetId="2" hidden="1">'FORM-10 (A-F)'!$M$480</definedName>
    <definedName name="solver_rhs15" localSheetId="2" hidden="1">'FORM-10 (A-F)'!$C$482</definedName>
    <definedName name="solver_rhs16" localSheetId="2" hidden="1">'FORM-10 (A-F)'!$M$480</definedName>
    <definedName name="solver_rhs17" localSheetId="2" hidden="1">'FORM-10 (A-F)'!$C$482</definedName>
    <definedName name="solver_rhs18" localSheetId="2" hidden="1">'FORM-10 (A-F)'!$M$480</definedName>
    <definedName name="solver_rhs19" localSheetId="2" hidden="1">'FORM-10 (A-F)'!$C$482</definedName>
    <definedName name="solver_rhs2" localSheetId="2" hidden="1">SOLV2</definedName>
    <definedName name="solver_rhs20" localSheetId="2" hidden="1">'FORM-10 (A-F)'!$M$480</definedName>
    <definedName name="solver_rhs21" localSheetId="2" hidden="1">'FORM-10 (A-F)'!$C$482</definedName>
    <definedName name="solver_rhs22" localSheetId="2" hidden="1">'FORM-10 (A-F)'!$M$480</definedName>
    <definedName name="solver_rhs23" localSheetId="2" hidden="1">'FORM-10 (A-F)'!$C$482</definedName>
    <definedName name="solver_rhs24" localSheetId="2" hidden="1">'FORM-10 (A-F)'!$M$480</definedName>
    <definedName name="solver_rhs25" localSheetId="2" hidden="1">'FORM-10 (A-F)'!$C$482</definedName>
    <definedName name="solver_rhs26" localSheetId="2" hidden="1">'FORM-10 (A-F)'!$M$480</definedName>
    <definedName name="solver_rhs27" localSheetId="2" hidden="1">'FORM-10 (A-F)'!$C$482</definedName>
    <definedName name="solver_rhs28" localSheetId="2" hidden="1">'FORM-10 (A-F)'!$M$480</definedName>
    <definedName name="solver_rhs29" localSheetId="2" hidden="1">'FORM-10 (A-F)'!$C$482</definedName>
    <definedName name="solver_rhs3" localSheetId="2" hidden="1">'FORM-10 (A-F)'!$C$482</definedName>
    <definedName name="solver_rhs30" localSheetId="2" hidden="1">'FORM-10 (A-F)'!$M$480</definedName>
    <definedName name="solver_rhs31" localSheetId="2" hidden="1">'FORM-10 (A-F)'!$C$482</definedName>
    <definedName name="solver_rhs32" localSheetId="2" hidden="1">'FORM-10 (A-F)'!$M$480</definedName>
    <definedName name="solver_rhs33" localSheetId="2" hidden="1">'FORM-10 (A-F)'!$C$482</definedName>
    <definedName name="solver_rhs34" localSheetId="2" hidden="1">'FORM-10 (A-F)'!$M$480</definedName>
    <definedName name="solver_rhs35" localSheetId="2" hidden="1">'FORM-10 (A-F)'!$C$482</definedName>
    <definedName name="solver_rhs36" localSheetId="2" hidden="1">'FORM-10 (A-F)'!$M$480</definedName>
    <definedName name="solver_rhs37" localSheetId="2" hidden="1">'FORM-10 (A-F)'!$C$482</definedName>
    <definedName name="solver_rhs38" localSheetId="2" hidden="1">'FORM-10 (A-F)'!$M$480</definedName>
    <definedName name="solver_rhs39" localSheetId="2" hidden="1">'FORM-10 (A-F)'!$C$482</definedName>
    <definedName name="solver_rhs4" localSheetId="2" hidden="1">'FORM-10 (A-F)'!$M$480</definedName>
    <definedName name="solver_rhs40" localSheetId="2" hidden="1">'FORM-10 (A-F)'!$M$480</definedName>
    <definedName name="solver_rhs41" localSheetId="2" hidden="1">'FORM-10 (A-F)'!$C$482</definedName>
    <definedName name="solver_rhs42" localSheetId="2" hidden="1">'FORM-10 (A-F)'!$M$480</definedName>
    <definedName name="solver_rhs43" localSheetId="2" hidden="1">'FORM-10 (A-F)'!$C$482</definedName>
    <definedName name="solver_rhs44" localSheetId="2" hidden="1">'FORM-10 (A-F)'!$M$480</definedName>
    <definedName name="solver_rhs45" localSheetId="2" hidden="1">'FORM-10 (A-F)'!$C$482</definedName>
    <definedName name="solver_rhs46" localSheetId="2" hidden="1">'FORM-10 (A-F)'!$M$480</definedName>
    <definedName name="solver_rhs47" localSheetId="2" hidden="1">'FORM-10 (A-F)'!$C$482</definedName>
    <definedName name="solver_rhs48" localSheetId="2" hidden="1">'FORM-10 (A-F)'!$M$480</definedName>
    <definedName name="solver_rhs49" localSheetId="2" hidden="1">'FORM-10 (A-F)'!$C$482</definedName>
    <definedName name="solver_rhs5" localSheetId="2" hidden="1">'FORM-10 (A-F)'!$C$482</definedName>
    <definedName name="solver_rhs50" localSheetId="2" hidden="1">'FORM-10 (A-F)'!$M$480</definedName>
    <definedName name="solver_rhs51" localSheetId="2" hidden="1">'FORM-10 (A-F)'!$C$482</definedName>
    <definedName name="solver_rhs52" localSheetId="2" hidden="1">'FORM-10 (A-F)'!$M$480</definedName>
    <definedName name="solver_rhs53" localSheetId="2" hidden="1">'FORM-10 (A-F)'!$C$482</definedName>
    <definedName name="solver_rhs54" localSheetId="2" hidden="1">'FORM-10 (A-F)'!$M$480</definedName>
    <definedName name="solver_rhs55" localSheetId="2" hidden="1">'FORM-10 (A-F)'!$C$482</definedName>
    <definedName name="solver_rhs56" localSheetId="2" hidden="1">'FORM-10 (A-F)'!$M$480</definedName>
    <definedName name="solver_rhs57" localSheetId="2" hidden="1">'FORM-10 (A-F)'!$C$482</definedName>
    <definedName name="solver_rhs58" localSheetId="2" hidden="1">'FORM-10 (A-F)'!$M$480</definedName>
    <definedName name="solver_rhs59" localSheetId="2" hidden="1">'FORM-10 (A-F)'!$C$482</definedName>
    <definedName name="solver_rhs6" localSheetId="2" hidden="1">'FORM-10 (A-F)'!$M$480</definedName>
    <definedName name="solver_rhs60" localSheetId="2" hidden="1">'FORM-10 (A-F)'!$M$480</definedName>
    <definedName name="solver_rhs61" localSheetId="2" hidden="1">'FORM-10 (A-F)'!$C$482</definedName>
    <definedName name="solver_rhs62" localSheetId="2" hidden="1">'FORM-10 (A-F)'!$M$480</definedName>
    <definedName name="solver_rhs63" localSheetId="2" hidden="1">'FORM-10 (A-F)'!$C$482</definedName>
    <definedName name="solver_rhs64" localSheetId="2" hidden="1">'FORM-10 (A-F)'!$M$480</definedName>
    <definedName name="solver_rhs65" localSheetId="2" hidden="1">'FORM-10 (A-F)'!$C$482</definedName>
    <definedName name="solver_rhs66" localSheetId="2" hidden="1">'FORM-10 (A-F)'!$M$480</definedName>
    <definedName name="solver_rhs67" localSheetId="2" hidden="1">'FORM-10 (A-F)'!$C$482</definedName>
    <definedName name="solver_rhs68" localSheetId="2" hidden="1">'FORM-10 (A-F)'!$M$480</definedName>
    <definedName name="solver_rhs69" localSheetId="2" hidden="1">'FORM-10 (A-F)'!$C$482</definedName>
    <definedName name="solver_rhs7" localSheetId="2" hidden="1">'FORM-10 (A-F)'!$C$482</definedName>
    <definedName name="solver_rhs70" localSheetId="2" hidden="1">'FORM-10 (A-F)'!$M$480</definedName>
    <definedName name="solver_rhs71" localSheetId="2" hidden="1">'FORM-10 (A-F)'!$C$482</definedName>
    <definedName name="solver_rhs72" localSheetId="2" hidden="1">'FORM-10 (A-F)'!$M$480</definedName>
    <definedName name="solver_rhs73" localSheetId="2" hidden="1">'FORM-10 (A-F)'!$C$482</definedName>
    <definedName name="solver_rhs74" localSheetId="2" hidden="1">'FORM-10 (A-F)'!$M$480</definedName>
    <definedName name="solver_rhs75" localSheetId="2" hidden="1">'FORM-10 (A-F)'!$C$482</definedName>
    <definedName name="solver_rhs76" localSheetId="2" hidden="1">'FORM-10 (A-F)'!$M$480</definedName>
    <definedName name="solver_rhs77" localSheetId="2" hidden="1">'FORM-10 (A-F)'!$C$482</definedName>
    <definedName name="solver_rhs78" localSheetId="2" hidden="1">'FORM-10 (A-F)'!$M$480</definedName>
    <definedName name="solver_rhs79" localSheetId="2" hidden="1">'FORM-10 (A-F)'!$C$482</definedName>
    <definedName name="solver_rhs8" localSheetId="2" hidden="1">'FORM-10 (A-F)'!$M$480</definedName>
    <definedName name="solver_rhs80" localSheetId="2" hidden="1">'FORM-10 (A-F)'!$M$480</definedName>
    <definedName name="solver_rhs81" localSheetId="2" hidden="1">'FORM-10 (A-F)'!$C$482</definedName>
    <definedName name="solver_rhs82" localSheetId="2" hidden="1">'FORM-10 (A-F)'!$M$480</definedName>
    <definedName name="solver_rhs83" localSheetId="2" hidden="1">'FORM-10 (A-F)'!$C$482</definedName>
    <definedName name="solver_rhs84" localSheetId="2" hidden="1">'FORM-10 (A-F)'!$M$480</definedName>
    <definedName name="solver_rhs85" localSheetId="2" hidden="1">'FORM-10 (A-F)'!$C$482</definedName>
    <definedName name="solver_rhs86" localSheetId="2" hidden="1">'FORM-10 (A-F)'!$M$480</definedName>
    <definedName name="solver_rhs87" localSheetId="2" hidden="1">'FORM-10 (A-F)'!$C$482</definedName>
    <definedName name="solver_rhs88" localSheetId="2" hidden="1">'FORM-10 (A-F)'!$M$480</definedName>
    <definedName name="solver_rhs89" localSheetId="2" hidden="1">'FORM-10 (A-F)'!$C$482</definedName>
    <definedName name="solver_rhs9" localSheetId="2" hidden="1">'FORM-10 (A-F)'!$C$482</definedName>
    <definedName name="solver_rhs90" localSheetId="2" hidden="1">'FORM-10 (A-F)'!$M$480</definedName>
    <definedName name="solver_scl" localSheetId="2" hidden="1">2</definedName>
    <definedName name="solver_sho" localSheetId="2" hidden="1">2</definedName>
    <definedName name="solver_tim" localSheetId="2" hidden="1">100</definedName>
    <definedName name="solver_tol" localSheetId="2" hidden="1">0.05</definedName>
    <definedName name="solver_typ" localSheetId="2" hidden="1">1</definedName>
    <definedName name="solver_typ" localSheetId="0" hidden="1">2</definedName>
    <definedName name="solver_val" localSheetId="2" hidden="1">0</definedName>
    <definedName name="solver_val" localSheetId="0" hidden="1">0</definedName>
    <definedName name="SPONSOR" localSheetId="2">'FORM-10 (A-F)'!$C$241:$C$241</definedName>
    <definedName name="SPONSOR">#REF!</definedName>
    <definedName name="SPONSOR_EQUITY" localSheetId="2">'FORM-10 (A-F)'!$J$218</definedName>
    <definedName name="SPONSOR_EQUITY">#REF!</definedName>
    <definedName name="SQFT" localSheetId="2">'FORM-10 (A-F)'!$C$120:$C$120</definedName>
    <definedName name="SQFT">#REF!</definedName>
    <definedName name="SQFT_ACR" localSheetId="2">'FORM-10 (A-F)'!$H$120:$H$120</definedName>
    <definedName name="SQFT_ACR">#REF!</definedName>
    <definedName name="TOT_ADM" localSheetId="2">'FORM-10 (A-F)'!$D$263:$D$263</definedName>
    <definedName name="TOT_ADM">#REF!</definedName>
    <definedName name="TOT_EMPL" localSheetId="2">'FORM-10 (A-F)'!$H$262:$H$262</definedName>
    <definedName name="TOT_EMPL">#REF!</definedName>
    <definedName name="TOT_EXP" localSheetId="2">'FORM-10 (A-F)'!$H$447:$H$447</definedName>
    <definedName name="TOT_EXP">#REF!</definedName>
    <definedName name="TOT_EXPENSES" localSheetId="2">'FORM-10 (A-F)'!$H$447:$H$447</definedName>
    <definedName name="TOT_EXPENSES">#REF!</definedName>
    <definedName name="TOT_FUNDYES" localSheetId="2">'FORM-10 (A-F)'!$M$460</definedName>
    <definedName name="TOT_FUNDYES">#REF!</definedName>
    <definedName name="TOT_M_R" localSheetId="2">'FORM-10 (A-F)'!$D$284:$D$284</definedName>
    <definedName name="TOT_M_R">#REF!</definedName>
    <definedName name="TOT_MCTR" localSheetId="2">'FORM-10 (A-F)'!$I$276:$I$276</definedName>
    <definedName name="TOT_MCTR">#REF!</definedName>
    <definedName name="TOT_RENT" localSheetId="2">'FORM-10 (A-F)'!$I$73:$I$73</definedName>
    <definedName name="TOT_RENT">#REF!</definedName>
    <definedName name="TOT_REVENUES" localSheetId="2">'FORM-10 (A-F)'!$H$432</definedName>
    <definedName name="TOT_REVENUES">#REF!</definedName>
    <definedName name="TOT_UTIL" localSheetId="2">'FORM-10 (A-F)'!$I$286:$I$286</definedName>
    <definedName name="TOT_UTIL">#REF!</definedName>
    <definedName name="TOT_WAGE" localSheetId="2">'FORM-10 (A-F)'!$J$262:$J$262</definedName>
    <definedName name="TOT_WAGE">#REF!</definedName>
    <definedName name="TOTAL_DEBT_SERV" localSheetId="2">'FORM-10 (A-F)'!$H$461</definedName>
    <definedName name="TOTAL_DEBT_SERV">#REF!</definedName>
    <definedName name="TOTAL_RENT_INC" localSheetId="2">'FORM-10 (A-F)'!$F$425</definedName>
    <definedName name="TOTAL_RENT_INC">#REF!</definedName>
    <definedName name="TOTPRJ" localSheetId="2">'FORM-10 (A-F)'!$J$213:$J$213</definedName>
    <definedName name="TOTPRJ">#REF!</definedName>
    <definedName name="VACANCY" localSheetId="2">'FORM-10 (A-F)'!$F$417:$F$417</definedName>
    <definedName name="VACANCY">#REF!</definedName>
    <definedName name="VACANCY_PERC" localSheetId="2">'FORM-10 (A-F)'!$D$417</definedName>
    <definedName name="VACANCY_PERC">#REF!</definedName>
    <definedName name="WKS_MORTGAGE" localSheetId="2">'FORM-10 (A-F)'!$H$480</definedName>
    <definedName name="WKS_MORTGAGE">#REF!</definedName>
    <definedName name="Z_106E1BFB_744D_4663_B74B_CA29F8E427E7_.wvu.Cols" localSheetId="2" hidden="1">'FORM-10 (A-F)'!$M:$R</definedName>
    <definedName name="Z_106E1BFB_744D_4663_B74B_CA29F8E427E7_.wvu.PrintArea" localSheetId="2" hidden="1">'FORM-10 (A-F)'!$A$1:$J$476</definedName>
    <definedName name="Z_106E1BFB_744D_4663_B74B_CA29F8E427E7_.wvu.Rows" localSheetId="2" hidden="1">'FORM-10 (A-F)'!$645:$725</definedName>
    <definedName name="Z_1B3A3623_A71C_44E5_8CF7_5E34A4F84CE2_.wvu.Cols" localSheetId="2" hidden="1">'FORM-10 (A-F)'!$M:$R</definedName>
    <definedName name="Z_1B3A3623_A71C_44E5_8CF7_5E34A4F84CE2_.wvu.PrintArea" localSheetId="2" hidden="1">'FORM-10 (A-F)'!$A$1:$J$476</definedName>
    <definedName name="Z_1B3A3623_A71C_44E5_8CF7_5E34A4F84CE2_.wvu.Rows" localSheetId="2" hidden="1">'FORM-10 (A-F)'!$645:$725</definedName>
    <definedName name="Z_720EBBAA_29A7_494C_BF67_EED4899B3400_.wvu.Cols" localSheetId="2" hidden="1">'FORM-10 (A-F)'!$K:$R</definedName>
    <definedName name="Z_720EBBAA_29A7_494C_BF67_EED4899B3400_.wvu.PrintArea" localSheetId="2" hidden="1">'FORM-10 (A-F)'!$A$1:$R$482</definedName>
    <definedName name="Z_720EBBAA_29A7_494C_BF67_EED4899B3400_.wvu.Rows" localSheetId="2" hidden="1">'FORM-10 (A-F)'!$645:$725</definedName>
  </definedNames>
  <calcPr fullCalcOnLoad="1"/>
</workbook>
</file>

<file path=xl/sharedStrings.xml><?xml version="1.0" encoding="utf-8"?>
<sst xmlns="http://schemas.openxmlformats.org/spreadsheetml/2006/main" count="2168" uniqueCount="1631">
  <si>
    <t xml:space="preserve">Divide the number in Column H by the number in Column J.  The Code does not allow for the rounding down of affordability percentages. </t>
  </si>
  <si>
    <t>In allocating the units in a project which shall be occupied by individuals of low and moderate income, the distribution must reflect low and moderate income units among the different sized units to reflect the same percentage</t>
  </si>
  <si>
    <t>(check one)</t>
  </si>
  <si>
    <t>distribution as the number of different sized units bears to the total number of units.  A greater percentage of the low and moderate income units may, however, be allocated to the larger units.  Additionally, low and moderate</t>
  </si>
  <si>
    <t>income units shall be distributed throughout the project such that the tenants of such units will have equal acess to and enjoyment of all common facilities of the project.  N.J.A.C. 5:80-8.3.</t>
  </si>
  <si>
    <t>TAX CREDIT RENT QUALIFICATION CHART</t>
  </si>
  <si>
    <t>{Print.Block "A477..j547"}{Print.DoPrint}{UNDO}</t>
  </si>
  <si>
    <t>BR#5</t>
  </si>
  <si>
    <t>Inducement:D52..Inducement:D52</t>
  </si>
  <si>
    <t>{SelectBlock A553..j626}{SetProperty Shading,"3,0,Blend7"}</t>
  </si>
  <si>
    <t>BR#6</t>
  </si>
  <si>
    <t>Inducement:D53..Inducement:D53</t>
  </si>
  <si>
    <t>No. of dwelling units</t>
  </si>
  <si>
    <t>Parking</t>
  </si>
  <si>
    <t>Construction or Construction and Permanent Financing</t>
  </si>
  <si>
    <t xml:space="preserve">Balance left for Construction </t>
  </si>
  <si>
    <t xml:space="preserve"> or</t>
  </si>
  <si>
    <t>{Message MsgG,30,15,@now+@time(0,0,2)}</t>
  </si>
  <si>
    <t>BR#7</t>
  </si>
  <si>
    <t>Inducement:D54..Inducement:D54</t>
  </si>
  <si>
    <t>{Print.Block "A553..j629"}{Print.DoPrint}{UNDO}{home}</t>
  </si>
  <si>
    <t>BR#8</t>
  </si>
  <si>
    <t>Inducement:D55..Inducement:D55</t>
  </si>
  <si>
    <t>Total Number of Parking Spaces</t>
  </si>
  <si>
    <t>{Beep}{Beep}{Beep}</t>
  </si>
  <si>
    <t>BR#9</t>
  </si>
  <si>
    <t>Inducement:D56..Inducement:D56</t>
  </si>
  <si>
    <t>Construction Term</t>
  </si>
  <si>
    <t>(mos.)</t>
  </si>
  <si>
    <t>Ratio of parking to D.U.'s</t>
  </si>
  <si>
    <t>: 1</t>
  </si>
  <si>
    <t>CARRY%</t>
  </si>
  <si>
    <t>Inducement:C121..Inducement:C121</t>
  </si>
  <si>
    <t>Rent-up Period</t>
  </si>
  <si>
    <t>CLOSING</t>
  </si>
  <si>
    <t>Inducement:A9</t>
  </si>
  <si>
    <t>CNTRCTFE</t>
  </si>
  <si>
    <t>Inducement:H105..Inducement:H105</t>
  </si>
  <si>
    <t>COMMIT</t>
  </si>
  <si>
    <t>Inducement:A8</t>
  </si>
  <si>
    <t>CONSTERM</t>
  </si>
  <si>
    <t>Inducement:C30..Inducement:C30</t>
  </si>
  <si>
    <t>CONSTR_$</t>
  </si>
  <si>
    <t>LOAN CLOSING STATEMENT</t>
  </si>
  <si>
    <t>HMFA # :</t>
  </si>
  <si>
    <t>Name of Borrower:</t>
  </si>
  <si>
    <t>Closing Date:</t>
  </si>
  <si>
    <t>Address:</t>
  </si>
  <si>
    <t>Prepared By:</t>
  </si>
  <si>
    <r>
      <t xml:space="preserve">A.  </t>
    </r>
    <r>
      <rPr>
        <b/>
        <u val="single"/>
        <sz val="12"/>
        <rFont val="Arial"/>
        <family val="2"/>
      </rPr>
      <t>Funding Sources</t>
    </r>
    <r>
      <rPr>
        <b/>
        <sz val="12"/>
        <rFont val="Arial"/>
        <family val="2"/>
      </rPr>
      <t>:</t>
    </r>
  </si>
  <si>
    <t>TOTAL LOAN AMOUNT:</t>
  </si>
  <si>
    <t>PLUS:</t>
  </si>
  <si>
    <r>
      <t>PLUS:</t>
    </r>
    <r>
      <rPr>
        <sz val="12"/>
        <rFont val="Arial"/>
        <family val="0"/>
      </rPr>
      <t xml:space="preserve"> </t>
    </r>
  </si>
  <si>
    <t>Developer's fee:</t>
  </si>
  <si>
    <r>
      <t xml:space="preserve">B.  </t>
    </r>
    <r>
      <rPr>
        <b/>
        <u val="single"/>
        <sz val="12"/>
        <rFont val="Arial"/>
        <family val="2"/>
      </rPr>
      <t>Disbursements:</t>
    </r>
  </si>
  <si>
    <t>CASH/CHECK from Borrower:</t>
  </si>
  <si>
    <t>Working Capital*</t>
  </si>
  <si>
    <t>* Wk. Cap includes Rent-up Fees &amp; Advertising/Promotion</t>
  </si>
  <si>
    <t xml:space="preserve">2 H </t>
  </si>
  <si>
    <t>Form 10 Line</t>
  </si>
  <si>
    <t>Payee:</t>
  </si>
  <si>
    <t>Purpose of Payment:</t>
  </si>
  <si>
    <t>Check #</t>
  </si>
  <si>
    <t>Disbursements/Reimbursements:</t>
  </si>
  <si>
    <r>
      <t xml:space="preserve">C. </t>
    </r>
    <r>
      <rPr>
        <b/>
        <u val="single"/>
        <sz val="12"/>
        <rFont val="Arial"/>
        <family val="2"/>
      </rPr>
      <t>Fees Paid Out of Sources:</t>
    </r>
  </si>
  <si>
    <t>Total Fees Paid Out of Sources:</t>
  </si>
  <si>
    <r>
      <t xml:space="preserve">D. </t>
    </r>
    <r>
      <rPr>
        <b/>
        <u val="single"/>
        <sz val="12"/>
        <rFont val="Arial"/>
        <family val="2"/>
      </rPr>
      <t>Reserves/Escrows Deposited w/NJHMFA</t>
    </r>
  </si>
  <si>
    <t>Purpose</t>
  </si>
  <si>
    <t>Description</t>
  </si>
  <si>
    <t>Debt Service&amp;Servicing Fee(1mo.)</t>
  </si>
  <si>
    <t>Mortgage Insurance Premium</t>
  </si>
  <si>
    <t>Repair &amp; Replacement</t>
  </si>
  <si>
    <t>Total of Reserves/Escrows:</t>
  </si>
  <si>
    <t>TOTAL DISBURSEMENTS, REIMBURSEMENTS, RESERVES &amp; ESCROWS:</t>
  </si>
  <si>
    <t xml:space="preserve">TOTAL CASH SOURCES: </t>
  </si>
  <si>
    <t>Agreed and Accepted by:</t>
  </si>
  <si>
    <t>(Type Borrower's Name Here)</t>
  </si>
  <si>
    <t>New Jersey Housing and Mortgage Finance Agency</t>
  </si>
  <si>
    <t>By:</t>
  </si>
  <si>
    <t>__________________________</t>
  </si>
  <si>
    <t>____________________________________</t>
  </si>
  <si>
    <t>(Type Name &amp; Title Here)</t>
  </si>
  <si>
    <t>and</t>
  </si>
  <si>
    <t>Y  or  N</t>
  </si>
  <si>
    <t>Inducement:J105..Inducement:J105</t>
  </si>
  <si>
    <t>COUNTY</t>
  </si>
  <si>
    <t>Inducement:B18..Inducement:B18</t>
  </si>
  <si>
    <t>DATE_PRP</t>
  </si>
  <si>
    <t>Inducement:F8..Inducement:F8</t>
  </si>
  <si>
    <t>DEBT_OTH</t>
  </si>
  <si>
    <t>Inducement:F371..Inducement:F371</t>
  </si>
  <si>
    <t>Cost Summary</t>
  </si>
  <si>
    <t>DEBT_SERV_A</t>
  </si>
  <si>
    <t>Inducement:H423</t>
  </si>
  <si>
    <t>;unprotect &amp; green</t>
  </si>
  <si>
    <t>{Setproperty Protection,Unprotect}</t>
  </si>
  <si>
    <t>DEBT_SERV_B</t>
  </si>
  <si>
    <t>Inducement:H439</t>
  </si>
  <si>
    <t>Cost of Land and/or Improvements</t>
  </si>
  <si>
    <t>per DU</t>
  </si>
  <si>
    <t>per Sqft.</t>
  </si>
  <si>
    <t>{Setproperty Shading,"5,0,Blend4"}</t>
  </si>
  <si>
    <t>DEBT_SERV_C</t>
  </si>
  <si>
    <t>Inducement:H456</t>
  </si>
  <si>
    <t>Construction Cost</t>
  </si>
  <si>
    <t>DEBT_SERV_D</t>
  </si>
  <si>
    <t>Inducement:H472</t>
  </si>
  <si>
    <t xml:space="preserve">Total Project Cost </t>
  </si>
  <si>
    <t>DEBT_SERV_E</t>
  </si>
  <si>
    <t>Inducement:H496</t>
  </si>
  <si>
    <t>DEBT_SERV_F</t>
  </si>
  <si>
    <t>Inducement:H512</t>
  </si>
  <si>
    <t xml:space="preserve">Types of </t>
  </si>
  <si>
    <t>No. of</t>
  </si>
  <si>
    <t>Unit Type</t>
  </si>
  <si>
    <t>Net</t>
  </si>
  <si>
    <t>{Application.Speedbar "i:\qpw\Form10.bar"}</t>
  </si>
  <si>
    <t xml:space="preserve">\0 - Startup Script   </t>
  </si>
  <si>
    <t>DEVFEE$</t>
  </si>
  <si>
    <t>5. SOURCES OF FUNDS FOR PERMANENT CLOSE-OUT:</t>
  </si>
  <si>
    <t>TOTAL SOURCES FOR PERMANENT CLOSE-OUT:</t>
  </si>
  <si>
    <t>Inducement:J106..Inducement:J106</t>
  </si>
  <si>
    <t xml:space="preserve">Residential      </t>
  </si>
  <si>
    <t>Stories</t>
  </si>
  <si>
    <t>%)</t>
  </si>
  <si>
    <t>(No. of</t>
  </si>
  <si>
    <t>Unit Size</t>
  </si>
  <si>
    <t>{Home}</t>
  </si>
  <si>
    <t>DEVFEE%</t>
  </si>
  <si>
    <t>Inducement:D106..Inducement:D106</t>
  </si>
  <si>
    <t xml:space="preserve">Structures*  </t>
  </si>
  <si>
    <t>Bldgs.</t>
  </si>
  <si>
    <t>Each</t>
  </si>
  <si>
    <t>BR's)</t>
  </si>
  <si>
    <t xml:space="preserve">in Sq. Ft. </t>
  </si>
  <si>
    <t>DEV_DEV_FEE</t>
  </si>
  <si>
    <t>Inducement:D579</t>
  </si>
  <si>
    <t>DEV_NAME</t>
  </si>
  <si>
    <t>Inducement:C12..Inducement:C12</t>
  </si>
  <si>
    <t>{Setproperty Protection,Protect}</t>
  </si>
  <si>
    <t>\P  - Protect Cell</t>
  </si>
  <si>
    <t>DEV_PROJ_COST</t>
  </si>
  <si>
    <t>Inducement:D609</t>
  </si>
  <si>
    <t>DEV_STREET</t>
  </si>
  <si>
    <t>Inducement:C14</t>
  </si>
  <si>
    <t>{Setproperty Shading,"2,0,Blend6"}</t>
  </si>
  <si>
    <t>\S  - Shade Box</t>
  </si>
  <si>
    <t>DSR</t>
  </si>
  <si>
    <t>Inducement:C391</t>
  </si>
  <si>
    <t>DU#1</t>
  </si>
  <si>
    <t>Inducement:F48..Inducement:F48</t>
  </si>
  <si>
    <t>{Setproperty Shading,"3,0,Blend7"}</t>
  </si>
  <si>
    <t>\W -  White Box</t>
  </si>
  <si>
    <t>DU#10</t>
  </si>
  <si>
    <t>Inducement:F57..Inducement:F57</t>
  </si>
  <si>
    <t>DU#2</t>
  </si>
  <si>
    <t>Inducement:F49..Inducement:F49</t>
  </si>
  <si>
    <t>\U   - Unprotect A Cell</t>
  </si>
  <si>
    <t>DU#3</t>
  </si>
  <si>
    <t>Inducement:F50..Inducement:F50</t>
  </si>
  <si>
    <t>DU#4</t>
  </si>
  <si>
    <t>Inducement:F51..Inducement:F51</t>
  </si>
  <si>
    <t>{Setproperty Line_Drawing,"Clear,Clear,Clear,Clear,Clear,Clear"}</t>
  </si>
  <si>
    <t>\C  - Clear Lines</t>
  </si>
  <si>
    <t>DU#5</t>
  </si>
  <si>
    <t>Inducement:F52..Inducement:F52</t>
  </si>
  <si>
    <t>DU#6</t>
  </si>
  <si>
    <t>Inducement:F53..Inducement:F53</t>
  </si>
  <si>
    <t>{Setproperty Line_Drawing,"NoChange,NoChange,NoChange,Thin,NoChange,NoChange"}</t>
  </si>
  <si>
    <t>DU#7</t>
  </si>
  <si>
    <t>Inducement:F54..Inducement:F54</t>
  </si>
  <si>
    <t>\L  - Underline</t>
  </si>
  <si>
    <t>DU#8</t>
  </si>
  <si>
    <t>Inducement:F55..Inducement:F55</t>
  </si>
  <si>
    <t>DU#9</t>
  </si>
  <si>
    <t>Inducement:F56..Inducement:F56</t>
  </si>
  <si>
    <t>DWELUNIT</t>
  </si>
  <si>
    <t>Inducement:F59..Inducement:F59</t>
  </si>
  <si>
    <t>{Setproperty Line_Drawing,"Thin,Thin,Thin,Thin,NoChange,NoChange"}</t>
  </si>
  <si>
    <t>\B  - Box field</t>
  </si>
  <si>
    <t>ERR1</t>
  </si>
  <si>
    <t>Inducement:S646..Inducement:S647</t>
  </si>
  <si>
    <t>Insert $ per mo.</t>
  </si>
  <si>
    <t>Escrow for Expens during Rent-up incld Debt Serv</t>
  </si>
  <si>
    <t>months</t>
  </si>
  <si>
    <t>Insert # Mos.</t>
  </si>
  <si>
    <t>FINANCE1</t>
  </si>
  <si>
    <t>Inducement:D35..Inducement:D35</t>
  </si>
  <si>
    <t>{Setproperty Shading,"9,0,Blend4"}</t>
  </si>
  <si>
    <t>\Y - yellow box</t>
  </si>
  <si>
    <t>FINANCE3</t>
  </si>
  <si>
    <t>Inducement:D37..Inducement:D37</t>
  </si>
  <si>
    <t>FUNDA_AMT</t>
  </si>
  <si>
    <t>Inducement:J139</t>
  </si>
  <si>
    <t>FUNDA_DESC</t>
  </si>
  <si>
    <t xml:space="preserve">   Totals:</t>
  </si>
  <si>
    <t>Buildings</t>
  </si>
  <si>
    <t>UNITS:</t>
  </si>
  <si>
    <t>Sq. Ft.</t>
  </si>
  <si>
    <t xml:space="preserve">    Anticipated Annual Rents:    </t>
  </si>
  <si>
    <t>Inducement:B139</t>
  </si>
  <si>
    <t>FUNDA_FLAG</t>
  </si>
  <si>
    <t>Inducement:G139</t>
  </si>
  <si>
    <t>FUNDB_AMT</t>
  </si>
  <si>
    <t>Inducement:J140</t>
  </si>
  <si>
    <t>FUNDB_DESC</t>
  </si>
  <si>
    <t>Inducement:B140</t>
  </si>
  <si>
    <t>FUNDB_FLAG</t>
  </si>
  <si>
    <t>Inducement:G140</t>
  </si>
  <si>
    <t>FUNDC_AMT</t>
  </si>
  <si>
    <t>Inducement:J141</t>
  </si>
  <si>
    <t>FUNDC_DESC</t>
  </si>
  <si>
    <t>Inducement:B141</t>
  </si>
  <si>
    <t>FUNDC_FLAG</t>
  </si>
  <si>
    <t>Inducement:G141</t>
  </si>
  <si>
    <t>FUNDD_AMT</t>
  </si>
  <si>
    <t>Inducement:J142</t>
  </si>
  <si>
    <t>FUNDD_DESC</t>
  </si>
  <si>
    <t>Inducement:B142</t>
  </si>
  <si>
    <t>FUNDD_FLAG</t>
  </si>
  <si>
    <t>Inducement:G142</t>
  </si>
  <si>
    <t>FUNDE_AMT</t>
  </si>
  <si>
    <t>Inducement:J143</t>
  </si>
  <si>
    <t>FUNDE_DESC</t>
  </si>
  <si>
    <t>Inducement:B143</t>
  </si>
  <si>
    <t>FUNDE_FLAG</t>
  </si>
  <si>
    <t>Inducement:G143</t>
  </si>
  <si>
    <t>SCHEDULE 10-B:  EST. DEVELOPMENT COSTS AND CAPITAL REQUIREMENTS</t>
  </si>
  <si>
    <t>FUNDF_AMT</t>
  </si>
  <si>
    <t>Inducement:J144</t>
  </si>
  <si>
    <t>FUNDF_DESC</t>
  </si>
  <si>
    <t>Inducement:B144</t>
  </si>
  <si>
    <t>FUNDF_FLAG</t>
  </si>
  <si>
    <t>Inducement:G144</t>
  </si>
  <si>
    <t>FUNDS_ESCROWED</t>
  </si>
  <si>
    <t>Inducement:M145</t>
  </si>
  <si>
    <t>Date</t>
  </si>
  <si>
    <t>GROSHELT</t>
  </si>
  <si>
    <t>Inducement:E218..Inducement:E218</t>
  </si>
  <si>
    <t>GROSRENT</t>
  </si>
  <si>
    <t>Inducement:H268..Inducement:H268</t>
  </si>
  <si>
    <t>HMFA</t>
  </si>
  <si>
    <t>Inducement:G7..Inducement:G7</t>
  </si>
  <si>
    <t>INDUCE</t>
  </si>
  <si>
    <t>Inducement:A7..Inducement:A7</t>
  </si>
  <si>
    <t>$</t>
  </si>
  <si>
    <t>INSUR_EX</t>
  </si>
  <si>
    <t>Inducement:F356..Inducement:F356</t>
  </si>
  <si>
    <t xml:space="preserve">    b) Building Acquisition</t>
  </si>
  <si>
    <t>LOW_INC_PERC</t>
  </si>
  <si>
    <t>Inducement:I557</t>
  </si>
  <si>
    <t>MAX_DEV_FEE</t>
  </si>
  <si>
    <t>Inducement:E619</t>
  </si>
  <si>
    <t>MGMT_RVW</t>
  </si>
  <si>
    <t>Inducement:G166..Inducement:G166</t>
  </si>
  <si>
    <t>MGTRV_DT</t>
  </si>
  <si>
    <t>ERR</t>
  </si>
  <si>
    <t xml:space="preserve">    a) Demolition</t>
  </si>
  <si>
    <t xml:space="preserve">                $</t>
  </si>
  <si>
    <t>MORTG1/2</t>
  </si>
  <si>
    <t>Construction Loan Only</t>
  </si>
  <si>
    <t>Inducement:G121..Inducement:G121</t>
  </si>
  <si>
    <t xml:space="preserve">    b) Off-site Improvements</t>
  </si>
  <si>
    <t>MORTGAGE</t>
  </si>
  <si>
    <t>Inducement:J145..Inducement:J145</t>
  </si>
  <si>
    <t>MORTG_INTEREST</t>
  </si>
  <si>
    <t>Inducement:F365</t>
  </si>
  <si>
    <t>MORTG_RATE</t>
  </si>
  <si>
    <t>Inducement:C245</t>
  </si>
  <si>
    <t xml:space="preserve">    e) Environmental Clearances</t>
  </si>
  <si>
    <t>MORTG_TERM</t>
  </si>
  <si>
    <t>Inducement:C246</t>
  </si>
  <si>
    <t>MRTG&amp;FEE_AMT</t>
  </si>
  <si>
    <t>Inducement:F366..Inducement:F366</t>
  </si>
  <si>
    <t>MRTG&amp;FEE_PERC</t>
  </si>
  <si>
    <t>Inducement:D366</t>
  </si>
  <si>
    <t>MSGA</t>
  </si>
  <si>
    <t>Inducement:S636</t>
  </si>
  <si>
    <t>MSGB</t>
  </si>
  <si>
    <t>Inducement:S637</t>
  </si>
  <si>
    <t>MSGC</t>
  </si>
  <si>
    <t>Inducement:S638</t>
  </si>
  <si>
    <t>MSGDONE</t>
  </si>
  <si>
    <t>Inducement:S644</t>
  </si>
  <si>
    <t>MSGE</t>
  </si>
  <si>
    <t>Inducement:S640</t>
  </si>
  <si>
    <t>MSGF</t>
  </si>
  <si>
    <t>Inducement:S641</t>
  </si>
  <si>
    <t>MSGF2</t>
  </si>
  <si>
    <t>Inducement:S642</t>
  </si>
  <si>
    <t>MSGG</t>
  </si>
  <si>
    <t>Inducement:S643</t>
  </si>
  <si>
    <t>MSGPRINT</t>
  </si>
  <si>
    <t>MUNICIP</t>
  </si>
  <si>
    <t>Inducement:B17..Inducement:B17</t>
  </si>
  <si>
    <t>NEEDED_REHAB</t>
  </si>
  <si>
    <t>Inducement:E628</t>
  </si>
  <si>
    <t>NETRNTAR</t>
  </si>
  <si>
    <t>Inducement:G59..Inducement:G59</t>
  </si>
  <si>
    <t>NET_APT_RENTS</t>
  </si>
  <si>
    <t>Inducement:F331</t>
  </si>
  <si>
    <t>NET_INCOME</t>
  </si>
  <si>
    <t>Inducement:H375</t>
  </si>
  <si>
    <t>NET_OPERATING</t>
  </si>
  <si>
    <t>Inducement:H362</t>
  </si>
  <si>
    <t>NET_OTHR_RENTAL</t>
  </si>
  <si>
    <t>Inducement:F336</t>
  </si>
  <si>
    <t>PAGE A</t>
  </si>
  <si>
    <t>Inducement:A1</t>
  </si>
  <si>
    <t xml:space="preserve">    a) Interest  @</t>
  </si>
  <si>
    <t>PAGE B</t>
  </si>
  <si>
    <t>Inducement:A82</t>
  </si>
  <si>
    <t xml:space="preserve">    b) R.E. Tax $</t>
  </si>
  <si>
    <t xml:space="preserve"> (per annum)     x</t>
  </si>
  <si>
    <t>Yrs.</t>
  </si>
  <si>
    <t>PAGE C</t>
  </si>
  <si>
    <t>Inducement:A162</t>
  </si>
  <si>
    <r>
      <t xml:space="preserve">   B. </t>
    </r>
    <r>
      <rPr>
        <b/>
        <u val="single"/>
        <sz val="12"/>
        <rFont val="Times New Roman"/>
        <family val="1"/>
      </rPr>
      <t>CONSTRUCTION LOAN PAYOFF</t>
    </r>
  </si>
  <si>
    <t xml:space="preserve">    c) Insurance $</t>
  </si>
  <si>
    <t>PAGE D</t>
  </si>
  <si>
    <t>Inducement:A242</t>
  </si>
  <si>
    <t xml:space="preserve">    d) Title Insurance and Recording Expenses</t>
  </si>
  <si>
    <t>PAGE E</t>
  </si>
  <si>
    <t>Inducement:A322</t>
  </si>
  <si>
    <t>PAGE F</t>
  </si>
  <si>
    <t>Inducement:A406</t>
  </si>
  <si>
    <t>PAGE G</t>
  </si>
  <si>
    <t>Inducement:A554</t>
  </si>
  <si>
    <t xml:space="preserve"> mos.)      on     </t>
  </si>
  <si>
    <t>PAYMNTS_PERYEAR</t>
  </si>
  <si>
    <t>Inducement:M248</t>
  </si>
  <si>
    <t>PREPARER</t>
  </si>
  <si>
    <t>Inducement:G9..Inducement:G9</t>
  </si>
  <si>
    <t>PRINT_TIME</t>
  </si>
  <si>
    <t>Inducement:J5</t>
  </si>
  <si>
    <t>PROJ_CREDIT_VAL</t>
  </si>
  <si>
    <t>Inducement:E626</t>
  </si>
  <si>
    <t>QUAL_BUILD_ACQ</t>
  </si>
  <si>
    <t>Inducement:J564</t>
  </si>
  <si>
    <t>QUAL_PROJ_COST</t>
  </si>
  <si>
    <t>Inducement:J609</t>
  </si>
  <si>
    <t>R&amp;R%</t>
  </si>
  <si>
    <t>Inducement:C358</t>
  </si>
  <si>
    <t>REHAB_CR_AMT</t>
  </si>
  <si>
    <t>Inducement:E624</t>
  </si>
  <si>
    <t>RENT_UP</t>
  </si>
  <si>
    <t>Inducement:C31..Inducement:C31</t>
  </si>
  <si>
    <t>Will loan/s be repaid from project revenues?</t>
  </si>
  <si>
    <t>(If Source is a grant, enter "G".)</t>
  </si>
  <si>
    <t xml:space="preserve">            a)</t>
  </si>
  <si>
    <t xml:space="preserve">              $</t>
  </si>
  <si>
    <t xml:space="preserve">            b)</t>
  </si>
  <si>
    <t xml:space="preserve">            c)</t>
  </si>
  <si>
    <t xml:space="preserve">            d)</t>
  </si>
  <si>
    <t xml:space="preserve">            e)</t>
  </si>
  <si>
    <t xml:space="preserve">            f)</t>
  </si>
  <si>
    <t xml:space="preserve">            By:</t>
  </si>
  <si>
    <t xml:space="preserve">           By:</t>
  </si>
  <si>
    <t>(Developer or Authorized Signatory)</t>
  </si>
  <si>
    <t>NJHMFA Executive Director or Designee</t>
  </si>
  <si>
    <t>TOT_SOURCES</t>
  </si>
  <si>
    <t>Inducement:D610</t>
  </si>
  <si>
    <t>TOT_UTIL</t>
  </si>
  <si>
    <t>Inducement:I209..Inducement:I209</t>
  </si>
  <si>
    <t>TOT_WAGE</t>
  </si>
  <si>
    <t>Inducement:J185..Inducement:J185</t>
  </si>
  <si>
    <t>VACANCY$</t>
  </si>
  <si>
    <t>Inducement:F330..Inducement:F330</t>
  </si>
  <si>
    <t>Dev. Name:</t>
  </si>
  <si>
    <t>VACANCY%</t>
  </si>
  <si>
    <t>Inducement:D330</t>
  </si>
  <si>
    <t>WKS_MORTGAGE</t>
  </si>
  <si>
    <t>Inducement:H389</t>
  </si>
  <si>
    <t>\0</t>
  </si>
  <si>
    <t>Inducement:M45..Inducement:M46</t>
  </si>
  <si>
    <t>\A</t>
  </si>
  <si>
    <t>(Borrower's Mailing Address)</t>
  </si>
  <si>
    <t xml:space="preserve">Indemnification/Commitment Fee </t>
  </si>
  <si>
    <r>
      <t xml:space="preserve">Includes Interest of: </t>
    </r>
    <r>
      <rPr>
        <b/>
        <sz val="9"/>
        <rFont val="Arial"/>
        <family val="2"/>
      </rPr>
      <t>$</t>
    </r>
  </si>
  <si>
    <t>Cash Sources</t>
  </si>
  <si>
    <t>Non-Cash</t>
  </si>
  <si>
    <t>Sources</t>
  </si>
  <si>
    <t>pledged</t>
  </si>
  <si>
    <t xml:space="preserve">deferred  </t>
  </si>
  <si>
    <t>Total of Funding Sources:</t>
  </si>
  <si>
    <t>TOTAL ALL (Cash &amp; Non-Cash )FUNDING SOURCES:</t>
  </si>
  <si>
    <t xml:space="preserve">Taxes due at closing </t>
  </si>
  <si>
    <t>Title Insurance &amp; Recording Fees</t>
  </si>
  <si>
    <t>Borrower's Attorney Fees</t>
  </si>
  <si>
    <t>Points</t>
  </si>
  <si>
    <t>Tax Credit Fees</t>
  </si>
  <si>
    <t>Escrow to cover R &amp; R</t>
  </si>
  <si>
    <t>less Amt. Pledged/Deferred @ Closing:</t>
  </si>
  <si>
    <t>Developer Fee Recap</t>
  </si>
  <si>
    <t>Inducement:E215..Inducement:E215</t>
  </si>
  <si>
    <t xml:space="preserve">        I. </t>
  </si>
  <si>
    <t>ADMINISTRATIVE EXPENSE</t>
  </si>
  <si>
    <t xml:space="preserve">       II.</t>
  </si>
  <si>
    <t>SALARIES &amp;</t>
  </si>
  <si>
    <t xml:space="preserve">        #  of</t>
  </si>
  <si>
    <t xml:space="preserve"> Total Wages</t>
  </si>
  <si>
    <t>\B</t>
  </si>
  <si>
    <t>Inducement:M63..Inducement:M63</t>
  </si>
  <si>
    <t>RELATED CHARGES</t>
  </si>
  <si>
    <t>Employees</t>
  </si>
  <si>
    <t>inc benefits</t>
  </si>
  <si>
    <t>\C</t>
  </si>
  <si>
    <t>Inducement:M57</t>
  </si>
  <si>
    <t>\F</t>
  </si>
  <si>
    <t>Superintendent</t>
  </si>
  <si>
    <t>\L</t>
  </si>
  <si>
    <t>Inducement:M59</t>
  </si>
  <si>
    <t>Telephone</t>
  </si>
  <si>
    <t>Janitorial</t>
  </si>
  <si>
    <t>\N</t>
  </si>
  <si>
    <t>Amount to be used for Rehabilatation</t>
  </si>
  <si>
    <t>Inducement:M8..Inducement:M8</t>
  </si>
  <si>
    <t>Dues &amp; Sub.</t>
  </si>
  <si>
    <t>Grounds &amp; Landscaping</t>
  </si>
  <si>
    <t>\O</t>
  </si>
  <si>
    <t>Postage</t>
  </si>
  <si>
    <t>Security</t>
  </si>
  <si>
    <t>\P</t>
  </si>
  <si>
    <t>Inducement:M49</t>
  </si>
  <si>
    <t>Insp. &amp; Other Fees</t>
  </si>
  <si>
    <t>Social Services</t>
  </si>
  <si>
    <t>\S</t>
  </si>
  <si>
    <t>6.  USES of FUNDS FOR PERMANENT Close-out:</t>
  </si>
  <si>
    <t>Inducement:M51</t>
  </si>
  <si>
    <t>Advertising</t>
  </si>
  <si>
    <t>Site Office &amp; Admin</t>
  </si>
  <si>
    <t>\W</t>
  </si>
  <si>
    <t>Inducement:M53</t>
  </si>
  <si>
    <t>Legal Services</t>
  </si>
  <si>
    <t>Maintenance</t>
  </si>
  <si>
    <t>\X</t>
  </si>
  <si>
    <t>Inducement:M53..Inducement:M68</t>
  </si>
  <si>
    <t>Auditing (Year End)</t>
  </si>
  <si>
    <t>Other Salaries:</t>
  </si>
  <si>
    <t>\Y</t>
  </si>
  <si>
    <t>Inducement:M66</t>
  </si>
  <si>
    <t>Soc. Serv. Suppl.</t>
  </si>
  <si>
    <t>Empl. Benefits</t>
  </si>
  <si>
    <t>Empl. Payroll Taxes</t>
  </si>
  <si>
    <t>Worker's Comp.</t>
  </si>
  <si>
    <t xml:space="preserve">                   a)</t>
  </si>
  <si>
    <t>Other:</t>
  </si>
  <si>
    <t>Misc. Adm. Expenses</t>
  </si>
  <si>
    <t xml:space="preserve">                       TOTAL   $  </t>
  </si>
  <si>
    <t xml:space="preserve">       III. </t>
  </si>
  <si>
    <t>MAINTENANCE AND REPAIRS</t>
  </si>
  <si>
    <t xml:space="preserve">       IV.</t>
  </si>
  <si>
    <t>MAINTENANCE CONTRACTS</t>
  </si>
  <si>
    <t>Masonary</t>
  </si>
  <si>
    <t>Carpentry</t>
  </si>
  <si>
    <t>Elevator</t>
  </si>
  <si>
    <t>Plumbing</t>
  </si>
  <si>
    <t>Rubbish Removal</t>
  </si>
  <si>
    <t>Electrical</t>
  </si>
  <si>
    <t>Heating &amp; AC Maint.</t>
  </si>
  <si>
    <t>Kitchen Equipment</t>
  </si>
  <si>
    <t>Grounds, Parking &amp; Landscaping</t>
  </si>
  <si>
    <t>Exterminating</t>
  </si>
  <si>
    <t>Windows &amp; Glass</t>
  </si>
  <si>
    <t>Cyclical Apt. Painting</t>
  </si>
  <si>
    <t>Vehicles &amp; Equip.</t>
  </si>
  <si>
    <t>Snow Removal</t>
  </si>
  <si>
    <t xml:space="preserve">                        TOTAL   $  </t>
  </si>
  <si>
    <t>Paint &amp; Dec. Supl.</t>
  </si>
  <si>
    <t>Small Equip. &amp; Tools</t>
  </si>
  <si>
    <t xml:space="preserve">       V.</t>
  </si>
  <si>
    <t>UTILITY EXPENSE</t>
  </si>
  <si>
    <t>Janit. Sup. &amp; Tools</t>
  </si>
  <si>
    <t>HVAC Supplies</t>
  </si>
  <si>
    <t>Water Charges</t>
  </si>
  <si>
    <t>Misc. Maint. Suppl.</t>
  </si>
  <si>
    <t>Sewer Charges</t>
  </si>
  <si>
    <t>Electricity</t>
  </si>
  <si>
    <t>Gas</t>
  </si>
  <si>
    <t>Fuel</t>
  </si>
  <si>
    <t xml:space="preserve">       VI.</t>
  </si>
  <si>
    <t>REAL ESTATE TAX CALCULATION FOR TAX ABATEMENT</t>
  </si>
  <si>
    <t>Gross Rents</t>
  </si>
  <si>
    <t xml:space="preserve">            $</t>
  </si>
  <si>
    <t xml:space="preserve">Less Vacancy  </t>
  </si>
  <si>
    <t xml:space="preserve">          ( - )</t>
  </si>
  <si>
    <t>Gross Sheltered Rents</t>
  </si>
  <si>
    <t>x Rate</t>
  </si>
  <si>
    <t xml:space="preserve">            x</t>
  </si>
  <si>
    <t>%</t>
  </si>
  <si>
    <t>Real Estate Taxes</t>
  </si>
  <si>
    <t>SCHEDULE  10-D  :  ANTICIPATED  GROSS  RENTS</t>
  </si>
  <si>
    <t>Mortgage Amount</t>
  </si>
  <si>
    <t>HMFA #</t>
  </si>
  <si>
    <t>Mortgage Interest Rate</t>
  </si>
  <si>
    <t xml:space="preserve">      Term (years)</t>
  </si>
  <si>
    <t>Amortization (Y,S,M)</t>
  </si>
  <si>
    <t>FMR Area</t>
  </si>
  <si>
    <t>Target **</t>
  </si>
  <si>
    <t>Occupancy</t>
  </si>
  <si>
    <t>TOTALS</t>
  </si>
  <si>
    <t xml:space="preserve">          *</t>
  </si>
  <si>
    <t>Indicate on a separate line which apartment is for the Superintendent.</t>
  </si>
  <si>
    <t>If it's rent-free, put $0 in the Rent column.</t>
  </si>
  <si>
    <t xml:space="preserve">         **</t>
  </si>
  <si>
    <t>Indicate "Low", "Mod" or "Mkt" AND the percentage of median income.</t>
  </si>
  <si>
    <t>Low Income - 50% or less of median income</t>
  </si>
  <si>
    <t>Moderate Income - 50% to 80% of median income</t>
  </si>
  <si>
    <t>Market Income - 80%+ of median income</t>
  </si>
  <si>
    <t xml:space="preserve">        ***</t>
  </si>
  <si>
    <t>Where tenants pay their own utilities, a "utility allowance" must be subtracted</t>
  </si>
  <si>
    <t>from the maximum chargeable rent when determining their rental charge.</t>
  </si>
  <si>
    <t>EQUIPMENT AND SERVICES</t>
  </si>
  <si>
    <t>Gas, Electric</t>
  </si>
  <si>
    <t>Paid by</t>
  </si>
  <si>
    <t xml:space="preserve">          (a)</t>
  </si>
  <si>
    <t>Equipment:</t>
  </si>
  <si>
    <t xml:space="preserve">          (b)</t>
  </si>
  <si>
    <t>Tenant</t>
  </si>
  <si>
    <t>Ranges</t>
  </si>
  <si>
    <t>Heat</t>
  </si>
  <si>
    <t>Refrigerator</t>
  </si>
  <si>
    <t>Hot Water</t>
  </si>
  <si>
    <t>Air Conditioning</t>
  </si>
  <si>
    <t>Cooking</t>
  </si>
  <si>
    <t>Laundry Facilities</t>
  </si>
  <si>
    <t>Disposal</t>
  </si>
  <si>
    <t>Household Electric</t>
  </si>
  <si>
    <t>Dishwasher</t>
  </si>
  <si>
    <t>Water</t>
  </si>
  <si>
    <t>Carpet</t>
  </si>
  <si>
    <t>Sewer</t>
  </si>
  <si>
    <t>Drapes</t>
  </si>
  <si>
    <t>Swimming Pool</t>
  </si>
  <si>
    <t>Tennis Court</t>
  </si>
  <si>
    <t>COMMERCIAL SPACE</t>
  </si>
  <si>
    <r>
      <t xml:space="preserve">   C</t>
    </r>
    <r>
      <rPr>
        <b/>
        <u val="single"/>
        <sz val="12"/>
        <rFont val="Times New Roman"/>
        <family val="1"/>
      </rPr>
      <t xml:space="preserve">. Negative Arbitrage </t>
    </r>
    <r>
      <rPr>
        <b/>
        <u val="single"/>
        <sz val="18"/>
        <rFont val="Times New Roman"/>
        <family val="1"/>
      </rPr>
      <t>*</t>
    </r>
  </si>
  <si>
    <r>
      <t xml:space="preserve">   D</t>
    </r>
    <r>
      <rPr>
        <b/>
        <u val="single"/>
        <sz val="12"/>
        <rFont val="Times New Roman"/>
        <family val="1"/>
      </rPr>
      <t xml:space="preserve">. Cost of Issuance </t>
    </r>
    <r>
      <rPr>
        <b/>
        <u val="single"/>
        <sz val="18"/>
        <rFont val="Times New Roman"/>
        <family val="1"/>
      </rPr>
      <t>*</t>
    </r>
  </si>
  <si>
    <t>7. TOTAL of NUMBER 6 A-F ABOVE:</t>
  </si>
  <si>
    <r>
      <t xml:space="preserve">   F. </t>
    </r>
    <r>
      <rPr>
        <b/>
        <u val="single"/>
        <sz val="12"/>
        <rFont val="Times New Roman"/>
        <family val="1"/>
      </rPr>
      <t>Other:</t>
    </r>
  </si>
  <si>
    <t>(Include all utility costs associated with the commercial space in your description)</t>
  </si>
  <si>
    <t>SCHEDULE   10-E  :  SUMMARY OF ANTICIPATED ANNUAL INCOME AND EXPENSES</t>
  </si>
  <si>
    <t>RENTAL INCOME</t>
  </si>
  <si>
    <t>Apartment Rents</t>
  </si>
  <si>
    <t xml:space="preserve">           $</t>
  </si>
  <si>
    <t>% )         -</t>
  </si>
  <si>
    <t>NET APT. RENTS</t>
  </si>
  <si>
    <t>Commercial Income</t>
  </si>
  <si>
    <t>Garage &amp; Parking</t>
  </si>
  <si>
    <t>Commercial Vacancy</t>
  </si>
  <si>
    <t>NET COMMERCIAL RENTALS</t>
  </si>
  <si>
    <t>TOTAL RENTAL INCOME</t>
  </si>
  <si>
    <t>OTHER INCOME</t>
  </si>
  <si>
    <t>Laundry Machines</t>
  </si>
  <si>
    <t>TOTAL OTHER INCOME</t>
  </si>
  <si>
    <t>TOTAL REVENUE</t>
  </si>
  <si>
    <t>EXPENSES</t>
  </si>
  <si>
    <t>Insurance</t>
  </si>
  <si>
    <t>Reserve for Repair and Replacement</t>
  </si>
  <si>
    <t>TOTAL EXPENSES</t>
  </si>
  <si>
    <t>NET OPERATING INCOME</t>
  </si>
  <si>
    <t>DEBT SERVICE</t>
  </si>
  <si>
    <t xml:space="preserve">                 $</t>
  </si>
  <si>
    <t xml:space="preserve">funda </t>
  </si>
  <si>
    <t>fundb</t>
  </si>
  <si>
    <t>fundc</t>
  </si>
  <si>
    <t>AGENCY DEBT SERVICE</t>
  </si>
  <si>
    <t>fundd</t>
  </si>
  <si>
    <t>funde</t>
  </si>
  <si>
    <t>fundf</t>
  </si>
  <si>
    <t>total Y</t>
  </si>
  <si>
    <t>TOTAL DEBT SERVICE</t>
  </si>
  <si>
    <t>NET INCOME</t>
  </si>
  <si>
    <t>%  on   $</t>
  </si>
  <si>
    <t>)            -    $</t>
  </si>
  <si>
    <t>Project Profit/(Loss)</t>
  </si>
  <si>
    <t xml:space="preserve">        DEBT SERVICE RATIO CALCULATION :</t>
  </si>
  <si>
    <t xml:space="preserve">    NET OPERATING INCOME</t>
  </si>
  <si>
    <t xml:space="preserve">    DSR  =</t>
  </si>
  <si>
    <t xml:space="preserve">    AGENCY DEBT SERVICE</t>
  </si>
  <si>
    <t xml:space="preserve">           =</t>
  </si>
  <si>
    <t>return on equity fund amt</t>
  </si>
  <si>
    <t>New  Agency</t>
  </si>
  <si>
    <t>New  Mortgage</t>
  </si>
  <si>
    <t>Debt Serv</t>
  </si>
  <si>
    <t>Enter</t>
  </si>
  <si>
    <t>{Optimizer.Model_Cell Inducement:M395..M395}</t>
  </si>
  <si>
    <t>Here</t>
  </si>
  <si>
    <t>è</t>
  </si>
  <si>
    <t>{Optimizer.Load_Model}{Optimizer.Solve}</t>
  </si>
  <si>
    <t xml:space="preserve">                   QUALIFIED</t>
  </si>
  <si>
    <t>BASIS</t>
  </si>
  <si>
    <t>X</t>
  </si>
  <si>
    <t>;ERR1</t>
  </si>
  <si>
    <t>Printing Page A ... Please Wait</t>
  </si>
  <si>
    <t>Printing Page B ... Please Wait</t>
  </si>
  <si>
    <t>2nd Note/Mortgage (Amortizing)</t>
  </si>
  <si>
    <t>Debt Service-2nd Note/Mortgage (amortizing)</t>
  </si>
  <si>
    <t>Printing Page C ... Please Wait</t>
  </si>
  <si>
    <t>Printing Page D ... Please Wait</t>
  </si>
  <si>
    <t>Printing Page E ... Please Wait</t>
  </si>
  <si>
    <t>Printing Page F ... Please Wait</t>
  </si>
  <si>
    <t>Printing Page G ... Please Wait</t>
  </si>
  <si>
    <t xml:space="preserve">Your Job Has Completed </t>
  </si>
  <si>
    <t xml:space="preserve">INVALID RESPONSE </t>
  </si>
  <si>
    <t>ENTER Y , S OR M</t>
  </si>
  <si>
    <t>DATE</t>
  </si>
  <si>
    <t>INIT</t>
  </si>
  <si>
    <t>MODIFCATIONS</t>
  </si>
  <si>
    <t>LES</t>
  </si>
  <si>
    <t>UNPROTECTED STAGES &amp; PROJECT TYPE</t>
  </si>
  <si>
    <t>CHANGED COST OF LAND &amp; IMPROV PER DU &amp; SQFT TO INCLUDE BUILDING</t>
  </si>
  <si>
    <t>ACQUISTION (1B)</t>
  </si>
  <si>
    <t>7/9/93</t>
  </si>
  <si>
    <t>les</t>
  </si>
  <si>
    <t>HMFA#:</t>
  </si>
  <si>
    <t>HMFA First Mortgage, Note I</t>
  </si>
  <si>
    <r>
      <t xml:space="preserve">Small Rental Subsidy Loan </t>
    </r>
    <r>
      <rPr>
        <b/>
        <i/>
        <sz val="10"/>
        <color indexed="10"/>
        <rFont val="Times New Roman"/>
        <family val="1"/>
      </rPr>
      <t>(if applicable)</t>
    </r>
  </si>
  <si>
    <t>HOPE VI Funds (if applicable)</t>
  </si>
  <si>
    <t>Additional Sponsor Equity</t>
  </si>
  <si>
    <t>TOTAL PROPOSED SOURCES</t>
  </si>
  <si>
    <r>
      <t xml:space="preserve">HMFA Note II  </t>
    </r>
    <r>
      <rPr>
        <b/>
        <i/>
        <sz val="10"/>
        <color indexed="10"/>
        <rFont val="Times New Roman"/>
        <family val="1"/>
      </rPr>
      <t>(if applicable</t>
    </r>
  </si>
  <si>
    <t>Note II Interest</t>
  </si>
  <si>
    <t>Note II Escrow</t>
  </si>
  <si>
    <t>*Escrowed at permanent closing for Note II repayment:</t>
  </si>
  <si>
    <t>Note II plus Interest</t>
  </si>
  <si>
    <t>Disbursement</t>
  </si>
  <si>
    <t>Amount</t>
  </si>
  <si>
    <t>Imported 10-G standalone changes into Form10.  Changed  Develop Fee % calc. (reversed divsion)</t>
  </si>
  <si>
    <t xml:space="preserve">Added Sponsor Equity - line 13a,b,c  </t>
  </si>
  <si>
    <t>Changed carryover of sources based on Y,N,G source flages on pages E &amp; F</t>
  </si>
  <si>
    <t xml:space="preserve">changed application speedbar command </t>
  </si>
  <si>
    <t xml:space="preserve">unprotected fields on top of 10-G </t>
  </si>
  <si>
    <t>* Changed 10-G Development Fee Reference (looking in column H rather than J)</t>
  </si>
  <si>
    <t xml:space="preserve">Change Print Scaling to 81% - Widen Columns H &amp; E </t>
  </si>
  <si>
    <t>Per DD - On Page 10D modified No of Bed &amp; No of Units columns to be inputted</t>
  </si>
  <si>
    <t>rather than carried over from Page A. Need to split out unit income types</t>
  </si>
  <si>
    <t>Date Action Taken</t>
  </si>
  <si>
    <t xml:space="preserve">Page 10E - changed net commercial rentals = commerical inc + garage  (-) comm vacancys </t>
  </si>
  <si>
    <t>ACTUAL TAXES</t>
  </si>
  <si>
    <t xml:space="preserve">OR </t>
  </si>
  <si>
    <t>IF NO P.I.L.O.T.</t>
  </si>
  <si>
    <t xml:space="preserve"> was adding the three fields before.</t>
  </si>
  <si>
    <t>Page 10C - Changed Computer Charges to be Dwelling Units * 44.4 (was 40.4)</t>
  </si>
  <si>
    <t>03/28/95</t>
  </si>
  <si>
    <t>removed startup macro \0 which would put up the Form10 application Bar from I:</t>
  </si>
  <si>
    <t>since this is being used on r2d2 &amp; njhmfa</t>
  </si>
  <si>
    <t>Permanent Loan Only</t>
  </si>
  <si>
    <t xml:space="preserve">No. of </t>
  </si>
  <si>
    <t xml:space="preserve">                     TOTAL   $  </t>
  </si>
  <si>
    <t xml:space="preserve">   Amount</t>
  </si>
  <si>
    <t xml:space="preserve">(Select either Family or Senior Citizens (NOT BOTH)) </t>
  </si>
  <si>
    <t>SCHEDULE 10-C: OPERATING EXPENSES</t>
  </si>
  <si>
    <t>per unit</t>
  </si>
  <si>
    <t>Project Street Address</t>
  </si>
  <si>
    <t>Allowance for</t>
  </si>
  <si>
    <t>Tenant Paid</t>
  </si>
  <si>
    <t>Utilities***</t>
  </si>
  <si>
    <t>Re-Commitment</t>
  </si>
  <si>
    <t>Bond Sale</t>
  </si>
  <si>
    <t>Inducement</t>
  </si>
  <si>
    <t>Tax Exempt</t>
  </si>
  <si>
    <t>Taxable</t>
  </si>
  <si>
    <t xml:space="preserve">            g)</t>
  </si>
  <si>
    <t xml:space="preserve">            h)</t>
  </si>
  <si>
    <t xml:space="preserve">Vacancy Loss          </t>
  </si>
  <si>
    <t>(</t>
  </si>
  <si>
    <t xml:space="preserve">Management Fee       </t>
  </si>
  <si>
    <t xml:space="preserve">                    1. Principal and Interest</t>
  </si>
  <si>
    <t xml:space="preserve">                    2. Mortg &amp; Bond Serv Fee</t>
  </si>
  <si>
    <t xml:space="preserve">Less Utilities (if applicable)       </t>
  </si>
  <si>
    <t xml:space="preserve">No. of      </t>
  </si>
  <si>
    <t xml:space="preserve">Bedrooms      </t>
  </si>
  <si>
    <t xml:space="preserve">Units     </t>
  </si>
  <si>
    <t>Monthly</t>
  </si>
  <si>
    <t>Annual</t>
  </si>
  <si>
    <t xml:space="preserve">                    3. MIP</t>
  </si>
  <si>
    <t>Type of Development</t>
  </si>
  <si>
    <t xml:space="preserve">Type of Loan </t>
  </si>
  <si>
    <t xml:space="preserve">Type of Financing </t>
  </si>
  <si>
    <t>Rent as to the applicable Area Median Income.</t>
  </si>
  <si>
    <r>
      <t xml:space="preserve">NOTE:  </t>
    </r>
    <r>
      <rPr>
        <b/>
        <u val="single"/>
        <sz val="12"/>
        <rFont val="Times New Roman"/>
        <family val="1"/>
      </rPr>
      <t>The percentage listed in this section is merely the percentage of the Gross</t>
    </r>
  </si>
  <si>
    <t xml:space="preserve">Stationery &amp; Suppl.      </t>
  </si>
  <si>
    <t>Services:</t>
  </si>
  <si>
    <t xml:space="preserve">or Oil </t>
  </si>
  <si>
    <t>Date:</t>
  </si>
  <si>
    <t>DEVELOPMENT COSTS</t>
  </si>
  <si>
    <t>Total Project Costs:</t>
  </si>
  <si>
    <t>Total No. of Units:</t>
  </si>
  <si>
    <t>Project's Total Sq. Ft.:</t>
  </si>
  <si>
    <t>Acquisition Costs</t>
  </si>
  <si>
    <t>Construction Costs</t>
  </si>
  <si>
    <t>Professional Fees</t>
  </si>
  <si>
    <t>Developer Fee</t>
  </si>
  <si>
    <t>Financial Information:</t>
  </si>
  <si>
    <t>Acquisition</t>
  </si>
  <si>
    <t>/DU</t>
  </si>
  <si>
    <t>/SF</t>
  </si>
  <si>
    <t>Developer's Fee</t>
  </si>
  <si>
    <t>TOTAL DEVELOPMENT COST</t>
  </si>
  <si>
    <t>LESS PROPOSED SOURCES</t>
  </si>
  <si>
    <t>&lt;List the sources that apply to your project and place $ amount in Column D&gt;</t>
  </si>
  <si>
    <t>LIHTC Equity</t>
  </si>
  <si>
    <t xml:space="preserve">  H. Working Capital Escrow</t>
  </si>
  <si>
    <t xml:space="preserve">  I. Other Escrows</t>
  </si>
  <si>
    <t xml:space="preserve">           h) Other: </t>
  </si>
  <si>
    <t>&lt;Add the following if there is a second note&gt;</t>
  </si>
  <si>
    <t>REPAYMENT OF HMFA SECOND NOTE PLUS INTEREST</t>
  </si>
  <si>
    <t>Project Name</t>
  </si>
  <si>
    <t>Bookkeeping/Accounting</t>
  </si>
  <si>
    <t>Less Neg. Cash Flow</t>
  </si>
  <si>
    <t>List Source</t>
  </si>
  <si>
    <t>Super's Apt.*</t>
  </si>
  <si>
    <t>ANTICIPATED GROSS RENTS</t>
  </si>
  <si>
    <t xml:space="preserve">Administrative     </t>
  </si>
  <si>
    <t>(Schedule I)</t>
  </si>
  <si>
    <t>NOTE: For Underwriting Purposes Only, Target Occupancy is based on (1) person per Bedroom</t>
  </si>
  <si>
    <t xml:space="preserve">Salaries               </t>
  </si>
  <si>
    <t xml:space="preserve">Maint. &amp; Repairs </t>
  </si>
  <si>
    <t>(Schedule III)</t>
  </si>
  <si>
    <t xml:space="preserve">Utilities                </t>
  </si>
  <si>
    <t>(Schedule V)</t>
  </si>
  <si>
    <t xml:space="preserve">Maint. Contracts  </t>
  </si>
  <si>
    <t>(Schedule IV)</t>
  </si>
  <si>
    <t>(Schedule II)</t>
  </si>
  <si>
    <t xml:space="preserve">Real Estate Taxes </t>
  </si>
  <si>
    <t>(Schedule VI)</t>
  </si>
  <si>
    <t xml:space="preserve">               Less Return on Equity                      ( </t>
  </si>
  <si>
    <t>Principal    $</t>
  </si>
  <si>
    <t>) mos.                      $</t>
  </si>
  <si>
    <t xml:space="preserve">    j) Professional Planner:</t>
  </si>
  <si>
    <t xml:space="preserve">    i) General Requirments</t>
  </si>
  <si>
    <r>
      <t xml:space="preserve">     </t>
    </r>
    <r>
      <rPr>
        <sz val="12"/>
        <rFont val="Times New Roman"/>
        <family val="1"/>
      </rPr>
      <t>a)  Hard Costs</t>
    </r>
  </si>
  <si>
    <t>Total          $</t>
  </si>
  <si>
    <t xml:space="preserve">                             $</t>
  </si>
  <si>
    <t xml:space="preserve">              (</t>
  </si>
  <si>
    <t>Interest @</t>
  </si>
  <si>
    <t xml:space="preserve">                on            $</t>
  </si>
  <si>
    <t>%    for              (</t>
  </si>
  <si>
    <t>%    for             (</t>
  </si>
  <si>
    <t>Construction &amp; Permanent Loan</t>
  </si>
  <si>
    <t>%                                     $</t>
  </si>
  <si>
    <t xml:space="preserve">    c) Relocation</t>
  </si>
  <si>
    <t xml:space="preserve">    d) Other:</t>
  </si>
  <si>
    <t xml:space="preserve">    f) Surety &amp; Bonding</t>
  </si>
  <si>
    <t xml:space="preserve">    g) Building Permits</t>
  </si>
  <si>
    <t xml:space="preserve">     b)  Soft Costs</t>
  </si>
  <si>
    <t xml:space="preserve">    a) Appraisal &amp; Market Study</t>
  </si>
  <si>
    <t xml:space="preserve">    b) Architect</t>
  </si>
  <si>
    <t xml:space="preserve">    d) Attorney</t>
  </si>
  <si>
    <t xml:space="preserve">    f) Environmental Consultant</t>
  </si>
  <si>
    <t xml:space="preserve">    g) Historical Consultant</t>
  </si>
  <si>
    <t>ENTER DOLLAR AMOUNT</t>
  </si>
  <si>
    <t xml:space="preserve">    h) Garage Parking</t>
  </si>
  <si>
    <t xml:space="preserve">    i) Tax Credit Fees</t>
  </si>
  <si>
    <t xml:space="preserve">    a) Land</t>
  </si>
  <si>
    <t>Cost</t>
  </si>
  <si>
    <t>Costs</t>
  </si>
  <si>
    <t>DEVELOPMENT:</t>
  </si>
  <si>
    <t>Annual % of Rent Increase:</t>
  </si>
  <si>
    <t>Permanent Mortgage (1st Note)</t>
  </si>
  <si>
    <t>HMFA #:</t>
  </si>
  <si>
    <t>Annual Expense Increase:</t>
  </si>
  <si>
    <t>Interest Rate:</t>
  </si>
  <si>
    <t>LOAN OFFICER:</t>
  </si>
  <si>
    <t>Vacancy:</t>
  </si>
  <si>
    <t>Term:</t>
  </si>
  <si>
    <t>DATE:</t>
  </si>
  <si>
    <t>Commercial Rent Increase:</t>
  </si>
  <si>
    <t>Annual Payment:</t>
  </si>
  <si>
    <t xml:space="preserve">Number of </t>
  </si>
  <si>
    <t xml:space="preserve">Unit </t>
  </si>
  <si>
    <t xml:space="preserve">Target </t>
  </si>
  <si>
    <t>Commercial Vacancy:</t>
  </si>
  <si>
    <t>Servicing Fee:</t>
  </si>
  <si>
    <t>Bedrooms</t>
  </si>
  <si>
    <t>Units</t>
  </si>
  <si>
    <t>Sq.Ft.</t>
  </si>
  <si>
    <t>Rent</t>
  </si>
  <si>
    <t>MIP:</t>
  </si>
  <si>
    <t>Utilities</t>
  </si>
  <si>
    <t>PILOT Calculation</t>
  </si>
  <si>
    <t>Year 1</t>
  </si>
  <si>
    <t>Rental Income</t>
  </si>
  <si>
    <t>Gross Rental Income</t>
  </si>
  <si>
    <t>Less: Vacancy</t>
  </si>
  <si>
    <t>Net Rental Income</t>
  </si>
  <si>
    <t>Less: Owner-pd Utilities</t>
  </si>
  <si>
    <t>Basis for PILOT Calc.</t>
  </si>
  <si>
    <t>PILOT Rate</t>
  </si>
  <si>
    <t>PILOT Payment Estimate</t>
  </si>
  <si>
    <r>
      <t xml:space="preserve">Yrs.   </t>
    </r>
    <r>
      <rPr>
        <b/>
        <sz val="12"/>
        <rFont val="Times New Roman"/>
        <family val="1"/>
      </rPr>
      <t>The Interest rate has been</t>
    </r>
    <r>
      <rPr>
        <sz val="12"/>
        <rFont val="Times New Roman"/>
        <family val="1"/>
      </rPr>
      <t xml:space="preserve"> </t>
    </r>
  </si>
  <si>
    <t>reduced by:</t>
  </si>
  <si>
    <t xml:space="preserve">       as the Cost-of-Issuance is being</t>
  </si>
  <si>
    <t xml:space="preserve">        paid out-of-pocket by the sponsor.</t>
  </si>
  <si>
    <t>basis points</t>
  </si>
  <si>
    <t>Commercial:</t>
  </si>
  <si>
    <t>Square Ft.</t>
  </si>
  <si>
    <t>Gross Commercial Income</t>
  </si>
  <si>
    <t>)</t>
  </si>
  <si>
    <t>Commercial</t>
  </si>
  <si>
    <t>Net Commercial Income</t>
  </si>
  <si>
    <t>$/sq. ft.</t>
  </si>
  <si>
    <t>Total</t>
  </si>
  <si>
    <t>PROJECTIONS</t>
  </si>
  <si>
    <t>Year 2</t>
  </si>
  <si>
    <t>Year 3</t>
  </si>
  <si>
    <t>Year 4</t>
  </si>
  <si>
    <t>Year 5</t>
  </si>
  <si>
    <t>Year 6</t>
  </si>
  <si>
    <t>Year 7</t>
  </si>
  <si>
    <t>Year 8</t>
  </si>
  <si>
    <t>Year 9</t>
  </si>
  <si>
    <t>Year 10</t>
  </si>
  <si>
    <t>Year 11</t>
  </si>
  <si>
    <t>Year 12</t>
  </si>
  <si>
    <t>Year 13</t>
  </si>
  <si>
    <t>Year 14</t>
  </si>
  <si>
    <t>Year 15</t>
  </si>
  <si>
    <t>Year 16</t>
  </si>
  <si>
    <t>Year 17</t>
  </si>
  <si>
    <t>Less Vacancy Loss</t>
  </si>
  <si>
    <t xml:space="preserve">   NET APT. RENTS</t>
  </si>
  <si>
    <t xml:space="preserve">Less Commerical Vacancy </t>
  </si>
  <si>
    <t xml:space="preserve">   NET COMMERCIAL RENTALS</t>
  </si>
  <si>
    <t xml:space="preserve">OPERATING EXPENSES  </t>
  </si>
  <si>
    <t xml:space="preserve">Per Unit Cost </t>
  </si>
  <si>
    <t>Administrative</t>
  </si>
  <si>
    <t>Salaries and Benefits</t>
  </si>
  <si>
    <t>Miantenance &amp; Repairs</t>
  </si>
  <si>
    <t>Maintenance Contracts</t>
  </si>
  <si>
    <t>Management Fee</t>
  </si>
  <si>
    <t>PILOT on Housing</t>
  </si>
  <si>
    <t>Replacement Reserves</t>
  </si>
  <si>
    <t xml:space="preserve">Total Per Unit Cost </t>
  </si>
  <si>
    <t>Expense/Income Ratio</t>
  </si>
  <si>
    <t>INCOME AVAIL. FOR DEBT</t>
  </si>
  <si>
    <t>Debt Service-1st Mortgage</t>
  </si>
  <si>
    <t xml:space="preserve">  Total Debt Service</t>
  </si>
  <si>
    <t>Debt Service Ratio</t>
  </si>
  <si>
    <t>DSR from Operations and Reserve</t>
  </si>
  <si>
    <t>CASH FLOW After Debt Service</t>
  </si>
  <si>
    <t>OPERATING RESERVE:</t>
  </si>
  <si>
    <t>Beginning Reserve Balance</t>
  </si>
  <si>
    <t xml:space="preserve">Interest Income </t>
  </si>
  <si>
    <t>Ending Reserve Balance</t>
  </si>
  <si>
    <t>Paid Utilities</t>
  </si>
  <si>
    <t>PILOT on Comm.</t>
  </si>
  <si>
    <t>Net Rent</t>
  </si>
  <si>
    <t xml:space="preserve">Tenant </t>
  </si>
  <si>
    <t>TOTAL RENTAL INCOME:</t>
  </si>
  <si>
    <t>Gross</t>
  </si>
  <si>
    <t>Net.</t>
  </si>
  <si>
    <t xml:space="preserve">      Rent        </t>
  </si>
  <si>
    <t>Rentable</t>
  </si>
  <si>
    <t>=      Area</t>
  </si>
  <si>
    <t xml:space="preserve">     @             ( $</t>
  </si>
  <si>
    <t xml:space="preserve">    g) HMFA Constr.Loan Serv.Fee</t>
  </si>
  <si>
    <t xml:space="preserve">TOTAL   $  </t>
  </si>
  <si>
    <t>Zip Code:</t>
  </si>
  <si>
    <t>Year 18</t>
  </si>
  <si>
    <t>Year 19</t>
  </si>
  <si>
    <t>Year 20</t>
  </si>
  <si>
    <t>Year 21</t>
  </si>
  <si>
    <t>Year 22</t>
  </si>
  <si>
    <t>Year 23</t>
  </si>
  <si>
    <t>Year 24</t>
  </si>
  <si>
    <t>Year 25</t>
  </si>
  <si>
    <t>Year 26</t>
  </si>
  <si>
    <t>Year 27</t>
  </si>
  <si>
    <t>Year 28</t>
  </si>
  <si>
    <t>Year 29</t>
  </si>
  <si>
    <t>Year 30</t>
  </si>
  <si>
    <t>Common/Other Space</t>
  </si>
  <si>
    <t>Commercial Space</t>
  </si>
  <si>
    <t>1. SOURCES OF FUNDS DURING CONSTRUCTION:</t>
  </si>
  <si>
    <t>TOTAL SOURCES OF CONSTRUCTIONS FUNDS:</t>
  </si>
  <si>
    <t>2.  USES of FUNDS DURING CONSTRUCTION:</t>
  </si>
  <si>
    <t xml:space="preserve">           a)  Debt Service &amp; Operating Expenses</t>
  </si>
  <si>
    <t xml:space="preserve">           b) Rental Agent Rent-up Fee (during Rent-up)</t>
  </si>
  <si>
    <t xml:space="preserve">           c) Advertising and Promotion (during Rent-up)</t>
  </si>
  <si>
    <t xml:space="preserve">           a) Insurance (1/2 YR.)</t>
  </si>
  <si>
    <t xml:space="preserve">           b) Taxes (1 Qtr.) </t>
  </si>
  <si>
    <t xml:space="preserve">  Borrowing Entity:</t>
  </si>
  <si>
    <t>Term in Years:</t>
  </si>
  <si>
    <t xml:space="preserve">           c) Debt Service Payment &amp; Servicing Fee for 1 Month</t>
  </si>
  <si>
    <t xml:space="preserve">           d) Mortgage Insurance Premium (MIP) 1 year plus 3 months</t>
  </si>
  <si>
    <r>
      <t xml:space="preserve">   </t>
    </r>
    <r>
      <rPr>
        <b/>
        <u val="single"/>
        <sz val="12"/>
        <rFont val="Times New Roman"/>
        <family val="1"/>
      </rPr>
      <t>A. ACQUISITION COSTS:</t>
    </r>
  </si>
  <si>
    <r>
      <t xml:space="preserve">   </t>
    </r>
    <r>
      <rPr>
        <b/>
        <u val="single"/>
        <sz val="12"/>
        <rFont val="Times New Roman"/>
        <family val="1"/>
      </rPr>
      <t>B. CONSTRUCTION COSTS</t>
    </r>
  </si>
  <si>
    <r>
      <t xml:space="preserve">4. BALANCE OF FUNDS NEEDED FOR CONSTRUCTION (overage / </t>
    </r>
    <r>
      <rPr>
        <b/>
        <u val="single"/>
        <sz val="12"/>
        <color indexed="10"/>
        <rFont val="Times New Roman"/>
        <family val="1"/>
      </rPr>
      <t>shortage</t>
    </r>
    <r>
      <rPr>
        <b/>
        <u val="single"/>
        <sz val="12"/>
        <rFont val="Times New Roman"/>
        <family val="1"/>
      </rPr>
      <t>):</t>
    </r>
  </si>
  <si>
    <t>Legislative District:</t>
  </si>
  <si>
    <t>Congressional District:</t>
  </si>
  <si>
    <t>Provide the following:</t>
  </si>
  <si>
    <t>Type of Subsidy</t>
  </si>
  <si>
    <t>Project:</t>
  </si>
  <si>
    <t>Municipality:</t>
  </si>
  <si>
    <t>County:</t>
  </si>
  <si>
    <t>Additional Items Added to Eligible Basis Limits:</t>
  </si>
  <si>
    <t>Special Needs Cycle</t>
  </si>
  <si>
    <t>(Y or N)</t>
  </si>
  <si>
    <t>Volume Cap Tax Credits</t>
  </si>
  <si>
    <t>Total Units (including Super)</t>
  </si>
  <si>
    <t># of Units</t>
  </si>
  <si>
    <t>Per Unit</t>
  </si>
  <si>
    <t>x</t>
  </si>
  <si>
    <t>(include all units)</t>
  </si>
  <si>
    <t>Elig Basis Limit</t>
  </si>
  <si>
    <t>Per Unit Limit</t>
  </si>
  <si>
    <t>EFFICIENCIES</t>
  </si>
  <si>
    <t>1-BR</t>
  </si>
  <si>
    <t>2-BR</t>
  </si>
  <si>
    <t>3-BR</t>
  </si>
  <si>
    <t>4-BR</t>
  </si>
  <si>
    <t>5-BR</t>
  </si>
  <si>
    <t>Reviewer:</t>
  </si>
  <si>
    <t>Stage:</t>
  </si>
  <si>
    <t>QCT</t>
  </si>
  <si>
    <t xml:space="preserve">  (Y or N)</t>
  </si>
  <si>
    <t>Project Name:</t>
  </si>
  <si>
    <t>DDA</t>
  </si>
  <si>
    <t>{Windowsoff}{Paneloff}{Home}</t>
  </si>
  <si>
    <t>Special Needs</t>
  </si>
  <si>
    <t>Scattered Site Single/Duplex</t>
  </si>
  <si>
    <t>Development</t>
  </si>
  <si>
    <t xml:space="preserve">Non-Depreciable </t>
  </si>
  <si>
    <t>Non-Eligible</t>
  </si>
  <si>
    <t>Eligible Basis for</t>
  </si>
  <si>
    <t>Eligible Basis</t>
  </si>
  <si>
    <t>Rehab / NC</t>
  </si>
  <si>
    <t>for Acquisition</t>
  </si>
  <si>
    <t>ACQUISITION</t>
  </si>
  <si>
    <t xml:space="preserve">    Building</t>
  </si>
  <si>
    <t xml:space="preserve">    Relocation</t>
  </si>
  <si>
    <t xml:space="preserve">    Other:   </t>
  </si>
  <si>
    <t>CONSTRUCTION</t>
  </si>
  <si>
    <t xml:space="preserve">    Demolition</t>
  </si>
  <si>
    <t xml:space="preserve">    Off-Site Improvements</t>
  </si>
  <si>
    <t xml:space="preserve">    Residential Structures</t>
  </si>
  <si>
    <t xml:space="preserve">    Environmental Clearances</t>
  </si>
  <si>
    <t xml:space="preserve">    Surety &amp; Bonding</t>
  </si>
  <si>
    <r>
      <t xml:space="preserve">DEBT SERVICE </t>
    </r>
    <r>
      <rPr>
        <b/>
        <sz val="12"/>
        <rFont val="Times New Roman"/>
        <family val="1"/>
      </rPr>
      <t xml:space="preserve">NOT </t>
    </r>
    <r>
      <rPr>
        <sz val="12"/>
        <rFont val="Times New Roman"/>
        <family val="1"/>
      </rPr>
      <t xml:space="preserve">TO BE </t>
    </r>
  </si>
  <si>
    <t xml:space="preserve">    Building Permits</t>
  </si>
  <si>
    <t>CONTRACTOR FEE</t>
  </si>
  <si>
    <t xml:space="preserve">    Contractor Overhead &amp; Profit</t>
  </si>
  <si>
    <t xml:space="preserve">    General Requirements</t>
  </si>
  <si>
    <t>CONTINGENCY</t>
  </si>
  <si>
    <t xml:space="preserve">    Hard Contingency </t>
  </si>
  <si>
    <t xml:space="preserve">    Soft Contingency</t>
  </si>
  <si>
    <t>PROFESSIONAL SERVICES</t>
  </si>
  <si>
    <t xml:space="preserve">    Appraiser &amp; Market Study</t>
  </si>
  <si>
    <t xml:space="preserve">    Architect</t>
  </si>
  <si>
    <t xml:space="preserve">    Attorney</t>
  </si>
  <si>
    <t xml:space="preserve">    Cost Certification / Audit</t>
  </si>
  <si>
    <t xml:space="preserve">    Environmental Consultant</t>
  </si>
  <si>
    <t xml:space="preserve">    Historical Consultant</t>
  </si>
  <si>
    <t xml:space="preserve">    Professional Planner</t>
  </si>
  <si>
    <t xml:space="preserve">    Surveyor</t>
  </si>
  <si>
    <t>CARRYING &amp; FINANCING</t>
  </si>
  <si>
    <t xml:space="preserve">    Interest</t>
  </si>
  <si>
    <t xml:space="preserve">    R.E. Taxes</t>
  </si>
  <si>
    <t xml:space="preserve">    Insurance</t>
  </si>
  <si>
    <t xml:space="preserve">    Title Insurance &amp; Recording</t>
  </si>
  <si>
    <t xml:space="preserve">    Utility Connection Fees</t>
  </si>
  <si>
    <t>Sources used</t>
  </si>
  <si>
    <t>at Closing</t>
  </si>
  <si>
    <t xml:space="preserve">    Other Impact Fees</t>
  </si>
  <si>
    <t xml:space="preserve">    Tax Credit Fees</t>
  </si>
  <si>
    <t>SUB-TOTAL</t>
  </si>
  <si>
    <t>LAND</t>
  </si>
  <si>
    <t>ORGANIZATIONAL COSTS</t>
  </si>
  <si>
    <t>SYNDICATION EXPENSES</t>
  </si>
  <si>
    <t>MARKETING EXP &amp; HAS FEE</t>
  </si>
  <si>
    <t>ESCROWS:</t>
  </si>
  <si>
    <t>Working Capital</t>
  </si>
  <si>
    <t>Operating Deficit Escrow</t>
  </si>
  <si>
    <t>Tax</t>
  </si>
  <si>
    <t>TOTAL</t>
  </si>
  <si>
    <t>Eligible Basis Limit</t>
  </si>
  <si>
    <t>Lesser of Total or Limit</t>
  </si>
  <si>
    <t xml:space="preserve">QCT / DDA Adjustment  </t>
  </si>
  <si>
    <t>FUNDING SOURCE</t>
  </si>
  <si>
    <t>INTEREST</t>
  </si>
  <si>
    <t xml:space="preserve">    AMORTIZATION</t>
  </si>
  <si>
    <t>AMOUNT</t>
  </si>
  <si>
    <t>RATE</t>
  </si>
  <si>
    <t>=</t>
  </si>
  <si>
    <t>Basis as Adjusted</t>
  </si>
  <si>
    <t>Applicable Fraction</t>
  </si>
  <si>
    <t>Qualified Basis</t>
  </si>
  <si>
    <t>Tax Credit Percentage</t>
  </si>
  <si>
    <t>Tax Credits based</t>
  </si>
  <si>
    <t>on Qualified Basis</t>
  </si>
  <si>
    <t>SYNDICATOR</t>
  </si>
  <si>
    <t>LP or Non-Voting Member %</t>
  </si>
  <si>
    <t>PRICING</t>
  </si>
  <si>
    <t>Construction Cost / Unit</t>
  </si>
  <si>
    <t>Reasonably Expected</t>
  </si>
  <si>
    <t>Incurred through</t>
  </si>
  <si>
    <t>Basis</t>
  </si>
  <si>
    <t>CARRYOVER PERCENTAGE</t>
  </si>
  <si>
    <t>DEVELOPER PERCENTAGE INCURRED</t>
  </si>
  <si>
    <t># of Bedrooms</t>
  </si>
  <si>
    <t>Studio, SRO, etc.</t>
  </si>
  <si>
    <t xml:space="preserve">x  .75 = </t>
  </si>
  <si>
    <t>1BR</t>
  </si>
  <si>
    <t xml:space="preserve">x  1 = </t>
  </si>
  <si>
    <t>2BR</t>
  </si>
  <si>
    <t xml:space="preserve">x  2 = </t>
  </si>
  <si>
    <t>3BR</t>
  </si>
  <si>
    <t xml:space="preserve">x  3 = </t>
  </si>
  <si>
    <t>4BR</t>
  </si>
  <si>
    <t xml:space="preserve">x  4 = </t>
  </si>
  <si>
    <t>5BR</t>
  </si>
  <si>
    <t xml:space="preserve">x  5 = </t>
  </si>
  <si>
    <t xml:space="preserve">2 I (b) </t>
  </si>
  <si>
    <t xml:space="preserve">2 I (a) </t>
  </si>
  <si>
    <t xml:space="preserve">1 I (c ) </t>
  </si>
  <si>
    <t xml:space="preserve">HMFA Operating Deficit Reserve </t>
  </si>
  <si>
    <t xml:space="preserve">2 I (f) </t>
  </si>
  <si>
    <t xml:space="preserve">2 I (d) </t>
  </si>
  <si>
    <t>2 I (e)</t>
  </si>
  <si>
    <t>Escrow for HMFA Debt Service &amp; Servicing</t>
  </si>
  <si>
    <t>Escrow to cover DSR short fall in later years</t>
  </si>
  <si>
    <t># of  Bedrooms in Project:</t>
  </si>
  <si>
    <t xml:space="preserve">               # of Bedrooms in Project:</t>
  </si>
  <si>
    <t xml:space="preserve">Total Development Cost       </t>
  </si>
  <si>
    <t xml:space="preserve"> Total Development Cost</t>
  </si>
  <si>
    <t>Per Bedroom</t>
  </si>
  <si>
    <t xml:space="preserve">         # of Bedrooms</t>
  </si>
  <si>
    <t>Contractor Profit/Overhead Limits</t>
  </si>
  <si>
    <t xml:space="preserve">   Construction Contract Amount</t>
  </si>
  <si>
    <t>Bracket %</t>
  </si>
  <si>
    <t>Maximum Fee for</t>
  </si>
  <si>
    <t>Example Calculation of Maximum Contractor Profit/OH</t>
  </si>
  <si>
    <t>Bracket Minimum</t>
  </si>
  <si>
    <t>Bracket Maximum</t>
  </si>
  <si>
    <t>Lower Brackets</t>
  </si>
  <si>
    <t>to</t>
  </si>
  <si>
    <t>$0</t>
  </si>
  <si>
    <t xml:space="preserve">Construction Contract </t>
  </si>
  <si>
    <t>of amount over $   500,000  +</t>
  </si>
  <si>
    <t>of amount over $ 1,000,000 +</t>
  </si>
  <si>
    <t>- Bracket Minimum</t>
  </si>
  <si>
    <t>of amount over $ 5,000,000 +</t>
  </si>
  <si>
    <t>of amount over $10,000,000 +</t>
  </si>
  <si>
    <t>Difference</t>
  </si>
  <si>
    <t>of amount over $15,000,000 +</t>
  </si>
  <si>
    <t>and over</t>
  </si>
  <si>
    <t>of amount over $20,000,000 +</t>
  </si>
  <si>
    <t>x Bracket % for Contract Amount</t>
  </si>
  <si>
    <t>Difference x Bracket %</t>
  </si>
  <si>
    <t>+Maximum Fee for Lower Brackets</t>
  </si>
  <si>
    <t>Amounts</t>
  </si>
  <si>
    <t>included in</t>
  </si>
  <si>
    <t>Maximum Profit &amp; OH</t>
  </si>
  <si>
    <t>Construction Contract</t>
  </si>
  <si>
    <t>Demolition</t>
  </si>
  <si>
    <t>Calculation of Maximum Contractor Profit &amp; Overhead</t>
  </si>
  <si>
    <t>Off-Site Improvements</t>
  </si>
  <si>
    <t>Residential Structures</t>
  </si>
  <si>
    <t>Environmental Clearances</t>
  </si>
  <si>
    <t>Surety &amp; Bonding</t>
  </si>
  <si>
    <t>Building Permits</t>
  </si>
  <si>
    <t xml:space="preserve">Other:   </t>
  </si>
  <si>
    <t>General Requirements</t>
  </si>
  <si>
    <t>+ Maximum Fee for Lower Brackets</t>
  </si>
  <si>
    <t xml:space="preserve">           f) HMFA Operating Deficit Reserve</t>
  </si>
  <si>
    <t xml:space="preserve">    Y, or N, or G</t>
  </si>
  <si>
    <r>
      <t xml:space="preserve">E.  </t>
    </r>
    <r>
      <rPr>
        <b/>
        <u val="single"/>
        <sz val="12"/>
        <rFont val="Arial"/>
        <family val="2"/>
      </rPr>
      <t>Net Settlement</t>
    </r>
    <r>
      <rPr>
        <b/>
        <sz val="12"/>
        <rFont val="Arial"/>
        <family val="2"/>
      </rPr>
      <t>:</t>
    </r>
  </si>
  <si>
    <t>HMFA 1st. Mortgage, NOTE I</t>
  </si>
  <si>
    <t xml:space="preserve">Enter total Amt. of </t>
  </si>
  <si>
    <t>and/or Computer Charges</t>
  </si>
  <si>
    <t>Grant/Loan Here</t>
  </si>
  <si>
    <t>N/A</t>
  </si>
  <si>
    <t>Construction Contract Amount</t>
  </si>
  <si>
    <t>Developer Fee Limits</t>
  </si>
  <si>
    <t>Date of Income Limits Chart Used:</t>
  </si>
  <si>
    <t>Date of Utility Chart Used:</t>
  </si>
  <si>
    <t>Projects with 25 Units or Less</t>
  </si>
  <si>
    <t>Scattered Site Single Family or Duplex Projects</t>
  </si>
  <si>
    <t>General Rule*</t>
  </si>
  <si>
    <t>P.I.L.O.T. on Commercial Income(</t>
  </si>
  <si>
    <t>*Building Acquisition Costs Excluded if Related Party Transaction</t>
  </si>
  <si>
    <t>Construction Cost + Contractor Fee</t>
  </si>
  <si>
    <t>FEDERAL LOW INCOME HOUSING TAX CREDITS</t>
  </si>
  <si>
    <t>OPERATING INCOME</t>
  </si>
  <si>
    <t>PER UNIT</t>
  </si>
  <si>
    <t>ANNUAL</t>
  </si>
  <si>
    <t>YEAR</t>
  </si>
  <si>
    <t>or  %</t>
  </si>
  <si>
    <t>TRENDING</t>
  </si>
  <si>
    <t>INCOME</t>
  </si>
  <si>
    <t>TAX CREDIT UNITS</t>
  </si>
  <si>
    <t>GROSS RENT</t>
  </si>
  <si>
    <t>net rent</t>
  </si>
  <si>
    <t>LAUNDRY</t>
  </si>
  <si>
    <t>PARKING</t>
  </si>
  <si>
    <t>OTHER</t>
  </si>
  <si>
    <t>SUBTOTAL</t>
  </si>
  <si>
    <t>VACANCY</t>
  </si>
  <si>
    <t>PHYSICAL</t>
  </si>
  <si>
    <t>COLLECTION</t>
  </si>
  <si>
    <t>NET</t>
  </si>
  <si>
    <t>SUBSIDIES</t>
  </si>
  <si>
    <t>SECTION 8</t>
  </si>
  <si>
    <t>SECTION 9</t>
  </si>
  <si>
    <t>NON TAX CREDIT UNITS</t>
  </si>
  <si>
    <t>COMMERCIAL INCOME</t>
  </si>
  <si>
    <t>OTHER:</t>
  </si>
  <si>
    <t>EFFECTIVE INCOME</t>
  </si>
  <si>
    <t>Tenant Population</t>
  </si>
  <si>
    <t>Elevator (Y or N)</t>
  </si>
  <si>
    <t>Rehab or New</t>
  </si>
  <si>
    <r>
      <t xml:space="preserve">   E. </t>
    </r>
    <r>
      <rPr>
        <u val="single"/>
        <sz val="12"/>
        <rFont val="Times New Roman"/>
        <family val="1"/>
      </rPr>
      <t>Tax Credit Fees</t>
    </r>
  </si>
  <si>
    <t>ADMINISTRATION</t>
  </si>
  <si>
    <t>SALARIES</t>
  </si>
  <si>
    <t>M&amp;R</t>
  </si>
  <si>
    <t>INSURANCE</t>
  </si>
  <si>
    <t>UTILITIES</t>
  </si>
  <si>
    <t>MANAGEMENT FEE</t>
  </si>
  <si>
    <t>REAL ESTATE TAXES</t>
  </si>
  <si>
    <t>RESERVES</t>
  </si>
  <si>
    <t>SOCIAL SERVICES</t>
  </si>
  <si>
    <t>TOTAL OPERATING EXPENSES</t>
  </si>
  <si>
    <t>FIRST HARD DEBT SERVICE</t>
  </si>
  <si>
    <t>FIRST HARD DEBT SERVICING FEE</t>
  </si>
  <si>
    <t>bp</t>
  </si>
  <si>
    <t>SECOND HARD DEBT SERVICE</t>
  </si>
  <si>
    <t>CASH FLOW AFTER HARD DEBT</t>
  </si>
  <si>
    <t>RATIO ANALYSIS</t>
  </si>
  <si>
    <t>FIRST HARD DEBT COVERAGE RATIO</t>
  </si>
  <si>
    <t>EXPENSE : EFFECTIVE INCOME</t>
  </si>
  <si>
    <t>OPERATING DEFICIT RESERVE</t>
  </si>
  <si>
    <t>INTEREST INCOME</t>
  </si>
  <si>
    <t>UTILIZATION FOR CASH FLOW SHORTFALL</t>
  </si>
  <si>
    <t>BALANCE</t>
  </si>
  <si>
    <t>&lt;PERMANENT PHASE NEEDS ANALYSIS&gt;</t>
  </si>
  <si>
    <t>Total Maximum LIHTC</t>
  </si>
  <si>
    <t>INVESTOR PROCEEDS NEEDED FROM LOW INC HSG TAX CREDITS</t>
  </si>
  <si>
    <t>FEDERAL LOW INCOME HOUSING TAX CREDITS NEEDED</t>
  </si>
  <si>
    <r>
      <t xml:space="preserve">   D</t>
    </r>
    <r>
      <rPr>
        <b/>
        <u val="single"/>
        <sz val="12"/>
        <rFont val="Times New Roman"/>
        <family val="1"/>
      </rPr>
      <t>. CONTINGENCY</t>
    </r>
  </si>
  <si>
    <r>
      <t xml:space="preserve">   E</t>
    </r>
    <r>
      <rPr>
        <b/>
        <u val="single"/>
        <sz val="12"/>
        <rFont val="Times New Roman"/>
        <family val="1"/>
      </rPr>
      <t>. PROFESSIONAL SERVICES</t>
    </r>
  </si>
  <si>
    <r>
      <t xml:space="preserve">   G</t>
    </r>
    <r>
      <rPr>
        <b/>
        <u val="single"/>
        <sz val="12"/>
        <rFont val="Times New Roman"/>
        <family val="1"/>
      </rPr>
      <t>. CARRYING AND FINANCING COSTS DURING CONSTRUCTION</t>
    </r>
  </si>
  <si>
    <t>3. USES OF FUNDS DURING CONSTRUCTION:</t>
  </si>
  <si>
    <t>per Unit</t>
  </si>
  <si>
    <t>Census Tract:</t>
  </si>
  <si>
    <r>
      <t xml:space="preserve">    f) HMFA Second Note Financing Fee</t>
    </r>
    <r>
      <rPr>
        <b/>
        <sz val="12"/>
        <rFont val="Times New Roman"/>
        <family val="1"/>
      </rPr>
      <t>[Cons't &amp; Perm Only]</t>
    </r>
    <r>
      <rPr>
        <sz val="12"/>
        <rFont val="Times New Roman"/>
        <family val="1"/>
      </rPr>
      <t xml:space="preserve"> </t>
    </r>
  </si>
  <si>
    <t>Community Service Facility</t>
  </si>
  <si>
    <t>Garage Parking</t>
  </si>
  <si>
    <t xml:space="preserve">    Garage Parking</t>
  </si>
  <si>
    <t xml:space="preserve">           e) Repair &amp; Replacement Reserves</t>
  </si>
  <si>
    <r>
      <t xml:space="preserve">    e) Points To Reduce HMFA Servicing Fee</t>
    </r>
    <r>
      <rPr>
        <b/>
        <sz val="10"/>
        <rFont val="Times New Roman"/>
        <family val="1"/>
      </rPr>
      <t>[Cons't. &amp; Perm. Only]</t>
    </r>
  </si>
  <si>
    <t>Note II plus interest (if applicable)</t>
  </si>
  <si>
    <r>
      <t>Defer'd Devel. Fee</t>
    </r>
    <r>
      <rPr>
        <sz val="10"/>
        <color indexed="10"/>
        <rFont val="Times New Roman"/>
        <family val="1"/>
      </rPr>
      <t xml:space="preserve"> </t>
    </r>
    <r>
      <rPr>
        <b/>
        <i/>
        <sz val="10"/>
        <color indexed="10"/>
        <rFont val="Times New Roman"/>
        <family val="1"/>
      </rPr>
      <t>(To be pd. Thru cash flow)</t>
    </r>
  </si>
  <si>
    <t>If the HMFA will be selling Bonds for the project either before or during the</t>
  </si>
  <si>
    <t xml:space="preserve">            time the Development is under construciton,  these costs</t>
  </si>
  <si>
    <r>
      <t xml:space="preserve">3% Sp. Nds. 1-time serv. fee </t>
    </r>
    <r>
      <rPr>
        <sz val="9"/>
        <color indexed="10"/>
        <rFont val="Arial"/>
        <family val="2"/>
      </rPr>
      <t>(if applicable)</t>
    </r>
    <r>
      <rPr>
        <sz val="9"/>
        <rFont val="Arial"/>
        <family val="2"/>
      </rPr>
      <t xml:space="preserve"> </t>
    </r>
  </si>
  <si>
    <t xml:space="preserve">  should be accounted for during the construction period.</t>
  </si>
  <si>
    <t>Yearly</t>
  </si>
  <si>
    <t>First Years Balance:</t>
  </si>
  <si>
    <t>Interest Rate Annually:</t>
  </si>
  <si>
    <t>Print Date</t>
  </si>
  <si>
    <t>Print Date:</t>
  </si>
  <si>
    <t>15-YEAR OPERATING PROFORMA
REQUIRED SIGN-OFFS</t>
  </si>
  <si>
    <t>We acknowledge the attached pro forma substantially matches the assumptions used in our underwriting of the mortgage (equity investment).</t>
  </si>
  <si>
    <t>1st Mortgagee</t>
  </si>
  <si>
    <t>__________________________________________</t>
  </si>
  <si>
    <t>OR</t>
  </si>
  <si>
    <t>Syndicator/Investor</t>
  </si>
  <si>
    <t>(if no lender)</t>
  </si>
  <si>
    <t>CURRENT INDICATIONS</t>
  </si>
  <si>
    <t>Net Income (Year 1)</t>
  </si>
  <si>
    <t>Net Expense (Year 1)</t>
  </si>
  <si>
    <t>Annual Tax Credit Amount</t>
  </si>
  <si>
    <t>First Mortgage DSCR</t>
  </si>
  <si>
    <t>Fire Suppression System</t>
  </si>
  <si>
    <t>Remaining Cash Flow</t>
  </si>
  <si>
    <t>HMFA Policy is that the Developer fee is earned as a percentage of construction completion.</t>
  </si>
  <si>
    <t>55% of Basis (estimated):</t>
  </si>
  <si>
    <t>% of Item 10</t>
  </si>
  <si>
    <t>(ESTIMATE)</t>
  </si>
  <si>
    <t>Smart Growth</t>
  </si>
  <si>
    <t>The Project is in a:</t>
  </si>
  <si>
    <t>Planning Area:</t>
  </si>
  <si>
    <t>(designate area)</t>
  </si>
  <si>
    <t>Moderate Rehabilitation</t>
  </si>
  <si>
    <t>Tax Credits</t>
  </si>
  <si>
    <t>Check One</t>
  </si>
  <si>
    <t>Historic</t>
  </si>
  <si>
    <t>Term of Mortgage (in years):</t>
  </si>
  <si>
    <t xml:space="preserve">per Sq. Ft.               </t>
  </si>
  <si>
    <t xml:space="preserve">  per Sq. Ft.             $</t>
  </si>
  <si>
    <t>Affordability - Check One</t>
  </si>
  <si>
    <t>** 40% AT 60%</t>
  </si>
  <si>
    <t>*** 20% AT 50%</t>
  </si>
  <si>
    <t>** 40-60 set-aside means 40% or more of the residential units will be restricted and occupied by households whose income is 60% or less than the area median income.</t>
  </si>
  <si>
    <t xml:space="preserve">           g) Other:</t>
  </si>
  <si>
    <t>Home Express:</t>
  </si>
  <si>
    <t>Special Needs:</t>
  </si>
  <si>
    <t xml:space="preserve">Indicate Closing Type By Date </t>
  </si>
  <si>
    <t>Deferred Developer's Fee</t>
  </si>
  <si>
    <t>*** 20-50 set-aside means 20% or more of the residential units will be rent restricted and occupied by households whose income is 50% or less of area median income.</t>
  </si>
  <si>
    <t>Total of Funding Sources plus Cash from Borrower:</t>
  </si>
  <si>
    <t>Subtotal of Funding Sources Used at Closing:</t>
  </si>
  <si>
    <t>Check each line item for Eligibility</t>
  </si>
  <si>
    <r>
      <t xml:space="preserve">   A. </t>
    </r>
    <r>
      <rPr>
        <b/>
        <u val="single"/>
        <sz val="12"/>
        <rFont val="Times New Roman"/>
        <family val="1"/>
      </rPr>
      <t xml:space="preserve"> DEVELOPER'S FEE:</t>
    </r>
  </si>
  <si>
    <t xml:space="preserve">Fire Supression </t>
  </si>
  <si>
    <t xml:space="preserve">                    4. Debt Service on Other </t>
  </si>
  <si>
    <t>Mortgage Loans</t>
  </si>
  <si>
    <t>CONSIDERED IN DSR</t>
  </si>
  <si>
    <t>Studio, Eff, SRO or</t>
  </si>
  <si>
    <r>
      <t xml:space="preserve">The purpose of this chart is to show that the </t>
    </r>
    <r>
      <rPr>
        <b/>
        <sz val="10"/>
        <color indexed="8"/>
        <rFont val="Times New Roman"/>
        <family val="1"/>
      </rPr>
      <t>rent charged for each tax credit eligible unit</t>
    </r>
    <r>
      <rPr>
        <sz val="10"/>
        <color indexed="8"/>
        <rFont val="Times New Roman"/>
        <family val="1"/>
      </rPr>
      <t xml:space="preserve"> is at or below the set-aside selected. See N.J.A.C. 5:80-33.12(c)(7)(i).</t>
    </r>
  </si>
  <si>
    <t>Square Feet of</t>
  </si>
  <si>
    <t>Individual Units</t>
  </si>
  <si>
    <r>
      <t xml:space="preserve">8.  BALANCE NEEDED TO CLOSE (overage / </t>
    </r>
    <r>
      <rPr>
        <b/>
        <u val="single"/>
        <sz val="12"/>
        <color indexed="10"/>
        <rFont val="Times New Roman"/>
        <family val="1"/>
      </rPr>
      <t>shortage</t>
    </r>
    <r>
      <rPr>
        <b/>
        <u val="single"/>
        <sz val="12"/>
        <rFont val="Times New Roman"/>
        <family val="1"/>
      </rPr>
      <t>):</t>
    </r>
  </si>
  <si>
    <t>Less TOTAL DISBURSEMENTS, REIMBURSEMENTS, RESERVES &amp; ESCROWS:</t>
  </si>
  <si>
    <t>9. TOTAL PROJECT COSTS</t>
  </si>
  <si>
    <t>10.  MAXIMUM MORTGAGE LOAN</t>
  </si>
  <si>
    <t xml:space="preserve">11.    55% of Basis Test: </t>
  </si>
  <si>
    <t>12. REPAYMENT OF SECOND NOTE (IFAPPLICABLE)</t>
  </si>
  <si>
    <t>Aggregate Basis:</t>
  </si>
  <si>
    <t xml:space="preserve">            Less 1st Mtg., 1st Note:</t>
  </si>
  <si>
    <t xml:space="preserve">            Equals 1st. Mtg., 2nd Note Needed:</t>
  </si>
  <si>
    <r>
      <t xml:space="preserve">   F</t>
    </r>
    <r>
      <rPr>
        <b/>
        <u val="single"/>
        <sz val="12"/>
        <rFont val="Times New Roman"/>
        <family val="1"/>
      </rPr>
      <t>. PRE-OPERATIONAL EXPENSES *</t>
    </r>
  </si>
  <si>
    <t xml:space="preserve">    a) Operator fees (pre-construction completion) *</t>
  </si>
  <si>
    <t xml:space="preserve">    c) Staffing and Start-up Supplies (pre-construction completion)*</t>
  </si>
  <si>
    <t xml:space="preserve">    b) Advertising and Promotion (pre-construction completion)*</t>
  </si>
  <si>
    <r>
      <t xml:space="preserve">* </t>
    </r>
    <r>
      <rPr>
        <b/>
        <sz val="14"/>
        <rFont val="Times New Roman"/>
        <family val="1"/>
      </rPr>
      <t xml:space="preserve"> Non-eligible costs in TC basis</t>
    </r>
  </si>
  <si>
    <t>130_AMT</t>
  </si>
  <si>
    <t>Inducement:J611</t>
  </si>
  <si>
    <t>130_PERC</t>
  </si>
  <si>
    <t>Inducement:A611</t>
  </si>
  <si>
    <t>NEW JERSEY HOUSING AND MORTGAGE FINANCE AGENCY</t>
  </si>
  <si>
    <t>{Page.Display_Zeros No}</t>
  </si>
  <si>
    <t>Print Script</t>
  </si>
  <si>
    <t>1A</t>
  </si>
  <si>
    <t>Inducement:H90</t>
  </si>
  <si>
    <t>{Windowsoff}{Paneloff}{Home}{let j5,@now}</t>
  </si>
  <si>
    <t>1B</t>
  </si>
  <si>
    <t xml:space="preserve">           Rehabilitation expenses per unit</t>
  </si>
  <si>
    <t xml:space="preserve">            Total Number of Units</t>
  </si>
  <si>
    <t>Inducement:H91</t>
  </si>
  <si>
    <t>{SelectBlock A3..j63}{SetProperty Shading,"3,0,Blend7"}</t>
  </si>
  <si>
    <t>1C</t>
  </si>
  <si>
    <t>Inducement:H92</t>
  </si>
  <si>
    <t>{Message MsgA,30,15,@now+@time(0,0,2)}</t>
  </si>
  <si>
    <t>1D</t>
  </si>
  <si>
    <t>Inducement:H93</t>
  </si>
  <si>
    <t>HMFA#</t>
  </si>
  <si>
    <t>{Print.Block "A3..j63"}{Print.DoPrint}{UNDO}</t>
  </si>
  <si>
    <t>1E</t>
  </si>
  <si>
    <t>Inducement:H94</t>
  </si>
  <si>
    <t>Commitment</t>
  </si>
  <si>
    <t xml:space="preserve">    Date:</t>
  </si>
  <si>
    <t>{SelectBlock A80..j154}{SetProperty Shading,"3,0,Blend7"}</t>
  </si>
  <si>
    <t>2A</t>
  </si>
  <si>
    <t>Inducement:H96</t>
  </si>
  <si>
    <t>Closing</t>
  </si>
  <si>
    <t>Prepared by:</t>
  </si>
  <si>
    <t>{Message MsgB,30,15,@now+@time(0,0,2)}</t>
  </si>
  <si>
    <t>2B</t>
  </si>
  <si>
    <t>Inducement:H97</t>
  </si>
  <si>
    <t>Reviewed by:</t>
  </si>
  <si>
    <t>{Print.Block "A:A80..j154"}{Print.DoPrint}{UNDO}</t>
  </si>
  <si>
    <t>Less Solar Energy Savings</t>
  </si>
  <si>
    <t>2C</t>
  </si>
  <si>
    <t>Inducement:H98</t>
  </si>
  <si>
    <t>{SelectBlock A160..j225}{SetProperty Shading,"3,0,Blend7"}</t>
  </si>
  <si>
    <t>2D</t>
  </si>
  <si>
    <t>Inducement:H99</t>
  </si>
  <si>
    <t>{Message MsgC,30,15,@now+@time(0,0,2)}</t>
  </si>
  <si>
    <t>2E</t>
  </si>
  <si>
    <t>Mtg. Extension</t>
  </si>
  <si>
    <t>Inducement:H100</t>
  </si>
  <si>
    <t>{Print.Block "A160..j225"}{Print.DoPrint}{UNDO}</t>
  </si>
  <si>
    <t>2F</t>
  </si>
  <si>
    <t>Inducement:H101</t>
  </si>
  <si>
    <t>{SelectBlock A240..j308}{SetProperty Shading,"3,0,Blend7"}</t>
  </si>
  <si>
    <t>2G</t>
  </si>
  <si>
    <t>Inducement:H102</t>
  </si>
  <si>
    <t>{Message MsgD,30,15,@now+@time(0,0,2)}</t>
  </si>
  <si>
    <t>ACQ_CREDIT_AMT</t>
  </si>
  <si>
    <t>Inducement:E623</t>
  </si>
  <si>
    <t>{Print.Block "A240..j308"}{Print.DoPrint}{UNDO}</t>
  </si>
  <si>
    <t>ACQ_PERC</t>
  </si>
  <si>
    <t>Inducement:E615</t>
  </si>
  <si>
    <t>Municipality</t>
  </si>
  <si>
    <t xml:space="preserve">  Block No.</t>
  </si>
  <si>
    <t xml:space="preserve">   Lot No.</t>
  </si>
  <si>
    <t>{SelectBlock A320..j385}{SetProperty Shading,"3,0,Blend7"}</t>
  </si>
  <si>
    <t>ACREAGE</t>
  </si>
  <si>
    <t>Inducement:E90..Inducement:E90</t>
  </si>
  <si>
    <t>County</t>
  </si>
  <si>
    <t>{Message MsgE,30,15,@now+@time(0,0,2)}</t>
  </si>
  <si>
    <t>ACTUAL_DEV_FEE</t>
  </si>
  <si>
    <t>Inducement:E621</t>
  </si>
  <si>
    <t>{Print.Block "A320..j385"}{Print.DoPrint}{UNDO}</t>
  </si>
  <si>
    <t>AGENCY_DEBTSERV</t>
  </si>
  <si>
    <t>Inducement:F368</t>
  </si>
  <si>
    <t>Type of Construction</t>
  </si>
  <si>
    <t>{SelectBlock A404..j475}{SetProperty Shading,"3,0,Blend7"}</t>
  </si>
  <si>
    <t>BR#1</t>
  </si>
  <si>
    <t>Inducement:D48..Inducement:D48</t>
  </si>
  <si>
    <t>{Message MsgF,30,15,@now+@time(0,0,2)}</t>
  </si>
  <si>
    <t>BR#10</t>
  </si>
  <si>
    <t>Inducement:D57..Inducement:D57</t>
  </si>
  <si>
    <t>Family</t>
  </si>
  <si>
    <t xml:space="preserve">           i) Other:</t>
  </si>
  <si>
    <t>{Print.Block "A404..j475"}{Print.DoPrint}{UNDO}</t>
  </si>
  <si>
    <t>BR#2</t>
  </si>
  <si>
    <t>Inducement:D49..Inducement:D49</t>
  </si>
  <si>
    <t>Senior Citizens</t>
  </si>
  <si>
    <t>Substantial Rehab.</t>
  </si>
  <si>
    <t>{SelectBlock A477..j547}{SetProperty Shading,"3,0,Blend7"}</t>
  </si>
  <si>
    <t>BR#3</t>
  </si>
  <si>
    <t>Inducement:D50..Inducement:D50</t>
  </si>
  <si>
    <t>New Construction</t>
  </si>
  <si>
    <t>Conversion</t>
  </si>
  <si>
    <t>{Message MsgF2,30,15,@now+@time(0,0,2)}</t>
  </si>
  <si>
    <t xml:space="preserve"> </t>
  </si>
  <si>
    <t>BR#4</t>
  </si>
  <si>
    <t>Inducement:D51..Inducement:D51</t>
  </si>
  <si>
    <t>Modular</t>
  </si>
  <si>
    <t>Rehabilitation/Occupied</t>
  </si>
  <si>
    <t>a</t>
  </si>
  <si>
    <t>b</t>
  </si>
  <si>
    <t>c</t>
  </si>
  <si>
    <t>d</t>
  </si>
  <si>
    <t>e</t>
  </si>
  <si>
    <t>f</t>
  </si>
  <si>
    <t>g</t>
  </si>
  <si>
    <t>h</t>
  </si>
  <si>
    <t>i</t>
  </si>
  <si>
    <t>j</t>
  </si>
  <si>
    <t>k</t>
  </si>
  <si>
    <t>= e + f</t>
  </si>
  <si>
    <t>= g x 12</t>
  </si>
  <si>
    <t>= i x 30%</t>
  </si>
  <si>
    <t>= h / j</t>
  </si>
  <si>
    <t>Unit</t>
  </si>
  <si>
    <t>County Income Limit (100%)</t>
  </si>
  <si>
    <t>30% of</t>
  </si>
  <si>
    <t>Affordability</t>
  </si>
  <si>
    <t>Square Footage</t>
  </si>
  <si>
    <t># of Bathrooms</t>
  </si>
  <si>
    <t>Utility Allowances</t>
  </si>
  <si>
    <t>Gross Rent</t>
  </si>
  <si>
    <t>Annual Gross Rent</t>
  </si>
  <si>
    <t>Adjusted for Family Size</t>
  </si>
  <si>
    <t>County Median Income</t>
  </si>
  <si>
    <t>Percentage</t>
  </si>
  <si>
    <t>Provide information for Superintendent's Unit(s) below:</t>
  </si>
  <si>
    <t>Column A:</t>
  </si>
  <si>
    <t>Show the number of units for each bedroom size.  If you need more lines, you may duplicate this chart.  Show all units in the project on this chart, including market rate units.</t>
  </si>
  <si>
    <t>Column B:</t>
  </si>
  <si>
    <t>1BR, 2BR, 3BR, etc.</t>
  </si>
  <si>
    <t>Column C:</t>
  </si>
  <si>
    <t>Unit Square Footage</t>
  </si>
  <si>
    <t>Column D:</t>
  </si>
  <si>
    <t>1 Bath, 1.5 Baths, 2 Baths, etc.</t>
  </si>
  <si>
    <t>Column E:</t>
  </si>
  <si>
    <t>Show the amount of rent charged for each unit.  This is the actual rent a non-subsidized tenant will pay.  If the unit will be a Section 8 Project Based Assistance unit, you may show Fair Market Rent (FMR).</t>
  </si>
  <si>
    <t>Only Project Based Section 8 may show FMRs.  Even if you anticipate renting to Section 8 Certificate holders, you must still reflect rents at or below 50% or 60% (depending on elected set-aside).</t>
  </si>
  <si>
    <t>Column F:</t>
  </si>
  <si>
    <t>Calculate the utility allowance for each tax credit unit using the chart provided.  Refer to IRS Final Regulation TD 8520 for requirements relating to the calculation of utility allowances.</t>
  </si>
  <si>
    <t>Column G:</t>
  </si>
  <si>
    <t>Add the utility allowance to the monthly rent to find the Gross Rent.</t>
  </si>
  <si>
    <t>Column H:</t>
  </si>
  <si>
    <t>Multiply the Gross Rent by 12 to get the Annualized Gross Rent.</t>
  </si>
  <si>
    <t>Column I:</t>
  </si>
  <si>
    <t>List the county median income limit for the appropriate size household.  Assume 1.5 persons per bedroom.  Refer to the chart titled "New Jersey Income Limits by County Adjusted by Family Size".</t>
  </si>
  <si>
    <t>Column J:</t>
  </si>
  <si>
    <t>Multiply the County Median  Income Limit by 30%.</t>
  </si>
  <si>
    <t>Column K:</t>
  </si>
  <si>
    <t>mos.)      on           $</t>
  </si>
  <si>
    <t xml:space="preserve">                on         $</t>
  </si>
  <si>
    <t>Green Features</t>
  </si>
  <si>
    <t>BREAKDOWN OF COSTS AND BASIS</t>
  </si>
  <si>
    <t>REQUIRED SIGN-OFFS</t>
  </si>
  <si>
    <t>The undersigned acknowledges review of the attached Breakdown of Costs and Basis.</t>
  </si>
  <si>
    <t>Application/Re-Application, or 42(m) Determination</t>
  </si>
  <si>
    <t xml:space="preserve">Carryover </t>
  </si>
  <si>
    <t>Accountant</t>
  </si>
  <si>
    <t xml:space="preserve">     Units     </t>
  </si>
  <si>
    <t>2-Story &amp; below - $500; 3-Story &amp; above - $550</t>
  </si>
  <si>
    <t xml:space="preserve">NOTE: Payment and Performance bonds are required through the construction period </t>
  </si>
  <si>
    <t>and for a two-year period after the Certificate of Occupancy.</t>
  </si>
  <si>
    <r>
      <t xml:space="preserve">Construction Costs </t>
    </r>
    <r>
      <rPr>
        <sz val="10"/>
        <rFont val="Times New Roman"/>
        <family val="1"/>
      </rPr>
      <t>(include. Contr. Fee)</t>
    </r>
  </si>
  <si>
    <t>Contingencies</t>
  </si>
  <si>
    <t>Other Charges</t>
  </si>
  <si>
    <t>Carrying, Financing Costs</t>
  </si>
  <si>
    <t>% of Cons't Cost</t>
  </si>
  <si>
    <t>OR Cost/Unit</t>
  </si>
  <si>
    <t>should be between .75% and 2% of Construction Costs</t>
  </si>
  <si>
    <t>garage should be approx $15,000/space; parking lot around $700/space</t>
  </si>
  <si>
    <t>should be about 6% of construction costs</t>
  </si>
  <si>
    <t>5% for New Construction &amp; 10% for Rehabilitation</t>
  </si>
  <si>
    <t>should be a Maximum of 5%</t>
  </si>
  <si>
    <t>(percentage of total development costs)</t>
  </si>
  <si>
    <t>% of Total</t>
  </si>
  <si>
    <t>Devel Costs</t>
  </si>
  <si>
    <t>Should be between $15,000 &amp; $25,000 per units</t>
  </si>
  <si>
    <t>Should Not Exceed $250.00</t>
  </si>
  <si>
    <r>
      <t xml:space="preserve">    j) Contractor Overhead &amp; Profit - </t>
    </r>
    <r>
      <rPr>
        <b/>
        <sz val="12"/>
        <color indexed="10"/>
        <rFont val="Times New Roman"/>
        <family val="1"/>
      </rPr>
      <t>should not exceed 8% of cons't costs total - usually 2% for Overhead and 6% for Profit</t>
    </r>
  </si>
  <si>
    <t>Total Eligible Basis</t>
  </si>
  <si>
    <t>Tax Credit Amount:</t>
  </si>
  <si>
    <t>Total Acquisition as a percent of Total Project Costs:</t>
  </si>
  <si>
    <t>Total Cons't Costs as a percent of Total Project Costs:</t>
  </si>
  <si>
    <t>Total Professional fees as a % of Total Project Costs:</t>
  </si>
  <si>
    <t>Total Pre Opt Costs as a % of Total Project Costs:</t>
  </si>
  <si>
    <t xml:space="preserve">    d) Other: *</t>
  </si>
  <si>
    <t xml:space="preserve">    e) Other: *</t>
  </si>
  <si>
    <t>Total Carrying/Fin. Costs as % of Total Project Costs:</t>
  </si>
  <si>
    <t>Total Escrows as a % of Total Project Costs:</t>
  </si>
  <si>
    <t>Total Costs at Perm. Closeout as % of Total Project Costs:</t>
  </si>
  <si>
    <r>
      <t xml:space="preserve">    e) Cost Certification/Audit - </t>
    </r>
    <r>
      <rPr>
        <b/>
        <sz val="12"/>
        <color indexed="10"/>
        <rFont val="Times New Roman"/>
        <family val="1"/>
      </rPr>
      <t>should not exceed $35,000</t>
    </r>
  </si>
  <si>
    <t>DEVELOPER FEE - CONSTRUCTION/REHAB</t>
  </si>
  <si>
    <t>DEVELOPER FEE - EXISTING BUILDING</t>
  </si>
  <si>
    <t>Mandatory Deferred Fee - Constr/Rehab</t>
  </si>
  <si>
    <t>Please indicate "Y" in appropriate box</t>
  </si>
  <si>
    <t>Family / Supp Hsg</t>
  </si>
  <si>
    <t>Family / Supp Hsg Tie-Breaker</t>
  </si>
  <si>
    <t>Total Development Cost</t>
  </si>
  <si>
    <t>Tie-Breaker</t>
  </si>
  <si>
    <t xml:space="preserve">Total Development Cost: </t>
  </si>
  <si>
    <t xml:space="preserve">Total # of Residential Floors </t>
  </si>
  <si>
    <t>Eligible Basis Limits (per unit)</t>
  </si>
  <si>
    <t>4 residential floors or less</t>
  </si>
  <si>
    <t>5 or 6 residential floors</t>
  </si>
  <si>
    <t>7 residential floors and above</t>
  </si>
  <si>
    <r>
      <t>6.</t>
    </r>
    <r>
      <rPr>
        <sz val="12"/>
        <color indexed="8"/>
        <rFont val="Arial"/>
        <family val="2"/>
      </rPr>
      <t> </t>
    </r>
    <r>
      <rPr>
        <u val="single"/>
        <sz val="12"/>
        <color indexed="8"/>
        <rFont val="Arial"/>
        <family val="2"/>
      </rPr>
      <t xml:space="preserve">Total Development Costs   </t>
    </r>
  </si>
  <si>
    <t xml:space="preserve">Acquisition  </t>
  </si>
  <si>
    <t>Percentage of Total Development Costs</t>
  </si>
  <si>
    <t>Construction Cost + Hard Cost Contingency + Utility Connection Fee</t>
  </si>
  <si>
    <t>**Remaining Soft Cost</t>
  </si>
  <si>
    <t>Percentage of Construction Costs</t>
  </si>
  <si>
    <t>**If the percentage of soft costs are over 20%, please justify what could have caused this percentage to go over 20% (ie: escrows, negative arb, deferred developer fee)</t>
  </si>
  <si>
    <t>** Remaining Soft Cost</t>
  </si>
  <si>
    <t>Less</t>
  </si>
  <si>
    <t>Negative Arbitrage:</t>
  </si>
  <si>
    <t>COI:</t>
  </si>
  <si>
    <t>Deferred Developer Fee:</t>
  </si>
  <si>
    <t>Escrows:</t>
  </si>
  <si>
    <t>Other: ie tax credit fees</t>
  </si>
  <si>
    <t>construction interest , points</t>
  </si>
  <si>
    <t>Net Soft Cost</t>
  </si>
  <si>
    <t>BREAKOUT OF PER UNIT COST</t>
  </si>
  <si>
    <t>DU</t>
  </si>
  <si>
    <t xml:space="preserve">Eligible Soft Costs (see above </t>
  </si>
  <si>
    <t>calculation)</t>
  </si>
  <si>
    <t xml:space="preserve">Other:  (ie Davis Bacon premium or </t>
  </si>
  <si>
    <t>other extraordinary costs)</t>
  </si>
  <si>
    <t>NET TOTAL DEVELOPMENT COSTS</t>
  </si>
  <si>
    <t>FRM-CDBG</t>
  </si>
  <si>
    <t>Construction Interest Rate Calculation</t>
  </si>
  <si>
    <t>Note I Weighted:</t>
  </si>
  <si>
    <t>Note II Weighted:</t>
  </si>
  <si>
    <t>TOTAL:</t>
  </si>
  <si>
    <t>Cons't. Int. Rate:</t>
  </si>
  <si>
    <t>HMFA CONS'T &amp; PERM. BLENDED RATE</t>
  </si>
  <si>
    <t>Individual or Master Meter</t>
  </si>
  <si>
    <t>UTILITY ALLOWANCE METHODS (Yes or No)</t>
  </si>
  <si>
    <t xml:space="preserve">DCA Utility Allowance Chart </t>
  </si>
  <si>
    <t>Utility Company Estimates</t>
  </si>
  <si>
    <t>HUD Utility Schedule Model</t>
  </si>
  <si>
    <t>Energy Consumption Model</t>
  </si>
  <si>
    <t>HMFA 1st. Mortgage, NOTE II</t>
  </si>
  <si>
    <t>Special Needs Units</t>
  </si>
  <si>
    <t>Special Needs Population</t>
  </si>
  <si>
    <t>AGENDA REVIEW LOAN COMMITTEE</t>
  </si>
  <si>
    <t>PROJECT PRESENTATION</t>
  </si>
  <si>
    <t>Credit Officer</t>
  </si>
  <si>
    <r>
      <t>1.</t>
    </r>
    <r>
      <rPr>
        <sz val="12"/>
        <color indexed="8"/>
        <rFont val="Arial"/>
        <family val="2"/>
      </rPr>
      <t xml:space="preserve"> </t>
    </r>
    <r>
      <rPr>
        <u val="single"/>
        <sz val="12"/>
        <color indexed="8"/>
        <rFont val="Arial"/>
        <family val="2"/>
      </rPr>
      <t>Project Background:</t>
    </r>
  </si>
  <si>
    <t xml:space="preserve">Name of Sponsoring Entity: </t>
  </si>
  <si>
    <t xml:space="preserve">Name of Principal: </t>
  </si>
  <si>
    <t># of Units:</t>
  </si>
  <si>
    <t xml:space="preserve">Type of Construction: </t>
  </si>
  <si>
    <t xml:space="preserve">Market (Affordable/Market Rate/Mixed Income/etc. .. Breakout): </t>
  </si>
  <si>
    <t xml:space="preserve">Type of Population: </t>
  </si>
  <si>
    <t xml:space="preserve">Municipality: </t>
  </si>
  <si>
    <t xml:space="preserve">County: </t>
  </si>
  <si>
    <t xml:space="preserve">Type of Financing: </t>
  </si>
  <si>
    <r>
      <t xml:space="preserve">2. </t>
    </r>
    <r>
      <rPr>
        <sz val="12"/>
        <color indexed="8"/>
        <rFont val="Arial"/>
        <family val="2"/>
      </rPr>
      <t xml:space="preserve"> </t>
    </r>
    <r>
      <rPr>
        <u val="single"/>
        <sz val="12"/>
        <color indexed="8"/>
        <rFont val="Arial"/>
        <family val="2"/>
      </rPr>
      <t>Issues/Comments/Related Actions:</t>
    </r>
  </si>
  <si>
    <r>
      <t>3.</t>
    </r>
    <r>
      <rPr>
        <sz val="12"/>
        <color indexed="8"/>
        <rFont val="Arial"/>
        <family val="2"/>
      </rPr>
      <t xml:space="preserve">  </t>
    </r>
    <r>
      <rPr>
        <u val="single"/>
        <sz val="12"/>
        <color indexed="8"/>
        <rFont val="Arial"/>
        <family val="2"/>
      </rPr>
      <t>Disclosure of Current Arrearages with HMFA</t>
    </r>
  </si>
  <si>
    <t>SZL:</t>
  </si>
  <si>
    <t>Others:</t>
  </si>
  <si>
    <t>Audit:</t>
  </si>
  <si>
    <t>Budget:</t>
  </si>
  <si>
    <t>Monthly Operational Reports:</t>
  </si>
  <si>
    <t>Action Requested</t>
  </si>
  <si>
    <t>Has form 10 been reviewed by PM &amp; TS?</t>
  </si>
  <si>
    <t>Has a site inspection been conducted?</t>
  </si>
  <si>
    <r>
      <t>4.</t>
    </r>
    <r>
      <rPr>
        <sz val="12"/>
        <color indexed="8"/>
        <rFont val="Arial"/>
        <family val="2"/>
      </rPr>
      <t xml:space="preserve">  </t>
    </r>
    <r>
      <rPr>
        <u val="single"/>
        <sz val="12"/>
        <color indexed="8"/>
        <rFont val="Arial"/>
        <family val="2"/>
      </rPr>
      <t>Are they up-to-date on HMFA Subordinate Loans or Indicate NA:</t>
    </r>
  </si>
  <si>
    <r>
      <t>5.</t>
    </r>
    <r>
      <rPr>
        <sz val="12"/>
        <color indexed="8"/>
        <rFont val="Arial"/>
        <family val="2"/>
      </rPr>
      <t> </t>
    </r>
    <r>
      <rPr>
        <u val="single"/>
        <sz val="12"/>
        <color indexed="8"/>
        <rFont val="Arial"/>
        <family val="2"/>
      </rPr>
      <t>Are they up-to-date on submission of on Indicate NA:</t>
    </r>
  </si>
  <si>
    <t>Recommedation</t>
  </si>
  <si>
    <t>a.</t>
  </si>
  <si>
    <t>b.</t>
  </si>
  <si>
    <t>c.</t>
  </si>
  <si>
    <t>Attachments*</t>
  </si>
  <si>
    <t>RFA**</t>
  </si>
  <si>
    <t>Pictures***</t>
  </si>
  <si>
    <t>Form 10**</t>
  </si>
  <si>
    <t>Maps***</t>
  </si>
  <si>
    <t>Breakdown of Cost and Basis (if applicable)***</t>
  </si>
  <si>
    <t>Document Checklist***</t>
  </si>
  <si>
    <t>* Include all attachments below in Interal Agenda Review Packet</t>
  </si>
  <si>
    <t>**Send to Executive with the Project Presentation Form for Agenda Review,</t>
  </si>
  <si>
    <t>***Bring copies to Executive Agenda Review</t>
  </si>
  <si>
    <t xml:space="preserve">Total Project Cost                                             </t>
  </si>
  <si>
    <t>Minus Eligible Costs:</t>
  </si>
  <si>
    <t>Reserves</t>
  </si>
  <si>
    <t>Non Basis Off Site Improvements</t>
  </si>
  <si>
    <t>Cost Per DU</t>
  </si>
  <si>
    <t>No. of occupied units</t>
  </si>
  <si>
    <t>Mortgage Interest Rate: Note I</t>
  </si>
  <si>
    <t>Note II</t>
  </si>
  <si>
    <t>Basement/Crawl Space</t>
  </si>
  <si>
    <t>****Garage Parking</t>
  </si>
  <si>
    <t>****Includes only parking beneath the building and/or parking structure</t>
  </si>
  <si>
    <t>Average</t>
  </si>
  <si>
    <t xml:space="preserve">    c) Residential Structures (including all on-site improvement)</t>
  </si>
  <si>
    <t xml:space="preserve">    d) Community Building</t>
  </si>
  <si>
    <t xml:space="preserve">    c) Site Engineer</t>
  </si>
  <si>
    <t xml:space="preserve">    h) Geotechnical Consultant</t>
  </si>
  <si>
    <t xml:space="preserve">    k) Other</t>
  </si>
  <si>
    <t>DEVELOPER FEE - Constr/Rehab</t>
  </si>
  <si>
    <t>DEVELOPER FEE - Building</t>
  </si>
  <si>
    <r>
      <t xml:space="preserve">   </t>
    </r>
    <r>
      <rPr>
        <b/>
        <u val="single"/>
        <sz val="12"/>
        <rFont val="Times New Roman"/>
        <family val="1"/>
      </rPr>
      <t>C. DEVELOPERS FEE</t>
    </r>
    <r>
      <rPr>
        <sz val="12"/>
        <rFont val="Times New Roman"/>
        <family val="1"/>
      </rPr>
      <t xml:space="preserve"> - CONSTR/REHAB</t>
    </r>
  </si>
  <si>
    <r>
      <t xml:space="preserve">        </t>
    </r>
    <r>
      <rPr>
        <b/>
        <u val="single"/>
        <sz val="12"/>
        <rFont val="Times New Roman"/>
        <family val="1"/>
      </rPr>
      <t>DEVELOPERS FEE</t>
    </r>
    <r>
      <rPr>
        <sz val="12"/>
        <rFont val="Times New Roman"/>
        <family val="1"/>
      </rPr>
      <t xml:space="preserve"> - BUILDING</t>
    </r>
  </si>
  <si>
    <t>sellers note</t>
  </si>
  <si>
    <t>cdbg</t>
  </si>
  <si>
    <t>lihtc</t>
  </si>
  <si>
    <t>Balance to be paid thru cash flow via ROE process:</t>
  </si>
  <si>
    <t>Total Developer Fee (Form 10B):</t>
  </si>
  <si>
    <t>*Low - Rise (1 - 4), Mid/Hi - Rise (5 + stories), Townhouse or Semi-detached</t>
  </si>
  <si>
    <t xml:space="preserve">    i) Other Lender Construction Financing Fee</t>
  </si>
  <si>
    <r>
      <t xml:space="preserve">    k) Negative Arbitrage (</t>
    </r>
    <r>
      <rPr>
        <b/>
        <sz val="12"/>
        <rFont val="Times New Roman"/>
        <family val="1"/>
      </rPr>
      <t>if Bonds are sold during Construction)</t>
    </r>
  </si>
  <si>
    <r>
      <t xml:space="preserve">    l) Cost of Issuance </t>
    </r>
    <r>
      <rPr>
        <b/>
        <sz val="12"/>
        <rFont val="Times New Roman"/>
        <family val="1"/>
      </rPr>
      <t>(If Bonds are sold during Construction)</t>
    </r>
  </si>
  <si>
    <t xml:space="preserve">    m) Furniture, Fixtures &amp; Equiptment (F,F&amp;E)</t>
  </si>
  <si>
    <t xml:space="preserve">    n) Utility Connection Fees</t>
  </si>
  <si>
    <t>(15% - 30% of total salaries)</t>
  </si>
  <si>
    <t>(10% of total salaries)</t>
  </si>
  <si>
    <t>(2% - 3% of total salaries)</t>
  </si>
  <si>
    <t>Non-Deferred Amt:</t>
  </si>
  <si>
    <t>Non-Deferred Amt on Building Acq Not to Exceeed 2% :</t>
  </si>
  <si>
    <t>Special Needs Program Funds          $</t>
  </si>
  <si>
    <t>Other</t>
  </si>
  <si>
    <t>Deferred Developer Fee</t>
  </si>
  <si>
    <t xml:space="preserve">    h) Special Needs Financing Fee</t>
  </si>
  <si>
    <t>AVG AFFORDABILITY</t>
  </si>
  <si>
    <t>+</t>
  </si>
  <si>
    <t>Garage Parking for Tax Credit Residents</t>
  </si>
  <si>
    <t>TOTAL ELIGIBLE BASIS LIMIT</t>
  </si>
  <si>
    <t>HERA basis boost</t>
  </si>
  <si>
    <t xml:space="preserve">    Neg. Arb, Cost of Issuance</t>
  </si>
  <si>
    <t>Debt &amp; Insurance</t>
  </si>
  <si>
    <t>HMFA 1st Mortgage, NOTE I</t>
  </si>
  <si>
    <t xml:space="preserve">Mandatory Deferred Fee - Existing Building </t>
  </si>
  <si>
    <t>Development Cost / Unit**</t>
  </si>
  <si>
    <t>**see QAP for per unit cost caps</t>
  </si>
  <si>
    <t>Community Service Exclusion</t>
  </si>
  <si>
    <t>Tiebreaker #1:</t>
  </si>
  <si>
    <t>Projects in the Supportive Housing Cycle</t>
  </si>
  <si>
    <t>Subtotal</t>
  </si>
  <si>
    <r>
      <t xml:space="preserve">Substantial v. Minimum Rehabilitation  </t>
    </r>
    <r>
      <rPr>
        <b/>
        <sz val="17"/>
        <rFont val="Times New Roman"/>
        <family val="1"/>
      </rPr>
      <t>(NOTE: Minimum Rehab. is defined as less than $25,000/unit)</t>
    </r>
  </si>
  <si>
    <r>
      <t xml:space="preserve">                                        </t>
    </r>
    <r>
      <rPr>
        <b/>
        <sz val="12"/>
        <rFont val="Times New Roman"/>
        <family val="1"/>
      </rPr>
      <t>(Director of Asset Management)</t>
    </r>
  </si>
  <si>
    <r>
      <t xml:space="preserve">                      (Director of Asset Management - </t>
    </r>
    <r>
      <rPr>
        <u val="single"/>
        <sz val="12"/>
        <rFont val="Times New Roman"/>
        <family val="1"/>
      </rPr>
      <t>Expenses Only</t>
    </r>
    <r>
      <rPr>
        <sz val="12"/>
        <rFont val="Times New Roman"/>
        <family val="1"/>
      </rPr>
      <t>)</t>
    </r>
  </si>
  <si>
    <t>Income Averaging</t>
  </si>
  <si>
    <t>Managing Director of Multifamily</t>
  </si>
  <si>
    <t>Director of Technical Services</t>
  </si>
  <si>
    <t>Multifamily</t>
  </si>
  <si>
    <t>Chief of Multifamily</t>
  </si>
  <si>
    <t xml:space="preserve">    l) Other</t>
  </si>
  <si>
    <t xml:space="preserve">    l)  Other</t>
  </si>
  <si>
    <t xml:space="preserve">    i) Green Consultant</t>
  </si>
  <si>
    <t xml:space="preserve">    k) Surveyor</t>
  </si>
  <si>
    <t xml:space="preserve">    Green Consultant</t>
  </si>
  <si>
    <t xml:space="preserve"> Director of Multifamily</t>
  </si>
  <si>
    <t xml:space="preserve">By: </t>
  </si>
  <si>
    <t xml:space="preserve">Donna Spencer, Director of Multifamily </t>
  </si>
  <si>
    <t xml:space="preserve">Tanya Hudson-Murray, Managing Director of </t>
  </si>
  <si>
    <t>Supportive Housing and Lending Division</t>
  </si>
  <si>
    <t>* Should be between $57 &amp; $73 per unit per month</t>
  </si>
  <si>
    <t>AHGSP</t>
  </si>
  <si>
    <t>Amount of AHGSP/Unit:</t>
  </si>
  <si>
    <t xml:space="preserve">FRM-CDBG </t>
  </si>
  <si>
    <t>Money Follows the Person               $</t>
  </si>
  <si>
    <t>Amt. Of FRM-CDBG/Unit:             $</t>
  </si>
  <si>
    <t>MULTI-FAMILY - with or without TAX CREDITS</t>
  </si>
  <si>
    <r>
      <rPr>
        <b/>
        <sz val="18"/>
        <color indexed="30"/>
        <rFont val="Times New Roman"/>
        <family val="1"/>
      </rPr>
      <t xml:space="preserve">                  </t>
    </r>
    <r>
      <rPr>
        <b/>
        <u val="single"/>
        <sz val="18"/>
        <color indexed="30"/>
        <rFont val="Times New Roman"/>
        <family val="1"/>
      </rPr>
      <t>CONSTRUCTION&amp; PERMANENT LOANS</t>
    </r>
  </si>
  <si>
    <r>
      <t>SCHEDULE 10-A: PROJECT DESCRIPTION</t>
    </r>
    <r>
      <rPr>
        <b/>
        <sz val="18"/>
        <color indexed="58"/>
        <rFont val="Times New Roman"/>
        <family val="1"/>
      </rPr>
      <t xml:space="preserve">    </t>
    </r>
    <r>
      <rPr>
        <b/>
        <u val="single"/>
        <sz val="18"/>
        <color indexed="30"/>
        <rFont val="Times New Roman"/>
        <family val="1"/>
      </rPr>
      <t xml:space="preserve">CONSTRUCTION (ONLY) AND </t>
    </r>
  </si>
  <si>
    <t xml:space="preserve">    Site Engineer</t>
  </si>
  <si>
    <t xml:space="preserve">    Geotechnical Consultant</t>
  </si>
  <si>
    <t>BREAKDOWN OF COSTS &amp; BASIS -- 2024</t>
  </si>
  <si>
    <t xml:space="preserve">    Site Work </t>
  </si>
  <si>
    <t xml:space="preserve">    Community Service Facility</t>
  </si>
  <si>
    <t xml:space="preserve">    Fire Suppression System</t>
  </si>
  <si>
    <t xml:space="preserve">    Green Features</t>
  </si>
  <si>
    <t xml:space="preserve">    Other _____________________</t>
  </si>
  <si>
    <t xml:space="preserve">    Bank Points &amp; Fees</t>
  </si>
  <si>
    <t xml:space="preserve">    Furniture, Fixtures &amp; Equiptment</t>
  </si>
  <si>
    <t>Other: ______________</t>
  </si>
  <si>
    <t>CARRYOVER -- 2024</t>
  </si>
  <si>
    <t/>
  </si>
  <si>
    <t xml:space="preserve">    Other: </t>
  </si>
  <si>
    <t>2024 CONTRACTOR FEE LIMITS</t>
  </si>
  <si>
    <t>CALENDAR YEAR -- 2024</t>
  </si>
  <si>
    <t>2024 TIEBREAKER WORKSHEET</t>
  </si>
  <si>
    <t>Projects Located Outside of a TUM</t>
  </si>
  <si>
    <t>Projects Located Within a TUM</t>
  </si>
  <si>
    <t xml:space="preserve">Municipality </t>
  </si>
  <si>
    <t>Most Recent 9% Award Year</t>
  </si>
  <si>
    <t xml:space="preserve">MRI Ranking: </t>
  </si>
  <si>
    <t>Outside of TUM =  Municipality never hosted a project that received a 9% award or has gone the longest time hosting.</t>
  </si>
  <si>
    <t>Within a TUM = Lowest MRI ranking.</t>
  </si>
  <si>
    <t>Tiebreaker #2:</t>
  </si>
  <si>
    <t>Age-Friendly Senior</t>
  </si>
  <si>
    <t>Tiebreaker #3:  Lowest Total Development Cost Per Bedroom</t>
  </si>
  <si>
    <t xml:space="preserve"> TUM (Y/N):</t>
  </si>
  <si>
    <r>
      <t xml:space="preserve">*Note: Only income qualified units are eligible; </t>
    </r>
    <r>
      <rPr>
        <b/>
        <i/>
        <u val="single"/>
        <sz val="20"/>
        <color indexed="10"/>
        <rFont val="Times New Roman"/>
        <family val="1"/>
      </rPr>
      <t>DO NOT include Super's unit</t>
    </r>
  </si>
  <si>
    <t>Family / Supported Housing Cycle = Least amount of Tax Credits Per TC Bedroom</t>
  </si>
  <si>
    <t>Senior Cycle = Least amount of Tax Credits Per TC Unit</t>
  </si>
  <si>
    <t xml:space="preserve">Age-Friendly Senior Tie-Breaker </t>
  </si>
  <si>
    <r>
      <t xml:space="preserve">*Note: </t>
    </r>
    <r>
      <rPr>
        <b/>
        <i/>
        <u val="single"/>
        <sz val="20"/>
        <color indexed="10"/>
        <rFont val="Times New Roman"/>
        <family val="1"/>
      </rPr>
      <t>DO NOT include Super's unit</t>
    </r>
  </si>
  <si>
    <t xml:space="preserve">               2024 ELIGIBLE BASIS LIMITS WORKSHEET                  </t>
  </si>
  <si>
    <t>Limits apply to total eligible basis for rehabilitation or new construction tax credits BEFORE any applicable 130% adjustment for projects located within a DDA or QCT.</t>
  </si>
  <si>
    <t>Total Units</t>
  </si>
  <si>
    <t xml:space="preserve">    Other:</t>
  </si>
  <si>
    <t xml:space="preserve">    Other</t>
  </si>
  <si>
    <t xml:space="preserve">    Points &amp; Bank Fees</t>
  </si>
  <si>
    <t xml:space="preserve">    FF &amp; E</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</si>
</sst>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0"/>
    <numFmt numFmtId="166" formatCode="00000"/>
    <numFmt numFmtId="167" formatCode="mmmm\ d\,\ yyyy"/>
    <numFmt numFmtId="168" formatCode="#,##0.00000_);\(#,##0.00000\)"/>
    <numFmt numFmtId="169" formatCode="#,##0.000_);\(#,##0.000\)"/>
    <numFmt numFmtId="170" formatCode="&quot;Yes&quot;;&quot;Yes&quot;;&quot;No&quot;"/>
    <numFmt numFmtId="171" formatCode="&quot;True&quot;;&quot;True&quot;;&quot;False&quot;"/>
    <numFmt numFmtId="172" formatCode="&quot;On&quot;;&quot;On&quot;;&quot;Off&quot;"/>
    <numFmt numFmtId="173" formatCode="&quot;$&quot;#.00"/>
    <numFmt numFmtId="174" formatCode="%#.00"/>
    <numFmt numFmtId="175" formatCode="#.00"/>
    <numFmt numFmtId="176" formatCode="&quot;$&quot;#"/>
    <numFmt numFmtId="177" formatCode="&quot;$&quot;#,##0\ ;\(&quot;$&quot;#,##0\)"/>
    <numFmt numFmtId="178" formatCode="&quot;$&quot;#,##0\ ;[Red]\(&quot;$&quot;#,##0\)"/>
    <numFmt numFmtId="179" formatCode="&quot;$&quot;#,##0.00\ ;\(&quot;$&quot;#,##0.00\)"/>
    <numFmt numFmtId="180" formatCode="&quot;$&quot;#,##0.00\ ;[Red]\(&quot;$&quot;#,##0.00\)"/>
    <numFmt numFmtId="181" formatCode="#\ ??"/>
    <numFmt numFmtId="182" formatCode="m/d/yy"/>
    <numFmt numFmtId="183" formatCode="m/d/yy\ h:mm"/>
    <numFmt numFmtId="184" formatCode="m/d"/>
    <numFmt numFmtId="185" formatCode="#,##0.0_);\(#,##0.0\)"/>
    <numFmt numFmtId="186" formatCode="#,##0.0000_);\(#,##0.0000\)"/>
    <numFmt numFmtId="187" formatCode="0.00_);\(0.00\)"/>
    <numFmt numFmtId="188" formatCode="0.0000_);\(0.0000\)"/>
    <numFmt numFmtId="189" formatCode="0.0000"/>
    <numFmt numFmtId="190" formatCode="0.0000;[Red]0.0000"/>
    <numFmt numFmtId="191" formatCode="0;[Red]0"/>
    <numFmt numFmtId="192" formatCode="&quot;$&quot;#,##0"/>
    <numFmt numFmtId="193" formatCode="0.000%"/>
    <numFmt numFmtId="194" formatCode="General_)"/>
    <numFmt numFmtId="195" formatCode="0.0%"/>
    <numFmt numFmtId="196" formatCode="0_);\(0\)"/>
    <numFmt numFmtId="197" formatCode="#,##0.0000"/>
    <numFmt numFmtId="198" formatCode="0.0000%"/>
    <numFmt numFmtId="199" formatCode="&quot;$&quot;#,##0.0000"/>
    <numFmt numFmtId="200" formatCode="dd\-mmm\-yy"/>
    <numFmt numFmtId="201" formatCode="&quot;$&quot;#,##0.00"/>
    <numFmt numFmtId="202" formatCode="#,##0;[Red]#,##0"/>
    <numFmt numFmtId="203" formatCode="mm/dd/yy"/>
    <numFmt numFmtId="204" formatCode="&quot;$&quot;#,##0.0\ ;\(&quot;$&quot;#,##0.0\)"/>
    <numFmt numFmtId="205" formatCode="&quot;$&quot;#,##0;[Red]&quot;$&quot;#,##0"/>
    <numFmt numFmtId="206" formatCode="0.000000"/>
    <numFmt numFmtId="207" formatCode="0.000000%"/>
    <numFmt numFmtId="208" formatCode="&quot;$&quot;#,##0.00;[Red]&quot;$&quot;#,##0.00"/>
    <numFmt numFmtId="209" formatCode="[$-409]dddd\,\ mmmm\ dd\,\ yyyy"/>
    <numFmt numFmtId="210" formatCode="[$-409]h:mm:ss\ AM/PM"/>
    <numFmt numFmtId="211" formatCode="_(&quot;$&quot;* #,##0_);_(&quot;$&quot;* \(#,##0\);_(&quot;$&quot;* &quot;-&quot;??_);_(@_)"/>
  </numFmts>
  <fonts count="165">
    <font>
      <sz val="12"/>
      <name val="Arial"/>
      <family val="0"/>
    </font>
    <font>
      <sz val="18"/>
      <name val="Arial"/>
      <family val="0"/>
    </font>
    <font>
      <sz val="8"/>
      <name val="Arial"/>
      <family val="0"/>
    </font>
    <font>
      <i/>
      <sz val="12"/>
      <name val="Arial"/>
      <family val="0"/>
    </font>
    <font>
      <b/>
      <sz val="18"/>
      <name val="Arial"/>
      <family val="2"/>
    </font>
    <font>
      <b/>
      <sz val="12"/>
      <name val="Arial"/>
      <family val="2"/>
    </font>
    <font>
      <sz val="12"/>
      <name val="Times New Roman"/>
      <family val="1"/>
    </font>
    <font>
      <sz val="10"/>
      <name val="Arial"/>
      <family val="2"/>
    </font>
    <font>
      <b/>
      <u val="single"/>
      <sz val="16"/>
      <name val="Times New Roman"/>
      <family val="1"/>
    </font>
    <font>
      <b/>
      <u val="single"/>
      <sz val="18"/>
      <color indexed="16"/>
      <name val="Times New Roman"/>
      <family val="1"/>
    </font>
    <font>
      <b/>
      <sz val="12"/>
      <name val="Times New Roman"/>
      <family val="1"/>
    </font>
    <font>
      <b/>
      <u val="single"/>
      <sz val="12"/>
      <name val="Times New Roman"/>
      <family val="1"/>
    </font>
    <font>
      <sz val="18"/>
      <color indexed="48"/>
      <name val="Times New Roman"/>
      <family val="1"/>
    </font>
    <font>
      <u val="single"/>
      <sz val="12"/>
      <name val="Times New Roman"/>
      <family val="1"/>
    </font>
    <font>
      <sz val="18"/>
      <name val="Times New Roman"/>
      <family val="1"/>
    </font>
    <font>
      <b/>
      <i/>
      <sz val="12"/>
      <name val="Times New Roman"/>
      <family val="1"/>
    </font>
    <font>
      <b/>
      <sz val="16"/>
      <color indexed="10"/>
      <name val="Times New Roman"/>
      <family val="1"/>
    </font>
    <font>
      <b/>
      <sz val="20"/>
      <color indexed="10"/>
      <name val="Times New Roman"/>
      <family val="1"/>
    </font>
    <font>
      <b/>
      <sz val="30"/>
      <color indexed="10"/>
      <name val="Times New Roman"/>
      <family val="1"/>
    </font>
    <font>
      <b/>
      <sz val="18"/>
      <color indexed="10"/>
      <name val="Times New Roman"/>
      <family val="1"/>
    </font>
    <font>
      <b/>
      <i/>
      <u val="single"/>
      <sz val="12"/>
      <name val="Times New Roman"/>
      <family val="1"/>
    </font>
    <font>
      <b/>
      <sz val="20"/>
      <color indexed="12"/>
      <name val="Times New Roman"/>
      <family val="1"/>
    </font>
    <font>
      <b/>
      <sz val="20"/>
      <name val="Times New Roman"/>
      <family val="1"/>
    </font>
    <font>
      <b/>
      <sz val="18"/>
      <color indexed="9"/>
      <name val="Times New Roman"/>
      <family val="1"/>
    </font>
    <font>
      <b/>
      <u val="single"/>
      <sz val="18"/>
      <color indexed="58"/>
      <name val="Times New Roman"/>
      <family val="1"/>
    </font>
    <font>
      <u val="single"/>
      <sz val="7.8"/>
      <color indexed="12"/>
      <name val="Arial"/>
      <family val="2"/>
    </font>
    <font>
      <u val="single"/>
      <sz val="7.8"/>
      <color indexed="36"/>
      <name val="Arial"/>
      <family val="2"/>
    </font>
    <font>
      <b/>
      <sz val="14"/>
      <name val="Times New Roman"/>
      <family val="1"/>
    </font>
    <font>
      <b/>
      <sz val="16"/>
      <name val="Times New Roman"/>
      <family val="1"/>
    </font>
    <font>
      <sz val="14"/>
      <name val="Times New Roman"/>
      <family val="1"/>
    </font>
    <font>
      <sz val="14"/>
      <name val="Arial"/>
      <family val="2"/>
    </font>
    <font>
      <sz val="10"/>
      <name val="Times New Roman"/>
      <family val="1"/>
    </font>
    <font>
      <b/>
      <sz val="14"/>
      <name val="Arial"/>
      <family val="2"/>
    </font>
    <font>
      <u val="single"/>
      <sz val="14"/>
      <name val="Arial"/>
      <family val="2"/>
    </font>
    <font>
      <b/>
      <u val="single"/>
      <sz val="12"/>
      <name val="Arial"/>
      <family val="2"/>
    </font>
    <font>
      <u val="single"/>
      <sz val="10"/>
      <name val="Arial"/>
      <family val="2"/>
    </font>
    <font>
      <b/>
      <sz val="10"/>
      <name val="Arial"/>
      <family val="2"/>
    </font>
    <font>
      <u val="single"/>
      <sz val="12"/>
      <name val="Arial"/>
      <family val="2"/>
    </font>
    <font>
      <b/>
      <u val="single"/>
      <sz val="14"/>
      <name val="Arial"/>
      <family val="2"/>
    </font>
    <font>
      <sz val="11"/>
      <name val="Times New Roman"/>
      <family val="1"/>
    </font>
    <font>
      <b/>
      <u val="single"/>
      <sz val="12"/>
      <color indexed="10"/>
      <name val="Times New Roman"/>
      <family val="1"/>
    </font>
    <font>
      <b/>
      <sz val="10"/>
      <name val="Times New Roman"/>
      <family val="1"/>
    </font>
    <font>
      <i/>
      <sz val="12"/>
      <name val="Times New Roman"/>
      <family val="1"/>
    </font>
    <font>
      <b/>
      <i/>
      <u val="single"/>
      <sz val="18"/>
      <name val="Times New Roman"/>
      <family val="1"/>
    </font>
    <font>
      <b/>
      <sz val="18"/>
      <name val="Times New Roman"/>
      <family val="1"/>
    </font>
    <font>
      <sz val="16"/>
      <name val="Times New Roman"/>
      <family val="1"/>
    </font>
    <font>
      <b/>
      <u val="single"/>
      <sz val="14"/>
      <name val="Times New Roman"/>
      <family val="1"/>
    </font>
    <font>
      <b/>
      <i/>
      <sz val="14"/>
      <name val="Times New Roman"/>
      <family val="1"/>
    </font>
    <font>
      <u val="single"/>
      <sz val="10"/>
      <name val="Times New Roman"/>
      <family val="1"/>
    </font>
    <font>
      <b/>
      <sz val="16"/>
      <name val="Arial"/>
      <family val="2"/>
    </font>
    <font>
      <sz val="20"/>
      <name val="Times New Roman"/>
      <family val="1"/>
    </font>
    <font>
      <b/>
      <sz val="26"/>
      <name val="Times New Roman"/>
      <family val="1"/>
    </font>
    <font>
      <b/>
      <i/>
      <sz val="36"/>
      <name val="Times New Roman"/>
      <family val="1"/>
    </font>
    <font>
      <sz val="20"/>
      <name val="Arial"/>
      <family val="2"/>
    </font>
    <font>
      <b/>
      <i/>
      <sz val="20"/>
      <name val="Times New Roman"/>
      <family val="1"/>
    </font>
    <font>
      <b/>
      <i/>
      <sz val="26"/>
      <name val="Times New Roman"/>
      <family val="1"/>
    </font>
    <font>
      <sz val="16"/>
      <name val="Arial"/>
      <family val="2"/>
    </font>
    <font>
      <b/>
      <i/>
      <sz val="32"/>
      <name val="Times New Roman"/>
      <family val="1"/>
    </font>
    <font>
      <b/>
      <u val="single"/>
      <sz val="18"/>
      <name val="Times New Roman"/>
      <family val="1"/>
    </font>
    <font>
      <b/>
      <i/>
      <sz val="16"/>
      <name val="Times New Roman"/>
      <family val="1"/>
    </font>
    <font>
      <b/>
      <u val="single"/>
      <sz val="18"/>
      <color indexed="48"/>
      <name val="Times New Roman"/>
      <family val="1"/>
    </font>
    <font>
      <b/>
      <sz val="8"/>
      <name val="Arial"/>
      <family val="2"/>
    </font>
    <font>
      <b/>
      <sz val="11"/>
      <name val="Arial"/>
      <family val="2"/>
    </font>
    <font>
      <b/>
      <sz val="10"/>
      <color indexed="10"/>
      <name val="Times New Roman"/>
      <family val="1"/>
    </font>
    <font>
      <u val="single"/>
      <sz val="11"/>
      <name val="Times New Roman"/>
      <family val="1"/>
    </font>
    <font>
      <b/>
      <sz val="11"/>
      <name val="Times New Roman"/>
      <family val="1"/>
    </font>
    <font>
      <b/>
      <sz val="18"/>
      <color indexed="8"/>
      <name val="Times New Roman"/>
      <family val="1"/>
    </font>
    <font>
      <sz val="10"/>
      <name val="Courier"/>
      <family val="3"/>
    </font>
    <font>
      <sz val="10"/>
      <color indexed="8"/>
      <name val="Times New Roman"/>
      <family val="1"/>
    </font>
    <font>
      <b/>
      <sz val="10"/>
      <color indexed="8"/>
      <name val="Times New Roman"/>
      <family val="1"/>
    </font>
    <font>
      <b/>
      <i/>
      <sz val="10"/>
      <color indexed="10"/>
      <name val="Times New Roman"/>
      <family val="1"/>
    </font>
    <font>
      <sz val="10"/>
      <color indexed="10"/>
      <name val="Times New Roman"/>
      <family val="1"/>
    </font>
    <font>
      <b/>
      <u val="single"/>
      <sz val="10"/>
      <name val="Arial"/>
      <family val="2"/>
    </font>
    <font>
      <u val="single"/>
      <sz val="8"/>
      <name val="Arial"/>
      <family val="2"/>
    </font>
    <font>
      <b/>
      <sz val="9"/>
      <name val="Arial"/>
      <family val="2"/>
    </font>
    <font>
      <sz val="9"/>
      <name val="Arial"/>
      <family val="2"/>
    </font>
    <font>
      <u val="double"/>
      <sz val="10"/>
      <name val="Arial"/>
      <family val="2"/>
    </font>
    <font>
      <b/>
      <i/>
      <sz val="10"/>
      <color indexed="10"/>
      <name val="Arial"/>
      <family val="2"/>
    </font>
    <font>
      <b/>
      <u val="single"/>
      <sz val="9"/>
      <name val="Arial"/>
      <family val="2"/>
    </font>
    <font>
      <b/>
      <i/>
      <sz val="9"/>
      <color indexed="10"/>
      <name val="Arial"/>
      <family val="2"/>
    </font>
    <font>
      <b/>
      <i/>
      <sz val="8"/>
      <color indexed="10"/>
      <name val="Arial"/>
      <family val="2"/>
    </font>
    <font>
      <b/>
      <i/>
      <sz val="12"/>
      <color indexed="10"/>
      <name val="Arial"/>
      <family val="2"/>
    </font>
    <font>
      <b/>
      <sz val="10"/>
      <color indexed="10"/>
      <name val="Arial"/>
      <family val="2"/>
    </font>
    <font>
      <b/>
      <sz val="9"/>
      <color indexed="10"/>
      <name val="Arial"/>
      <family val="2"/>
    </font>
    <font>
      <sz val="8"/>
      <name val="Tahoma"/>
      <family val="2"/>
    </font>
    <font>
      <sz val="9"/>
      <color indexed="10"/>
      <name val="Arial"/>
      <family val="2"/>
    </font>
    <font>
      <b/>
      <u val="single"/>
      <sz val="9"/>
      <color indexed="10"/>
      <name val="Arial"/>
      <family val="2"/>
    </font>
    <font>
      <b/>
      <u val="single"/>
      <sz val="8"/>
      <color indexed="10"/>
      <name val="Arial"/>
      <family val="2"/>
    </font>
    <font>
      <i/>
      <sz val="9"/>
      <color indexed="60"/>
      <name val="Arial"/>
      <family val="2"/>
    </font>
    <font>
      <u val="single"/>
      <sz val="10"/>
      <color indexed="60"/>
      <name val="Arial"/>
      <family val="2"/>
    </font>
    <font>
      <b/>
      <u val="single"/>
      <sz val="10"/>
      <color indexed="10"/>
      <name val="Arial"/>
      <family val="2"/>
    </font>
    <font>
      <b/>
      <i/>
      <sz val="10"/>
      <name val="Arial"/>
      <family val="2"/>
    </font>
    <font>
      <b/>
      <u val="single"/>
      <sz val="12"/>
      <color indexed="48"/>
      <name val="Times New Roman"/>
      <family val="1"/>
    </font>
    <font>
      <b/>
      <sz val="17"/>
      <name val="Times New Roman"/>
      <family val="1"/>
    </font>
    <font>
      <b/>
      <sz val="12"/>
      <color indexed="10"/>
      <name val="Times New Roman"/>
      <family val="1"/>
    </font>
    <font>
      <i/>
      <sz val="20"/>
      <name val="Arial"/>
      <family val="2"/>
    </font>
    <font>
      <sz val="12"/>
      <color indexed="8"/>
      <name val="Arial"/>
      <family val="2"/>
    </font>
    <font>
      <u val="single"/>
      <sz val="12"/>
      <color indexed="8"/>
      <name val="Arial"/>
      <family val="2"/>
    </font>
    <font>
      <sz val="12"/>
      <color indexed="10"/>
      <name val="Times New Roman"/>
      <family val="1"/>
    </font>
    <font>
      <b/>
      <i/>
      <sz val="10"/>
      <name val="Times New Roman"/>
      <family val="1"/>
    </font>
    <font>
      <b/>
      <sz val="11"/>
      <color indexed="8"/>
      <name val="Times New Roman"/>
      <family val="1"/>
    </font>
    <font>
      <b/>
      <i/>
      <u val="single"/>
      <sz val="20"/>
      <color indexed="10"/>
      <name val="Times New Roman"/>
      <family val="1"/>
    </font>
    <font>
      <b/>
      <sz val="11.5"/>
      <name val="Times New Roman"/>
      <family val="1"/>
    </font>
    <font>
      <b/>
      <sz val="18"/>
      <color indexed="58"/>
      <name val="Times New Roman"/>
      <family val="1"/>
    </font>
    <font>
      <b/>
      <u val="single"/>
      <sz val="18"/>
      <color indexed="30"/>
      <name val="Times New Roman"/>
      <family val="1"/>
    </font>
    <font>
      <b/>
      <sz val="18"/>
      <color indexed="30"/>
      <name val="Times New Roman"/>
      <family val="1"/>
    </font>
    <font>
      <b/>
      <u val="single"/>
      <sz val="26"/>
      <name val="Times New Roman"/>
      <family val="1"/>
    </font>
    <font>
      <sz val="11"/>
      <name val="Arial"/>
      <family val="2"/>
    </font>
    <font>
      <b/>
      <i/>
      <u val="single"/>
      <sz val="2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8"/>
      <name val="Arial"/>
      <family val="2"/>
    </font>
    <font>
      <sz val="11"/>
      <color indexed="8"/>
      <name val="Arial"/>
      <family val="2"/>
    </font>
    <font>
      <sz val="10"/>
      <color indexed="22"/>
      <name val="Arial"/>
      <family val="2"/>
    </font>
    <font>
      <i/>
      <sz val="12"/>
      <color indexed="22"/>
      <name val="Times New Roman"/>
      <family val="1"/>
    </font>
    <font>
      <i/>
      <sz val="11.5"/>
      <color indexed="10"/>
      <name val="Times New Roman"/>
      <family val="1"/>
    </font>
    <font>
      <sz val="12"/>
      <color indexed="9"/>
      <name val="Arial"/>
      <family val="2"/>
    </font>
    <font>
      <sz val="10"/>
      <color indexed="9"/>
      <name val="Times New Roman"/>
      <family val="1"/>
    </font>
    <font>
      <sz val="10"/>
      <color indexed="55"/>
      <name val="Arial"/>
      <family val="2"/>
    </font>
    <font>
      <i/>
      <sz val="12"/>
      <color indexed="55"/>
      <name val="Times New Roman"/>
      <family val="1"/>
    </font>
    <font>
      <b/>
      <sz val="10"/>
      <color indexed="30"/>
      <name val="Times New Roman"/>
      <family val="1"/>
    </font>
    <font>
      <b/>
      <sz val="12"/>
      <color indexed="30"/>
      <name val="Times New Roman"/>
      <family val="1"/>
    </font>
    <font>
      <b/>
      <i/>
      <sz val="2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b/>
      <sz val="12"/>
      <color rgb="FFFF0000"/>
      <name val="Times New Roman"/>
      <family val="1"/>
    </font>
    <font>
      <sz val="12"/>
      <color theme="1"/>
      <name val="Arial"/>
      <family val="2"/>
    </font>
    <font>
      <b/>
      <sz val="12"/>
      <color theme="1"/>
      <name val="Arial"/>
      <family val="2"/>
    </font>
    <font>
      <sz val="11"/>
      <color theme="1"/>
      <name val="Arial"/>
      <family val="2"/>
    </font>
    <font>
      <sz val="10"/>
      <color theme="0" tint="-0.1499900072813034"/>
      <name val="Arial"/>
      <family val="2"/>
    </font>
    <font>
      <i/>
      <sz val="12"/>
      <color theme="0" tint="-0.1499900072813034"/>
      <name val="Times New Roman"/>
      <family val="1"/>
    </font>
    <font>
      <sz val="12"/>
      <color rgb="FFFF0000"/>
      <name val="Times New Roman"/>
      <family val="1"/>
    </font>
    <font>
      <i/>
      <sz val="11.5"/>
      <color rgb="FFFF0000"/>
      <name val="Times New Roman"/>
      <family val="1"/>
    </font>
    <font>
      <sz val="12"/>
      <color theme="0"/>
      <name val="Arial"/>
      <family val="2"/>
    </font>
    <font>
      <sz val="10"/>
      <color theme="0"/>
      <name val="Times New Roman"/>
      <family val="1"/>
    </font>
    <font>
      <sz val="10"/>
      <color theme="0" tint="-0.3499799966812134"/>
      <name val="Arial"/>
      <family val="2"/>
    </font>
    <font>
      <i/>
      <sz val="12"/>
      <color theme="0" tint="-0.3499799966812134"/>
      <name val="Times New Roman"/>
      <family val="1"/>
    </font>
    <font>
      <b/>
      <u val="single"/>
      <sz val="18"/>
      <color rgb="FF0070C0"/>
      <name val="Times New Roman"/>
      <family val="1"/>
    </font>
    <font>
      <b/>
      <sz val="10"/>
      <color rgb="FF0070C0"/>
      <name val="Times New Roman"/>
      <family val="1"/>
    </font>
    <font>
      <b/>
      <sz val="12"/>
      <color rgb="FF0070C0"/>
      <name val="Times New Roman"/>
      <family val="1"/>
    </font>
    <font>
      <b/>
      <i/>
      <sz val="20"/>
      <color rgb="FFFF0000"/>
      <name val="Times New Roman"/>
      <family val="1"/>
    </font>
  </fonts>
  <fills count="7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darkTrellis">
        <fgColor indexed="13"/>
        <bgColor indexed="9"/>
      </patternFill>
    </fill>
    <fill>
      <patternFill patternType="lightDown">
        <fgColor indexed="9"/>
        <bgColor indexed="13"/>
      </patternFill>
    </fill>
    <fill>
      <patternFill patternType="solid">
        <fgColor indexed="58"/>
        <bgColor indexed="64"/>
      </patternFill>
    </fill>
    <fill>
      <patternFill patternType="darkTrellis">
        <fgColor indexed="11"/>
        <bgColor indexed="9"/>
      </patternFill>
    </fill>
    <fill>
      <patternFill patternType="solid">
        <fgColor indexed="9"/>
        <bgColor indexed="64"/>
      </patternFill>
    </fill>
    <fill>
      <patternFill patternType="darkTrellis">
        <fgColor indexed="9"/>
        <bgColor indexed="9"/>
      </patternFill>
    </fill>
    <fill>
      <patternFill patternType="solid">
        <fgColor indexed="15"/>
        <bgColor indexed="64"/>
      </patternFill>
    </fill>
    <fill>
      <patternFill patternType="solid">
        <fgColor indexed="10"/>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
      <patternFill patternType="lightUp">
        <fgColor indexed="9"/>
        <bgColor indexed="9"/>
      </patternFill>
    </fill>
    <fill>
      <patternFill patternType="solid">
        <fgColor indexed="43"/>
        <bgColor indexed="64"/>
      </patternFill>
    </fill>
    <fill>
      <patternFill patternType="solid">
        <fgColor indexed="43"/>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2"/>
        <bgColor indexed="64"/>
      </patternFill>
    </fill>
    <fill>
      <patternFill patternType="solid">
        <fgColor indexed="41"/>
        <bgColor indexed="64"/>
      </patternFill>
    </fill>
    <fill>
      <patternFill patternType="mediumGray">
        <fgColor indexed="9"/>
        <bgColor indexed="9"/>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mediumGray">
        <bgColor indexed="9"/>
      </patternFill>
    </fill>
    <fill>
      <patternFill patternType="mediumGray"/>
    </fill>
    <fill>
      <patternFill patternType="lightTrellis"/>
    </fill>
    <fill>
      <patternFill patternType="solid">
        <fgColor rgb="FFFFFF99"/>
        <bgColor indexed="64"/>
      </patternFill>
    </fill>
    <fill>
      <patternFill patternType="solid">
        <fgColor rgb="FFFFFF99"/>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bgColor indexed="64"/>
      </patternFill>
    </fill>
    <fill>
      <patternFill patternType="solid">
        <fgColor theme="0"/>
        <bgColor indexed="64"/>
      </patternFill>
    </fill>
    <fill>
      <patternFill patternType="solid">
        <fgColor rgb="FFFFC000"/>
        <bgColor indexed="64"/>
      </patternFill>
    </fill>
    <fill>
      <patternFill patternType="solid">
        <fgColor indexed="43"/>
        <bgColor indexed="64"/>
      </patternFill>
    </fill>
    <fill>
      <patternFill patternType="solid">
        <fgColor indexed="42"/>
        <bgColor indexed="64"/>
      </patternFill>
    </fill>
  </fills>
  <borders count="1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style="double">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double">
        <color indexed="8"/>
      </bottom>
    </border>
    <border>
      <left>
        <color indexed="63"/>
      </left>
      <right>
        <color indexed="63"/>
      </right>
      <top style="double">
        <color indexed="8"/>
      </top>
      <bottom>
        <color indexed="63"/>
      </bottom>
    </border>
    <border>
      <left style="double">
        <color indexed="8"/>
      </left>
      <right style="double">
        <color indexed="8"/>
      </right>
      <top style="double">
        <color indexed="8"/>
      </top>
      <bottom style="double">
        <color indexed="8"/>
      </bottom>
    </border>
    <border>
      <left style="thick">
        <color indexed="8"/>
      </left>
      <right style="thick">
        <color indexed="8"/>
      </right>
      <top style="thick">
        <color indexed="8"/>
      </top>
      <bottom style="thick">
        <color indexed="8"/>
      </bottom>
    </border>
    <border>
      <left>
        <color indexed="63"/>
      </left>
      <right>
        <color indexed="63"/>
      </right>
      <top>
        <color indexed="63"/>
      </top>
      <bottom style="thick">
        <color indexed="8"/>
      </bottom>
    </border>
    <border>
      <left>
        <color indexed="63"/>
      </left>
      <right>
        <color indexed="63"/>
      </right>
      <top style="thin">
        <color indexed="8"/>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double"/>
      <bottom style="thin"/>
    </border>
    <border>
      <left style="thin">
        <color indexed="8"/>
      </left>
      <right>
        <color indexed="63"/>
      </right>
      <top style="thin"/>
      <bottom style="thin"/>
    </border>
    <border>
      <left style="thin">
        <color indexed="8"/>
      </left>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double"/>
    </border>
    <border>
      <left style="thin"/>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top>
        <color indexed="63"/>
      </top>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bottom style="thin"/>
    </border>
    <border>
      <left style="thin">
        <color indexed="8"/>
      </left>
      <right style="thin">
        <color indexed="8"/>
      </right>
      <top style="thin">
        <color indexed="8"/>
      </top>
      <bottom style="thin"/>
    </border>
    <border>
      <left>
        <color indexed="63"/>
      </left>
      <right>
        <color indexed="63"/>
      </right>
      <top>
        <color indexed="63"/>
      </top>
      <bottom style="hair"/>
    </border>
    <border>
      <left style="thin"/>
      <right style="thin"/>
      <top style="thin"/>
      <bottom style="thin"/>
    </border>
    <border>
      <left style="thin"/>
      <right style="thin"/>
      <top style="thin"/>
      <bottom style="double"/>
    </border>
    <border>
      <left style="medium">
        <color indexed="8"/>
      </left>
      <right style="medium">
        <color indexed="8"/>
      </right>
      <top style="medium">
        <color indexed="8"/>
      </top>
      <bottom style="medium">
        <color indexed="8"/>
      </bottom>
    </border>
    <border>
      <left style="medium"/>
      <right style="medium"/>
      <top style="medium"/>
      <bottom style="medium"/>
    </border>
    <border>
      <left>
        <color indexed="63"/>
      </left>
      <right>
        <color indexed="63"/>
      </right>
      <top>
        <color indexed="63"/>
      </top>
      <bottom style="slantDashDot"/>
    </border>
    <border>
      <left>
        <color indexed="63"/>
      </left>
      <right style="thick"/>
      <top>
        <color indexed="63"/>
      </top>
      <bottom>
        <color indexed="63"/>
      </bottom>
    </border>
    <border>
      <left>
        <color indexed="63"/>
      </left>
      <right style="thick"/>
      <top>
        <color indexed="63"/>
      </top>
      <bottom style="double"/>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hair"/>
      <top style="thin"/>
      <bottom style="double"/>
    </border>
    <border>
      <left style="thick"/>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medium"/>
    </border>
    <border>
      <left>
        <color indexed="63"/>
      </left>
      <right>
        <color indexed="63"/>
      </right>
      <top style="thick"/>
      <bottom>
        <color indexed="63"/>
      </bottom>
    </border>
    <border>
      <left>
        <color indexed="63"/>
      </left>
      <right style="hair">
        <color indexed="8"/>
      </right>
      <top>
        <color indexed="63"/>
      </top>
      <bottom style="thin">
        <color indexed="8"/>
      </bottom>
    </border>
    <border>
      <left style="thin"/>
      <right>
        <color indexed="63"/>
      </right>
      <top style="thick"/>
      <bottom>
        <color indexed="63"/>
      </bottom>
    </border>
    <border>
      <left style="thick"/>
      <right>
        <color indexed="63"/>
      </right>
      <top style="thin"/>
      <bottom>
        <color indexed="63"/>
      </bottom>
    </border>
    <border>
      <left style="hair"/>
      <right style="hair"/>
      <top>
        <color indexed="63"/>
      </top>
      <bottom style="thin"/>
    </border>
    <border>
      <left style="hair"/>
      <right style="hair"/>
      <top style="thin"/>
      <bottom style="thin"/>
    </border>
    <border>
      <left>
        <color indexed="63"/>
      </left>
      <right>
        <color indexed="63"/>
      </right>
      <top style="hair"/>
      <bottom style="hair"/>
    </border>
    <border>
      <left style="hair"/>
      <right>
        <color indexed="63"/>
      </right>
      <top style="hair"/>
      <bottom style="hair"/>
    </border>
    <border>
      <left style="hair"/>
      <right style="hair"/>
      <top>
        <color indexed="63"/>
      </top>
      <bottom>
        <color indexed="63"/>
      </bottom>
    </border>
    <border>
      <left>
        <color indexed="63"/>
      </left>
      <right>
        <color indexed="63"/>
      </right>
      <top style="hair"/>
      <bottom>
        <color indexed="63"/>
      </bottom>
    </border>
    <border>
      <left style="hair"/>
      <right style="hair"/>
      <top style="hair"/>
      <bottom style="hair"/>
    </border>
    <border>
      <left>
        <color indexed="63"/>
      </left>
      <right style="thin"/>
      <top>
        <color indexed="63"/>
      </top>
      <bottom style="hair"/>
    </border>
    <border>
      <left style="thin"/>
      <right>
        <color indexed="63"/>
      </right>
      <top>
        <color indexed="63"/>
      </top>
      <bottom style="medium"/>
    </border>
    <border>
      <left>
        <color indexed="63"/>
      </left>
      <right style="thin"/>
      <top>
        <color indexed="63"/>
      </top>
      <bottom style="medium"/>
    </border>
    <border>
      <left>
        <color indexed="63"/>
      </left>
      <right style="hair"/>
      <top>
        <color indexed="63"/>
      </top>
      <bottom>
        <color indexed="63"/>
      </bottom>
    </border>
    <border>
      <left>
        <color indexed="63"/>
      </left>
      <right>
        <color indexed="63"/>
      </right>
      <top style="hair"/>
      <bottom style="thin"/>
    </border>
    <border>
      <left style="hair"/>
      <right>
        <color indexed="63"/>
      </right>
      <top>
        <color indexed="63"/>
      </top>
      <bottom>
        <color indexed="63"/>
      </bottom>
    </border>
    <border>
      <left style="hair"/>
      <right style="thin"/>
      <top style="thin"/>
      <bottom style="thin"/>
    </border>
    <border>
      <left style="hair"/>
      <right style="thin"/>
      <top style="hair"/>
      <bottom style="hair"/>
    </border>
    <border>
      <left style="thin"/>
      <right>
        <color indexed="63"/>
      </right>
      <top>
        <color indexed="63"/>
      </top>
      <bottom style="dashDotDot"/>
    </border>
    <border>
      <left>
        <color indexed="63"/>
      </left>
      <right>
        <color indexed="63"/>
      </right>
      <top>
        <color indexed="63"/>
      </top>
      <bottom style="dashDotDot"/>
    </border>
    <border>
      <left>
        <color indexed="63"/>
      </left>
      <right style="thin"/>
      <top>
        <color indexed="63"/>
      </top>
      <bottom style="dashDotDot"/>
    </border>
    <border>
      <left style="hair"/>
      <right>
        <color indexed="63"/>
      </right>
      <top style="hair"/>
      <bottom>
        <color indexed="63"/>
      </bottom>
    </border>
    <border>
      <left>
        <color indexed="63"/>
      </left>
      <right>
        <color indexed="63"/>
      </right>
      <top style="thin"/>
      <bottom style="hair"/>
    </border>
    <border>
      <left>
        <color indexed="63"/>
      </left>
      <right style="thin"/>
      <top style="hair"/>
      <bottom style="hair"/>
    </border>
    <border>
      <left style="hair"/>
      <right style="thin"/>
      <top style="hair"/>
      <bottom style="thin"/>
    </border>
    <border>
      <left style="thin"/>
      <right>
        <color indexed="63"/>
      </right>
      <top>
        <color indexed="63"/>
      </top>
      <bottom style="hair"/>
    </border>
    <border>
      <left>
        <color indexed="63"/>
      </left>
      <right style="hair"/>
      <top>
        <color indexed="63"/>
      </top>
      <bottom style="hair"/>
    </border>
    <border>
      <left style="thin"/>
      <right>
        <color indexed="63"/>
      </right>
      <top style="hair"/>
      <bottom style="hair"/>
    </border>
    <border>
      <left>
        <color indexed="63"/>
      </left>
      <right style="hair"/>
      <top style="hair"/>
      <bottom style="hair"/>
    </border>
    <border>
      <left style="hair"/>
      <right>
        <color indexed="63"/>
      </right>
      <top>
        <color indexed="63"/>
      </top>
      <bottom style="hair"/>
    </border>
    <border>
      <left>
        <color indexed="63"/>
      </left>
      <right style="hair"/>
      <top style="hair"/>
      <bottom>
        <color indexed="63"/>
      </bottom>
    </border>
    <border>
      <left style="hair"/>
      <right style="thin"/>
      <top>
        <color indexed="63"/>
      </top>
      <bottom style="hair"/>
    </border>
    <border>
      <left style="hair"/>
      <right style="hair"/>
      <top>
        <color indexed="63"/>
      </top>
      <bottom style="hair"/>
    </border>
    <border>
      <left style="thin"/>
      <right style="thin"/>
      <top style="hair"/>
      <bottom style="hair"/>
    </border>
    <border>
      <left style="thin"/>
      <right style="hair"/>
      <top style="thin"/>
      <bottom style="thin"/>
    </border>
    <border>
      <left>
        <color indexed="63"/>
      </left>
      <right style="thin"/>
      <top style="hair"/>
      <bottom style="thin"/>
    </border>
    <border>
      <left style="thick"/>
      <right>
        <color indexed="63"/>
      </right>
      <top style="thick"/>
      <bottom style="thick"/>
    </border>
    <border>
      <left>
        <color indexed="63"/>
      </left>
      <right>
        <color indexed="63"/>
      </right>
      <top style="thick"/>
      <bottom style="thick"/>
    </border>
    <border>
      <left style="thin">
        <color indexed="8"/>
      </left>
      <right style="thin">
        <color indexed="8"/>
      </right>
      <top style="thin">
        <color indexed="8"/>
      </top>
      <bottom>
        <color indexed="63"/>
      </bottom>
    </border>
    <border>
      <left>
        <color indexed="63"/>
      </left>
      <right style="medium"/>
      <top>
        <color indexed="63"/>
      </top>
      <bottom style="thin"/>
    </border>
    <border>
      <left style="thin"/>
      <right style="thin">
        <color indexed="8"/>
      </right>
      <top style="thin"/>
      <bottom style="thin"/>
    </border>
    <border>
      <left>
        <color indexed="63"/>
      </left>
      <right style="hair"/>
      <top>
        <color indexed="63"/>
      </top>
      <bottom style="thin"/>
    </border>
    <border>
      <left style="hair"/>
      <right>
        <color indexed="63"/>
      </right>
      <top>
        <color indexed="63"/>
      </top>
      <bottom style="thin"/>
    </border>
    <border>
      <left>
        <color indexed="63"/>
      </left>
      <right style="hair"/>
      <top style="thin"/>
      <bottom style="thin"/>
    </border>
    <border>
      <left>
        <color indexed="63"/>
      </left>
      <right style="thin"/>
      <top style="thin"/>
      <bottom style="double"/>
    </border>
    <border>
      <left style="thin"/>
      <right>
        <color indexed="63"/>
      </right>
      <top>
        <color indexed="63"/>
      </top>
      <bottom style="double"/>
    </border>
    <border>
      <left style="double"/>
      <right style="double"/>
      <top style="double"/>
      <bottom style="double"/>
    </border>
    <border>
      <left style="double"/>
      <right style="thin"/>
      <top style="double"/>
      <bottom style="double"/>
    </border>
    <border>
      <left>
        <color indexed="63"/>
      </left>
      <right>
        <color indexed="63"/>
      </right>
      <top style="double"/>
      <bottom>
        <color indexed="63"/>
      </bottom>
    </border>
    <border>
      <left style="thick">
        <color indexed="8"/>
      </left>
      <right>
        <color indexed="63"/>
      </right>
      <top style="thin">
        <color indexed="8"/>
      </top>
      <bottom style="thin">
        <color indexed="8"/>
      </bottom>
    </border>
    <border>
      <left style="thick"/>
      <right>
        <color indexed="63"/>
      </right>
      <top style="thick"/>
      <bottom>
        <color indexed="63"/>
      </bottom>
    </border>
    <border>
      <left style="thin"/>
      <right style="thick"/>
      <top style="thin"/>
      <bottom>
        <color indexed="63"/>
      </bottom>
    </border>
    <border>
      <left style="thin"/>
      <right style="thick"/>
      <top>
        <color indexed="63"/>
      </top>
      <bottom style="thick"/>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ck">
        <color indexed="8"/>
      </left>
      <right>
        <color indexed="63"/>
      </right>
      <top style="thick">
        <color indexed="8"/>
      </top>
      <bottom>
        <color indexed="63"/>
      </bottom>
    </border>
    <border>
      <left>
        <color indexed="63"/>
      </left>
      <right>
        <color indexed="63"/>
      </right>
      <top style="thick">
        <color indexed="8"/>
      </top>
      <bottom>
        <color indexed="63"/>
      </bottom>
    </border>
    <border>
      <left>
        <color indexed="63"/>
      </left>
      <right style="thick">
        <color indexed="8"/>
      </right>
      <top style="thick">
        <color indexed="8"/>
      </top>
      <bottom>
        <color indexed="63"/>
      </bottom>
    </border>
    <border>
      <left>
        <color indexed="63"/>
      </left>
      <right style="thick"/>
      <top style="thick"/>
      <bottom>
        <color indexed="63"/>
      </bottom>
    </border>
    <border>
      <left style="thick">
        <color indexed="8"/>
      </left>
      <right>
        <color indexed="63"/>
      </right>
      <top>
        <color indexed="63"/>
      </top>
      <bottom style="thick">
        <color indexed="8"/>
      </bottom>
    </border>
    <border>
      <left>
        <color indexed="63"/>
      </left>
      <right style="thick">
        <color indexed="8"/>
      </right>
      <top>
        <color indexed="63"/>
      </top>
      <bottom style="thick">
        <color indexed="8"/>
      </bottom>
    </border>
    <border>
      <left style="thick">
        <color indexed="8"/>
      </left>
      <right>
        <color indexed="63"/>
      </right>
      <top>
        <color indexed="63"/>
      </top>
      <bottom>
        <color indexed="63"/>
      </bottom>
    </border>
    <border>
      <left>
        <color indexed="63"/>
      </left>
      <right style="thick">
        <color indexed="8"/>
      </right>
      <top>
        <color indexed="63"/>
      </top>
      <bottom>
        <color indexed="63"/>
      </bottom>
    </border>
    <border>
      <left style="thick">
        <color indexed="8"/>
      </left>
      <right>
        <color indexed="63"/>
      </right>
      <top>
        <color indexed="63"/>
      </top>
      <bottom style="thin">
        <color indexed="8"/>
      </bottom>
    </border>
    <border>
      <left>
        <color indexed="63"/>
      </left>
      <right style="thick">
        <color indexed="8"/>
      </right>
      <top>
        <color indexed="63"/>
      </top>
      <bottom style="thin">
        <color indexed="8"/>
      </bottom>
    </border>
    <border>
      <left style="thick">
        <color indexed="8"/>
      </left>
      <right style="thin">
        <color indexed="8"/>
      </right>
      <top>
        <color indexed="63"/>
      </top>
      <bottom style="thin">
        <color indexed="8"/>
      </bottom>
    </border>
    <border>
      <left style="thin">
        <color indexed="8"/>
      </left>
      <right style="thick">
        <color indexed="8"/>
      </right>
      <top>
        <color indexed="63"/>
      </top>
      <bottom style="thin">
        <color indexed="8"/>
      </bottom>
    </border>
    <border>
      <left style="thick">
        <color indexed="8"/>
      </left>
      <right style="thin">
        <color indexed="8"/>
      </right>
      <top style="thin">
        <color indexed="8"/>
      </top>
      <bottom style="thin">
        <color indexed="8"/>
      </bottom>
    </border>
    <border>
      <left>
        <color indexed="63"/>
      </left>
      <right style="thick"/>
      <top style="thick"/>
      <bottom style="thick"/>
    </border>
    <border>
      <left style="thin">
        <color indexed="8"/>
      </left>
      <right style="thin">
        <color indexed="8"/>
      </right>
      <top>
        <color indexed="63"/>
      </top>
      <bottom style="thick">
        <color indexed="8"/>
      </bottom>
    </border>
    <border>
      <left style="hair">
        <color indexed="8"/>
      </left>
      <right>
        <color indexed="63"/>
      </right>
      <top style="thin">
        <color indexed="8"/>
      </top>
      <bottom style="thin">
        <color indexed="8"/>
      </bottom>
    </border>
    <border>
      <left style="thick">
        <color indexed="8"/>
      </left>
      <right>
        <color indexed="63"/>
      </right>
      <top>
        <color indexed="63"/>
      </top>
      <bottom style="double">
        <color indexed="8"/>
      </bottom>
    </border>
    <border>
      <left>
        <color indexed="63"/>
      </left>
      <right style="thick">
        <color indexed="8"/>
      </right>
      <top>
        <color indexed="63"/>
      </top>
      <bottom style="double">
        <color indexed="8"/>
      </bottom>
    </border>
    <border>
      <left>
        <color indexed="63"/>
      </left>
      <right>
        <color indexed="63"/>
      </right>
      <top style="thick">
        <color indexed="8"/>
      </top>
      <bottom style="thick">
        <color indexed="8"/>
      </bottom>
    </border>
    <border>
      <left>
        <color indexed="63"/>
      </left>
      <right style="thick"/>
      <top>
        <color indexed="63"/>
      </top>
      <bottom style="thin"/>
    </border>
    <border>
      <left style="medium"/>
      <right>
        <color indexed="63"/>
      </right>
      <top style="thick">
        <color indexed="8"/>
      </top>
      <bottom>
        <color indexed="63"/>
      </bottom>
    </border>
    <border>
      <left>
        <color indexed="63"/>
      </left>
      <right style="medium"/>
      <top style="thick">
        <color indexed="8"/>
      </top>
      <bottom>
        <color indexed="63"/>
      </bottom>
    </border>
    <border>
      <left style="medium"/>
      <right>
        <color indexed="63"/>
      </right>
      <top>
        <color indexed="63"/>
      </top>
      <bottom style="thick">
        <color indexed="8"/>
      </bottom>
    </border>
    <border>
      <left>
        <color indexed="63"/>
      </left>
      <right style="medium"/>
      <top>
        <color indexed="63"/>
      </top>
      <bottom style="thick">
        <color indexed="8"/>
      </botto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style="thick"/>
    </border>
  </borders>
  <cellStyleXfs count="86">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5" fillId="2" borderId="0" applyNumberFormat="0" applyBorder="0" applyAlignment="0" applyProtection="0"/>
    <xf numFmtId="0" fontId="135" fillId="3" borderId="0" applyNumberFormat="0" applyBorder="0" applyAlignment="0" applyProtection="0"/>
    <xf numFmtId="0" fontId="135" fillId="4" borderId="0" applyNumberFormat="0" applyBorder="0" applyAlignment="0" applyProtection="0"/>
    <xf numFmtId="0" fontId="135" fillId="5" borderId="0" applyNumberFormat="0" applyBorder="0" applyAlignment="0" applyProtection="0"/>
    <xf numFmtId="0" fontId="135" fillId="6" borderId="0" applyNumberFormat="0" applyBorder="0" applyAlignment="0" applyProtection="0"/>
    <xf numFmtId="0" fontId="135" fillId="7" borderId="0" applyNumberFormat="0" applyBorder="0" applyAlignment="0" applyProtection="0"/>
    <xf numFmtId="0" fontId="135" fillId="8" borderId="0" applyNumberFormat="0" applyBorder="0" applyAlignment="0" applyProtection="0"/>
    <xf numFmtId="0" fontId="135" fillId="9" borderId="0" applyNumberFormat="0" applyBorder="0" applyAlignment="0" applyProtection="0"/>
    <xf numFmtId="0" fontId="135" fillId="10" borderId="0" applyNumberFormat="0" applyBorder="0" applyAlignment="0" applyProtection="0"/>
    <xf numFmtId="0" fontId="135" fillId="11" borderId="0" applyNumberFormat="0" applyBorder="0" applyAlignment="0" applyProtection="0"/>
    <xf numFmtId="0" fontId="135" fillId="12" borderId="0" applyNumberFormat="0" applyBorder="0" applyAlignment="0" applyProtection="0"/>
    <xf numFmtId="0" fontId="135" fillId="13" borderId="0" applyNumberFormat="0" applyBorder="0" applyAlignment="0" applyProtection="0"/>
    <xf numFmtId="0" fontId="136" fillId="14" borderId="0" applyNumberFormat="0" applyBorder="0" applyAlignment="0" applyProtection="0"/>
    <xf numFmtId="0" fontId="136" fillId="15" borderId="0" applyNumberFormat="0" applyBorder="0" applyAlignment="0" applyProtection="0"/>
    <xf numFmtId="0" fontId="136" fillId="16" borderId="0" applyNumberFormat="0" applyBorder="0" applyAlignment="0" applyProtection="0"/>
    <xf numFmtId="0" fontId="136" fillId="17" borderId="0" applyNumberFormat="0" applyBorder="0" applyAlignment="0" applyProtection="0"/>
    <xf numFmtId="0" fontId="136" fillId="18" borderId="0" applyNumberFormat="0" applyBorder="0" applyAlignment="0" applyProtection="0"/>
    <xf numFmtId="0" fontId="136" fillId="19" borderId="0" applyNumberFormat="0" applyBorder="0" applyAlignment="0" applyProtection="0"/>
    <xf numFmtId="0" fontId="136" fillId="20" borderId="0" applyNumberFormat="0" applyBorder="0" applyAlignment="0" applyProtection="0"/>
    <xf numFmtId="0" fontId="136" fillId="21" borderId="0" applyNumberFormat="0" applyBorder="0" applyAlignment="0" applyProtection="0"/>
    <xf numFmtId="0" fontId="136" fillId="22" borderId="0" applyNumberFormat="0" applyBorder="0" applyAlignment="0" applyProtection="0"/>
    <xf numFmtId="0" fontId="136" fillId="23" borderId="0" applyNumberFormat="0" applyBorder="0" applyAlignment="0" applyProtection="0"/>
    <xf numFmtId="0" fontId="136" fillId="24" borderId="0" applyNumberFormat="0" applyBorder="0" applyAlignment="0" applyProtection="0"/>
    <xf numFmtId="0" fontId="136" fillId="25" borderId="0" applyNumberFormat="0" applyBorder="0" applyAlignment="0" applyProtection="0"/>
    <xf numFmtId="0" fontId="137" fillId="26" borderId="0" applyNumberFormat="0" applyBorder="0" applyAlignment="0" applyProtection="0"/>
    <xf numFmtId="0" fontId="138" fillId="27" borderId="1" applyNumberFormat="0" applyAlignment="0" applyProtection="0"/>
    <xf numFmtId="0" fontId="139" fillId="28" borderId="2" applyNumberFormat="0" applyAlignment="0" applyProtection="0"/>
    <xf numFmtId="4" fontId="0" fillId="0" borderId="0" applyFill="0" applyBorder="0" applyAlignment="0" applyProtection="0"/>
    <xf numFmtId="41" fontId="7" fillId="0" borderId="0" applyFont="0" applyFill="0" applyBorder="0" applyAlignment="0" applyProtection="0"/>
    <xf numFmtId="3" fontId="7" fillId="0" borderId="0" applyFont="0" applyFill="0" applyBorder="0" applyAlignment="0" applyProtection="0"/>
    <xf numFmtId="7" fontId="0" fillId="0" borderId="0" applyFill="0" applyBorder="0" applyAlignment="0" applyProtection="0"/>
    <xf numFmtId="42" fontId="7" fillId="0" borderId="0" applyFont="0" applyFill="0" applyBorder="0" applyAlignment="0" applyProtection="0"/>
    <xf numFmtId="179" fontId="7" fillId="29" borderId="0" applyFont="0" applyFill="0" applyBorder="0" applyAlignment="0" applyProtection="0"/>
    <xf numFmtId="179" fontId="7" fillId="29" borderId="0" applyFont="0" applyFill="0" applyBorder="0" applyAlignment="0" applyProtection="0"/>
    <xf numFmtId="179" fontId="7" fillId="29" borderId="0" applyFont="0" applyFill="0" applyBorder="0" applyAlignment="0" applyProtection="0"/>
    <xf numFmtId="5" fontId="7" fillId="0" borderId="0" applyFont="0" applyFill="0" applyBorder="0" applyAlignment="0" applyProtection="0"/>
    <xf numFmtId="177" fontId="7" fillId="29" borderId="0" applyFont="0" applyFill="0" applyBorder="0" applyAlignment="0" applyProtection="0"/>
    <xf numFmtId="177" fontId="7" fillId="29" borderId="0" applyFont="0" applyFill="0" applyBorder="0" applyAlignment="0" applyProtection="0"/>
    <xf numFmtId="0" fontId="0" fillId="0" borderId="0" applyFill="0" applyBorder="0" applyAlignment="0" applyProtection="0"/>
    <xf numFmtId="0" fontId="140" fillId="0" borderId="0" applyNumberFormat="0" applyFill="0" applyBorder="0" applyAlignment="0" applyProtection="0"/>
    <xf numFmtId="2" fontId="0" fillId="0" borderId="0" applyFill="0" applyBorder="0" applyAlignment="0" applyProtection="0"/>
    <xf numFmtId="0" fontId="26" fillId="0" borderId="0" applyNumberFormat="0" applyFill="0" applyBorder="0" applyAlignment="0" applyProtection="0"/>
    <xf numFmtId="0" fontId="141" fillId="30"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42" fillId="0" borderId="3" applyNumberFormat="0" applyFill="0" applyAlignment="0" applyProtection="0"/>
    <xf numFmtId="0" fontId="142"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5" fillId="0" borderId="0" applyNumberFormat="0" applyFill="0" applyBorder="0" applyAlignment="0" applyProtection="0"/>
    <xf numFmtId="0" fontId="143" fillId="31" borderId="1" applyNumberFormat="0" applyAlignment="0" applyProtection="0"/>
    <xf numFmtId="0" fontId="144" fillId="0" borderId="4" applyNumberFormat="0" applyFill="0" applyAlignment="0" applyProtection="0"/>
    <xf numFmtId="0" fontId="145" fillId="32" borderId="0" applyNumberFormat="0" applyBorder="0" applyAlignment="0" applyProtection="0"/>
    <xf numFmtId="0" fontId="0" fillId="0" borderId="0">
      <alignment vertical="top"/>
      <protection/>
    </xf>
    <xf numFmtId="0" fontId="2" fillId="0" borderId="0">
      <alignment/>
      <protection/>
    </xf>
    <xf numFmtId="0" fontId="7" fillId="0" borderId="0">
      <alignment vertical="top"/>
      <protection/>
    </xf>
    <xf numFmtId="0" fontId="67" fillId="0" borderId="0">
      <alignment/>
      <protection/>
    </xf>
    <xf numFmtId="0" fontId="7" fillId="0" borderId="0">
      <alignment/>
      <protection/>
    </xf>
    <xf numFmtId="0" fontId="7" fillId="0" borderId="0">
      <alignment/>
      <protection/>
    </xf>
    <xf numFmtId="0" fontId="0" fillId="33" borderId="5" applyNumberFormat="0" applyFont="0" applyAlignment="0" applyProtection="0"/>
    <xf numFmtId="0" fontId="146" fillId="27" borderId="6" applyNumberFormat="0" applyAlignment="0" applyProtection="0"/>
    <xf numFmtId="10" fontId="0" fillId="0" borderId="0" applyFill="0" applyBorder="0" applyAlignment="0" applyProtection="0"/>
    <xf numFmtId="10" fontId="7" fillId="29" borderId="0" applyFont="0" applyFill="0" applyBorder="0" applyAlignment="0" applyProtection="0"/>
    <xf numFmtId="10" fontId="7" fillId="29" borderId="0" applyFont="0" applyFill="0" applyBorder="0" applyAlignment="0" applyProtection="0"/>
    <xf numFmtId="0" fontId="147" fillId="0" borderId="0" applyNumberFormat="0" applyFill="0" applyBorder="0" applyAlignment="0" applyProtection="0"/>
    <xf numFmtId="0" fontId="0" fillId="0" borderId="7" applyNumberFormat="0" applyFill="0" applyAlignment="0" applyProtection="0"/>
    <xf numFmtId="0" fontId="148" fillId="0" borderId="0" applyNumberFormat="0" applyFill="0" applyBorder="0" applyAlignment="0" applyProtection="0"/>
    <xf numFmtId="177" fontId="31" fillId="34" borderId="8">
      <alignment horizontal="right"/>
      <protection/>
    </xf>
    <xf numFmtId="0" fontId="0" fillId="35" borderId="8" applyNumberFormat="0" applyFont="0" applyAlignment="0" applyProtection="0"/>
    <xf numFmtId="177" fontId="31" fillId="36" borderId="8">
      <alignment horizontal="right"/>
      <protection locked="0"/>
    </xf>
    <xf numFmtId="177" fontId="31" fillId="36" borderId="8">
      <alignment horizontal="right"/>
      <protection locked="0"/>
    </xf>
  </cellStyleXfs>
  <cellXfs count="1620">
    <xf numFmtId="3" fontId="0" fillId="0" borderId="0" xfId="0" applyNumberFormat="1" applyAlignment="1">
      <alignment/>
    </xf>
    <xf numFmtId="0" fontId="6" fillId="0" borderId="0" xfId="0" applyNumberFormat="1" applyFont="1" applyAlignment="1">
      <alignment/>
    </xf>
    <xf numFmtId="0" fontId="6" fillId="0" borderId="0" xfId="0" applyNumberFormat="1" applyFont="1" applyAlignment="1" applyProtection="1">
      <alignment/>
      <protection locked="0"/>
    </xf>
    <xf numFmtId="0" fontId="7" fillId="37" borderId="0" xfId="70" applyFill="1" applyAlignment="1">
      <alignment/>
      <protection/>
    </xf>
    <xf numFmtId="37" fontId="6" fillId="0" borderId="0" xfId="0" applyNumberFormat="1" applyFont="1" applyAlignment="1">
      <alignment/>
    </xf>
    <xf numFmtId="37" fontId="10" fillId="0" borderId="0" xfId="0" applyNumberFormat="1" applyFont="1" applyAlignment="1" applyProtection="1">
      <alignment/>
      <protection locked="0"/>
    </xf>
    <xf numFmtId="37" fontId="6" fillId="0" borderId="0" xfId="0" applyNumberFormat="1" applyFont="1" applyAlignment="1" applyProtection="1">
      <alignment horizontal="left"/>
      <protection locked="0"/>
    </xf>
    <xf numFmtId="37" fontId="6" fillId="0" borderId="0" xfId="0" applyNumberFormat="1" applyFont="1" applyAlignment="1" applyProtection="1">
      <alignment/>
      <protection hidden="1"/>
    </xf>
    <xf numFmtId="37" fontId="6" fillId="0" borderId="0" xfId="0" applyNumberFormat="1" applyFont="1" applyAlignment="1" applyProtection="1">
      <alignment/>
      <protection hidden="1" locked="0"/>
    </xf>
    <xf numFmtId="37" fontId="6" fillId="0" borderId="0" xfId="0" applyNumberFormat="1" applyFont="1" applyAlignment="1">
      <alignment horizontal="left"/>
    </xf>
    <xf numFmtId="15" fontId="6" fillId="0" borderId="0" xfId="0" applyNumberFormat="1" applyFont="1" applyAlignment="1" applyProtection="1">
      <alignment horizontal="right"/>
      <protection locked="0"/>
    </xf>
    <xf numFmtId="37" fontId="12" fillId="0" borderId="0" xfId="0" applyNumberFormat="1" applyFont="1" applyAlignment="1">
      <alignment/>
    </xf>
    <xf numFmtId="37" fontId="12" fillId="0" borderId="0" xfId="0" applyNumberFormat="1" applyFont="1" applyAlignment="1" applyProtection="1">
      <alignment horizontal="right"/>
      <protection locked="0"/>
    </xf>
    <xf numFmtId="37" fontId="12" fillId="0" borderId="0" xfId="0" applyNumberFormat="1" applyFont="1" applyAlignment="1" applyProtection="1">
      <alignment/>
      <protection hidden="1"/>
    </xf>
    <xf numFmtId="37" fontId="12" fillId="0" borderId="0" xfId="0" applyNumberFormat="1" applyFont="1" applyAlignment="1" applyProtection="1">
      <alignment/>
      <protection hidden="1" locked="0"/>
    </xf>
    <xf numFmtId="37" fontId="6" fillId="0" borderId="0" xfId="0" applyNumberFormat="1" applyFont="1" applyAlignment="1">
      <alignment horizontal="right"/>
    </xf>
    <xf numFmtId="37" fontId="6" fillId="0" borderId="0" xfId="0" applyNumberFormat="1" applyFont="1" applyFill="1" applyAlignment="1">
      <alignment/>
    </xf>
    <xf numFmtId="37" fontId="6" fillId="0" borderId="0" xfId="0" applyNumberFormat="1" applyFont="1" applyAlignment="1" applyProtection="1">
      <alignment horizontal="right"/>
      <protection locked="0"/>
    </xf>
    <xf numFmtId="37" fontId="6" fillId="0" borderId="0" xfId="0" applyNumberFormat="1" applyFont="1" applyAlignment="1">
      <alignment horizontal="center"/>
    </xf>
    <xf numFmtId="37" fontId="6" fillId="0" borderId="9" xfId="0" applyNumberFormat="1" applyFont="1" applyBorder="1" applyAlignment="1">
      <alignment/>
    </xf>
    <xf numFmtId="37" fontId="6" fillId="0" borderId="0" xfId="0" applyNumberFormat="1" applyFont="1" applyAlignment="1" applyProtection="1">
      <alignment/>
      <protection locked="0"/>
    </xf>
    <xf numFmtId="37" fontId="11" fillId="0" borderId="0" xfId="0" applyNumberFormat="1" applyFont="1" applyAlignment="1">
      <alignment horizontal="left"/>
    </xf>
    <xf numFmtId="37" fontId="11" fillId="0" borderId="0" xfId="0" applyNumberFormat="1" applyFont="1" applyAlignment="1">
      <alignment/>
    </xf>
    <xf numFmtId="5" fontId="6" fillId="0" borderId="8" xfId="0" applyNumberFormat="1" applyFont="1" applyBorder="1" applyAlignment="1">
      <alignment/>
    </xf>
    <xf numFmtId="37" fontId="6" fillId="38" borderId="0" xfId="0" applyNumberFormat="1" applyFont="1" applyFill="1" applyAlignment="1" applyProtection="1">
      <alignment/>
      <protection hidden="1"/>
    </xf>
    <xf numFmtId="37" fontId="10" fillId="0" borderId="0" xfId="0" applyNumberFormat="1" applyFont="1" applyAlignment="1">
      <alignment horizontal="left"/>
    </xf>
    <xf numFmtId="37" fontId="10" fillId="0" borderId="0" xfId="0" applyNumberFormat="1" applyFont="1" applyAlignment="1">
      <alignment horizontal="center"/>
    </xf>
    <xf numFmtId="37" fontId="6" fillId="0" borderId="10" xfId="0" applyNumberFormat="1" applyFont="1" applyBorder="1" applyAlignment="1">
      <alignment/>
    </xf>
    <xf numFmtId="37" fontId="6" fillId="0" borderId="0" xfId="0" applyNumberFormat="1" applyFont="1" applyAlignment="1" applyProtection="1">
      <alignment horizontal="left"/>
      <protection hidden="1"/>
    </xf>
    <xf numFmtId="37" fontId="6" fillId="0" borderId="9" xfId="0" applyNumberFormat="1" applyFont="1" applyBorder="1" applyAlignment="1">
      <alignment horizontal="left"/>
    </xf>
    <xf numFmtId="37" fontId="6" fillId="0" borderId="8" xfId="0" applyNumberFormat="1" applyFont="1" applyBorder="1" applyAlignment="1">
      <alignment/>
    </xf>
    <xf numFmtId="37" fontId="14" fillId="0" borderId="0" xfId="0" applyNumberFormat="1" applyFont="1" applyAlignment="1">
      <alignment/>
    </xf>
    <xf numFmtId="37" fontId="6" fillId="0" borderId="8" xfId="0" applyNumberFormat="1" applyFont="1" applyBorder="1" applyAlignment="1">
      <alignment horizontal="center"/>
    </xf>
    <xf numFmtId="37" fontId="6" fillId="0" borderId="9" xfId="0" applyNumberFormat="1" applyFont="1" applyBorder="1" applyAlignment="1">
      <alignment horizontal="center"/>
    </xf>
    <xf numFmtId="37" fontId="13" fillId="0" borderId="0" xfId="0" applyNumberFormat="1" applyFont="1" applyAlignment="1">
      <alignment/>
    </xf>
    <xf numFmtId="37" fontId="6" fillId="0" borderId="11" xfId="0" applyNumberFormat="1" applyFont="1" applyBorder="1" applyAlignment="1">
      <alignment/>
    </xf>
    <xf numFmtId="37" fontId="6" fillId="0" borderId="9" xfId="0" applyNumberFormat="1" applyFont="1" applyBorder="1" applyAlignment="1" applyProtection="1">
      <alignment/>
      <protection locked="0"/>
    </xf>
    <xf numFmtId="37" fontId="11" fillId="39" borderId="0" xfId="0" applyNumberFormat="1" applyFont="1" applyFill="1" applyAlignment="1">
      <alignment horizontal="left"/>
    </xf>
    <xf numFmtId="37" fontId="6" fillId="39" borderId="0" xfId="0" applyNumberFormat="1" applyFont="1" applyFill="1" applyAlignment="1">
      <alignment/>
    </xf>
    <xf numFmtId="37" fontId="6" fillId="39" borderId="0" xfId="0" applyNumberFormat="1" applyFont="1" applyFill="1" applyAlignment="1">
      <alignment horizontal="right"/>
    </xf>
    <xf numFmtId="37" fontId="15" fillId="0" borderId="0" xfId="0" applyNumberFormat="1" applyFont="1" applyAlignment="1">
      <alignment/>
    </xf>
    <xf numFmtId="37" fontId="10" fillId="0" borderId="0" xfId="0" applyNumberFormat="1" applyFont="1" applyAlignment="1">
      <alignment/>
    </xf>
    <xf numFmtId="37" fontId="6" fillId="0" borderId="8" xfId="0" applyNumberFormat="1" applyFont="1" applyBorder="1" applyAlignment="1" applyProtection="1">
      <alignment/>
      <protection locked="0"/>
    </xf>
    <xf numFmtId="37" fontId="6" fillId="0" borderId="11" xfId="0" applyNumberFormat="1" applyFont="1" applyBorder="1" applyAlignment="1" applyProtection="1">
      <alignment/>
      <protection locked="0"/>
    </xf>
    <xf numFmtId="37" fontId="6" fillId="0" borderId="0" xfId="0" applyNumberFormat="1" applyFont="1" applyBorder="1" applyAlignment="1">
      <alignment/>
    </xf>
    <xf numFmtId="37" fontId="6" fillId="0" borderId="0" xfId="0" applyNumberFormat="1" applyFont="1" applyFill="1" applyBorder="1" applyAlignment="1" applyProtection="1">
      <alignment horizontal="center"/>
      <protection locked="0"/>
    </xf>
    <xf numFmtId="37" fontId="6" fillId="0" borderId="9" xfId="0" applyNumberFormat="1" applyFont="1" applyBorder="1" applyAlignment="1" applyProtection="1">
      <alignment horizontal="left"/>
      <protection locked="0"/>
    </xf>
    <xf numFmtId="37" fontId="10" fillId="39" borderId="0" xfId="0" applyNumberFormat="1" applyFont="1" applyFill="1" applyAlignment="1">
      <alignment/>
    </xf>
    <xf numFmtId="37" fontId="10" fillId="39" borderId="12" xfId="0" applyNumberFormat="1" applyFont="1" applyFill="1" applyBorder="1" applyAlignment="1">
      <alignment/>
    </xf>
    <xf numFmtId="37" fontId="6" fillId="0" borderId="13" xfId="0" applyNumberFormat="1" applyFont="1" applyBorder="1" applyAlignment="1">
      <alignment/>
    </xf>
    <xf numFmtId="37" fontId="6" fillId="0" borderId="9" xfId="0" applyNumberFormat="1" applyFont="1" applyBorder="1" applyAlignment="1" applyProtection="1">
      <alignment/>
      <protection hidden="1"/>
    </xf>
    <xf numFmtId="37" fontId="6" fillId="39" borderId="12" xfId="0" applyNumberFormat="1" applyFont="1" applyFill="1" applyBorder="1" applyAlignment="1">
      <alignment/>
    </xf>
    <xf numFmtId="37" fontId="10" fillId="39" borderId="0" xfId="0" applyNumberFormat="1" applyFont="1" applyFill="1" applyAlignment="1">
      <alignment horizontal="left"/>
    </xf>
    <xf numFmtId="37" fontId="10" fillId="39" borderId="14" xfId="0" applyNumberFormat="1" applyFont="1" applyFill="1" applyBorder="1" applyAlignment="1">
      <alignment/>
    </xf>
    <xf numFmtId="37" fontId="16" fillId="40" borderId="0" xfId="0" applyNumberFormat="1" applyFont="1" applyFill="1" applyAlignment="1" applyProtection="1">
      <alignment/>
      <protection locked="0"/>
    </xf>
    <xf numFmtId="37" fontId="10" fillId="0" borderId="15" xfId="0" applyNumberFormat="1" applyFont="1" applyBorder="1" applyAlignment="1" applyProtection="1">
      <alignment/>
      <protection hidden="1"/>
    </xf>
    <xf numFmtId="37" fontId="17" fillId="0" borderId="0" xfId="0" applyNumberFormat="1" applyFont="1" applyFill="1" applyAlignment="1" applyProtection="1">
      <alignment horizontal="left"/>
      <protection hidden="1" locked="0"/>
    </xf>
    <xf numFmtId="37" fontId="6" fillId="39" borderId="15" xfId="0" applyNumberFormat="1" applyFont="1" applyFill="1" applyBorder="1" applyAlignment="1">
      <alignment/>
    </xf>
    <xf numFmtId="37" fontId="17" fillId="0" borderId="0" xfId="0" applyNumberFormat="1" applyFont="1" applyAlignment="1" applyProtection="1">
      <alignment horizontal="left"/>
      <protection hidden="1" locked="0"/>
    </xf>
    <xf numFmtId="37" fontId="16" fillId="40" borderId="0" xfId="0" applyNumberFormat="1" applyFont="1" applyFill="1" applyAlignment="1" applyProtection="1">
      <alignment horizontal="center"/>
      <protection hidden="1" locked="0"/>
    </xf>
    <xf numFmtId="37" fontId="18" fillId="0" borderId="0" xfId="0" applyNumberFormat="1" applyFont="1" applyAlignment="1" applyProtection="1">
      <alignment horizontal="left"/>
      <protection locked="0"/>
    </xf>
    <xf numFmtId="37" fontId="17" fillId="0" borderId="0" xfId="0" applyNumberFormat="1" applyFont="1" applyAlignment="1" applyProtection="1">
      <alignment horizontal="center"/>
      <protection hidden="1" locked="0"/>
    </xf>
    <xf numFmtId="168" fontId="19" fillId="0" borderId="0" xfId="0" applyNumberFormat="1" applyFont="1" applyFill="1" applyAlignment="1" applyProtection="1">
      <alignment/>
      <protection locked="0"/>
    </xf>
    <xf numFmtId="37" fontId="19" fillId="0" borderId="0" xfId="0" applyNumberFormat="1" applyFont="1" applyAlignment="1" applyProtection="1">
      <alignment horizontal="center"/>
      <protection locked="0"/>
    </xf>
    <xf numFmtId="37" fontId="18" fillId="0" borderId="0" xfId="0" applyNumberFormat="1" applyFont="1" applyAlignment="1" applyProtection="1">
      <alignment horizontal="center"/>
      <protection locked="0"/>
    </xf>
    <xf numFmtId="37" fontId="17" fillId="0" borderId="0" xfId="0" applyNumberFormat="1" applyFont="1" applyAlignment="1" applyProtection="1">
      <alignment/>
      <protection locked="0"/>
    </xf>
    <xf numFmtId="37" fontId="6" fillId="0" borderId="0" xfId="0" applyNumberFormat="1" applyFont="1" applyFill="1" applyBorder="1" applyAlignment="1" applyProtection="1">
      <alignment/>
      <protection locked="0"/>
    </xf>
    <xf numFmtId="37" fontId="6" fillId="35" borderId="8" xfId="0" applyNumberFormat="1" applyFont="1" applyFill="1" applyBorder="1" applyAlignment="1" applyProtection="1">
      <alignment/>
      <protection locked="0"/>
    </xf>
    <xf numFmtId="37" fontId="10" fillId="0" borderId="8" xfId="0" applyNumberFormat="1" applyFont="1" applyBorder="1" applyAlignment="1">
      <alignment horizontal="center"/>
    </xf>
    <xf numFmtId="37" fontId="6" fillId="40" borderId="8" xfId="83" applyNumberFormat="1" applyFont="1" applyFill="1" applyAlignment="1" applyProtection="1">
      <alignment/>
      <protection locked="0"/>
    </xf>
    <xf numFmtId="37" fontId="6" fillId="40" borderId="8" xfId="83" applyNumberFormat="1" applyFont="1" applyFill="1" applyAlignment="1" applyProtection="1">
      <alignment/>
      <protection/>
    </xf>
    <xf numFmtId="37" fontId="10" fillId="0" borderId="15" xfId="0" applyNumberFormat="1" applyFont="1" applyBorder="1" applyAlignment="1">
      <alignment/>
    </xf>
    <xf numFmtId="37" fontId="6" fillId="0" borderId="12" xfId="0" applyNumberFormat="1" applyFont="1" applyBorder="1" applyAlignment="1">
      <alignment/>
    </xf>
    <xf numFmtId="37" fontId="21" fillId="41" borderId="0" xfId="0" applyNumberFormat="1" applyFont="1" applyFill="1" applyAlignment="1">
      <alignment/>
    </xf>
    <xf numFmtId="37" fontId="22" fillId="42" borderId="0" xfId="0" applyNumberFormat="1" applyFont="1" applyFill="1" applyAlignment="1">
      <alignment horizontal="center"/>
    </xf>
    <xf numFmtId="37" fontId="23" fillId="42" borderId="0" xfId="0" applyNumberFormat="1" applyFont="1" applyFill="1" applyAlignment="1">
      <alignment horizontal="center"/>
    </xf>
    <xf numFmtId="37" fontId="23" fillId="42" borderId="0" xfId="0" applyNumberFormat="1" applyFont="1" applyFill="1" applyAlignment="1">
      <alignment/>
    </xf>
    <xf numFmtId="37" fontId="23" fillId="42" borderId="0" xfId="0" applyNumberFormat="1" applyFont="1" applyFill="1" applyAlignment="1" applyProtection="1">
      <alignment/>
      <protection hidden="1"/>
    </xf>
    <xf numFmtId="37" fontId="13" fillId="0" borderId="0" xfId="0" applyNumberFormat="1" applyFont="1" applyFill="1" applyBorder="1" applyAlignment="1" applyProtection="1">
      <alignment horizontal="center"/>
      <protection locked="0"/>
    </xf>
    <xf numFmtId="37" fontId="24" fillId="0" borderId="0" xfId="0" applyNumberFormat="1" applyFont="1" applyAlignment="1">
      <alignment/>
    </xf>
    <xf numFmtId="37" fontId="6" fillId="0" borderId="0" xfId="0" applyNumberFormat="1" applyFont="1" applyAlignment="1" applyProtection="1">
      <alignment/>
      <protection/>
    </xf>
    <xf numFmtId="37" fontId="6" fillId="0" borderId="8" xfId="0" applyNumberFormat="1" applyFont="1" applyBorder="1" applyAlignment="1" applyProtection="1">
      <alignment/>
      <protection/>
    </xf>
    <xf numFmtId="39" fontId="6" fillId="0" borderId="0" xfId="0" applyNumberFormat="1" applyFont="1" applyAlignment="1" applyProtection="1">
      <alignment/>
      <protection/>
    </xf>
    <xf numFmtId="39" fontId="6" fillId="0" borderId="8" xfId="0" applyNumberFormat="1" applyFont="1" applyBorder="1" applyAlignment="1" applyProtection="1">
      <alignment/>
      <protection/>
    </xf>
    <xf numFmtId="39" fontId="6" fillId="0" borderId="0" xfId="0" applyNumberFormat="1" applyFont="1" applyAlignment="1" applyProtection="1">
      <alignment/>
      <protection hidden="1" locked="0"/>
    </xf>
    <xf numFmtId="168" fontId="10" fillId="39" borderId="16" xfId="0" applyNumberFormat="1" applyFont="1" applyFill="1" applyBorder="1" applyAlignment="1" applyProtection="1">
      <alignment/>
      <protection/>
    </xf>
    <xf numFmtId="39" fontId="6" fillId="0" borderId="0" xfId="0" applyNumberFormat="1" applyFont="1" applyFill="1" applyBorder="1" applyAlignment="1" applyProtection="1">
      <alignment/>
      <protection locked="0"/>
    </xf>
    <xf numFmtId="37" fontId="24" fillId="0" borderId="0" xfId="0" applyNumberFormat="1" applyFont="1" applyFill="1" applyBorder="1" applyAlignment="1">
      <alignment/>
    </xf>
    <xf numFmtId="37" fontId="6" fillId="0" borderId="0" xfId="0" applyNumberFormat="1" applyFont="1" applyFill="1" applyBorder="1" applyAlignment="1">
      <alignment/>
    </xf>
    <xf numFmtId="37" fontId="6" fillId="0" borderId="0" xfId="0" applyNumberFormat="1" applyFont="1" applyFill="1" applyBorder="1" applyAlignment="1">
      <alignment horizontal="left"/>
    </xf>
    <xf numFmtId="37" fontId="13" fillId="0" borderId="0" xfId="0" applyNumberFormat="1" applyFont="1" applyFill="1" applyBorder="1" applyAlignment="1">
      <alignment/>
    </xf>
    <xf numFmtId="37" fontId="10" fillId="0" borderId="0" xfId="0" applyNumberFormat="1" applyFont="1" applyFill="1" applyBorder="1" applyAlignment="1">
      <alignment/>
    </xf>
    <xf numFmtId="37" fontId="11" fillId="0" borderId="0" xfId="0" applyNumberFormat="1" applyFont="1" applyFill="1" applyBorder="1" applyAlignment="1">
      <alignment/>
    </xf>
    <xf numFmtId="37" fontId="9" fillId="0" borderId="0" xfId="0" applyNumberFormat="1" applyFont="1" applyFill="1" applyBorder="1" applyAlignment="1">
      <alignment/>
    </xf>
    <xf numFmtId="37" fontId="10" fillId="0" borderId="0" xfId="0" applyNumberFormat="1" applyFont="1" applyFill="1" applyBorder="1" applyAlignment="1">
      <alignment horizontal="left"/>
    </xf>
    <xf numFmtId="37" fontId="6" fillId="0" borderId="0" xfId="0" applyNumberFormat="1" applyFont="1" applyFill="1" applyBorder="1" applyAlignment="1">
      <alignment horizontal="right"/>
    </xf>
    <xf numFmtId="37" fontId="10" fillId="0" borderId="0" xfId="0" applyNumberFormat="1" applyFont="1" applyFill="1" applyBorder="1" applyAlignment="1">
      <alignment horizontal="right"/>
    </xf>
    <xf numFmtId="37" fontId="6" fillId="0" borderId="0" xfId="0" applyNumberFormat="1" applyFont="1" applyFill="1" applyBorder="1" applyAlignment="1">
      <alignment horizontal="center"/>
    </xf>
    <xf numFmtId="37" fontId="11" fillId="0" borderId="0" xfId="0" applyNumberFormat="1" applyFont="1" applyFill="1" applyBorder="1" applyAlignment="1">
      <alignment horizontal="left"/>
    </xf>
    <xf numFmtId="37" fontId="8" fillId="0" borderId="0" xfId="0" applyNumberFormat="1" applyFont="1" applyFill="1" applyBorder="1" applyAlignment="1">
      <alignment/>
    </xf>
    <xf numFmtId="37" fontId="13" fillId="0" borderId="0" xfId="0" applyNumberFormat="1" applyFont="1" applyFill="1" applyBorder="1" applyAlignment="1" applyProtection="1">
      <alignment horizontal="left"/>
      <protection locked="0"/>
    </xf>
    <xf numFmtId="37" fontId="13" fillId="0" borderId="0" xfId="0" applyNumberFormat="1" applyFont="1" applyFill="1" applyBorder="1" applyAlignment="1">
      <alignment horizontal="left"/>
    </xf>
    <xf numFmtId="37" fontId="6" fillId="0" borderId="0" xfId="0" applyNumberFormat="1" applyFont="1" applyFill="1" applyBorder="1" applyAlignment="1" applyProtection="1">
      <alignment horizontal="right"/>
      <protection locked="0"/>
    </xf>
    <xf numFmtId="37" fontId="20" fillId="0" borderId="0" xfId="0" applyNumberFormat="1" applyFont="1" applyFill="1" applyBorder="1" applyAlignment="1">
      <alignment/>
    </xf>
    <xf numFmtId="37" fontId="10" fillId="0" borderId="0" xfId="0" applyNumberFormat="1" applyFont="1" applyFill="1" applyBorder="1" applyAlignment="1">
      <alignment horizontal="center"/>
    </xf>
    <xf numFmtId="37" fontId="11" fillId="0" borderId="0" xfId="0" applyNumberFormat="1" applyFont="1" applyFill="1" applyBorder="1" applyAlignment="1" applyProtection="1">
      <alignment horizontal="left"/>
      <protection locked="0"/>
    </xf>
    <xf numFmtId="37" fontId="6" fillId="0" borderId="0" xfId="0" applyNumberFormat="1" applyFont="1" applyFill="1" applyBorder="1" applyAlignment="1" applyProtection="1">
      <alignment horizontal="left"/>
      <protection locked="0"/>
    </xf>
    <xf numFmtId="37" fontId="6" fillId="0" borderId="0" xfId="0" applyNumberFormat="1" applyFont="1" applyFill="1" applyBorder="1" applyAlignment="1" quotePrefix="1">
      <alignment horizontal="right"/>
    </xf>
    <xf numFmtId="37" fontId="11" fillId="0" borderId="0" xfId="0" applyNumberFormat="1" applyFont="1" applyAlignment="1">
      <alignment horizontal="center"/>
    </xf>
    <xf numFmtId="37" fontId="6" fillId="0" borderId="0" xfId="0" applyNumberFormat="1" applyFont="1" applyBorder="1" applyAlignment="1" applyProtection="1">
      <alignment/>
      <protection locked="0"/>
    </xf>
    <xf numFmtId="37" fontId="6" fillId="0" borderId="17" xfId="0" applyNumberFormat="1" applyFont="1" applyBorder="1" applyAlignment="1">
      <alignment/>
    </xf>
    <xf numFmtId="37" fontId="6" fillId="0" borderId="8" xfId="0" applyNumberFormat="1" applyFont="1" applyBorder="1" applyAlignment="1" applyProtection="1">
      <alignment horizontal="left"/>
      <protection/>
    </xf>
    <xf numFmtId="37" fontId="6" fillId="0" borderId="0" xfId="0" applyNumberFormat="1" applyFont="1" applyBorder="1" applyAlignment="1" applyProtection="1">
      <alignment/>
      <protection/>
    </xf>
    <xf numFmtId="37" fontId="11" fillId="0" borderId="0" xfId="0" applyNumberFormat="1" applyFont="1" applyBorder="1" applyAlignment="1">
      <alignment/>
    </xf>
    <xf numFmtId="37" fontId="10" fillId="0" borderId="0" xfId="0" applyNumberFormat="1" applyFont="1" applyAlignment="1">
      <alignment horizontal="right"/>
    </xf>
    <xf numFmtId="37" fontId="10" fillId="0" borderId="18" xfId="0" applyNumberFormat="1" applyFont="1" applyBorder="1" applyAlignment="1">
      <alignment horizontal="center"/>
    </xf>
    <xf numFmtId="37" fontId="10" fillId="0" borderId="19" xfId="0" applyNumberFormat="1" applyFont="1" applyBorder="1" applyAlignment="1">
      <alignment horizontal="center"/>
    </xf>
    <xf numFmtId="9" fontId="6" fillId="0" borderId="0" xfId="0" applyNumberFormat="1" applyFont="1" applyAlignment="1">
      <alignment horizontal="right"/>
    </xf>
    <xf numFmtId="39" fontId="6" fillId="39" borderId="18" xfId="0" applyNumberFormat="1" applyFont="1" applyFill="1" applyBorder="1" applyAlignment="1" applyProtection="1">
      <alignment/>
      <protection/>
    </xf>
    <xf numFmtId="37" fontId="6" fillId="0" borderId="20" xfId="0" applyNumberFormat="1" applyFont="1" applyFill="1" applyBorder="1" applyAlignment="1">
      <alignment/>
    </xf>
    <xf numFmtId="37" fontId="6" fillId="0" borderId="21" xfId="0" applyNumberFormat="1" applyFont="1" applyFill="1" applyBorder="1" applyAlignment="1">
      <alignment/>
    </xf>
    <xf numFmtId="37" fontId="6" fillId="0" borderId="0" xfId="0" applyNumberFormat="1" applyFont="1" applyBorder="1" applyAlignment="1">
      <alignment horizontal="right"/>
    </xf>
    <xf numFmtId="37" fontId="6" fillId="0" borderId="22" xfId="0" applyNumberFormat="1" applyFont="1" applyBorder="1" applyAlignment="1">
      <alignment horizontal="center"/>
    </xf>
    <xf numFmtId="37" fontId="6" fillId="0" borderId="23" xfId="0" applyNumberFormat="1" applyFont="1" applyBorder="1" applyAlignment="1">
      <alignment horizontal="center"/>
    </xf>
    <xf numFmtId="37" fontId="6" fillId="0" borderId="10" xfId="0" applyNumberFormat="1" applyFont="1" applyBorder="1" applyAlignment="1">
      <alignment horizontal="center"/>
    </xf>
    <xf numFmtId="37" fontId="6" fillId="29" borderId="0" xfId="0" applyNumberFormat="1" applyFont="1" applyFill="1" applyAlignment="1">
      <alignment horizontal="left"/>
    </xf>
    <xf numFmtId="37" fontId="6" fillId="43" borderId="0" xfId="0" applyNumberFormat="1" applyFont="1" applyFill="1" applyAlignment="1" applyProtection="1">
      <alignment horizontal="center"/>
      <protection locked="0"/>
    </xf>
    <xf numFmtId="37" fontId="6" fillId="0" borderId="18" xfId="0" applyNumberFormat="1" applyFont="1" applyBorder="1" applyAlignment="1">
      <alignment/>
    </xf>
    <xf numFmtId="37" fontId="6" fillId="29" borderId="0" xfId="0" applyNumberFormat="1" applyFont="1" applyFill="1" applyBorder="1" applyAlignment="1">
      <alignment/>
    </xf>
    <xf numFmtId="37" fontId="6" fillId="29" borderId="18" xfId="0" applyNumberFormat="1" applyFont="1" applyFill="1" applyBorder="1" applyAlignment="1">
      <alignment/>
    </xf>
    <xf numFmtId="0" fontId="6" fillId="0" borderId="0" xfId="0" applyFont="1" applyFill="1" applyAlignment="1">
      <alignment/>
    </xf>
    <xf numFmtId="37" fontId="6" fillId="29" borderId="19" xfId="0" applyNumberFormat="1" applyFont="1" applyFill="1" applyBorder="1" applyAlignment="1">
      <alignment/>
    </xf>
    <xf numFmtId="186" fontId="6" fillId="43" borderId="0" xfId="0" applyNumberFormat="1" applyFont="1" applyFill="1" applyBorder="1" applyAlignment="1" applyProtection="1">
      <alignment/>
      <protection locked="0"/>
    </xf>
    <xf numFmtId="37" fontId="6" fillId="43" borderId="0" xfId="0" applyNumberFormat="1" applyFont="1" applyFill="1" applyBorder="1" applyAlignment="1" applyProtection="1">
      <alignment/>
      <protection locked="0"/>
    </xf>
    <xf numFmtId="0" fontId="6" fillId="0" borderId="0" xfId="0" applyFont="1" applyFill="1" applyAlignment="1" applyProtection="1">
      <alignment/>
      <protection locked="0"/>
    </xf>
    <xf numFmtId="0" fontId="6" fillId="0" borderId="0" xfId="0" applyFont="1" applyAlignment="1">
      <alignment/>
    </xf>
    <xf numFmtId="3" fontId="6" fillId="0" borderId="0" xfId="0" applyNumberFormat="1" applyFont="1" applyFill="1" applyAlignment="1" applyProtection="1">
      <alignment/>
      <protection locked="0"/>
    </xf>
    <xf numFmtId="37" fontId="6" fillId="29" borderId="0" xfId="0" applyNumberFormat="1" applyFont="1" applyFill="1" applyBorder="1" applyAlignment="1" applyProtection="1">
      <alignment/>
      <protection locked="0"/>
    </xf>
    <xf numFmtId="37" fontId="11" fillId="29" borderId="0" xfId="0" applyNumberFormat="1" applyFont="1" applyFill="1" applyAlignment="1">
      <alignment horizontal="left"/>
    </xf>
    <xf numFmtId="39" fontId="6" fillId="39" borderId="0" xfId="0" applyNumberFormat="1" applyFont="1" applyFill="1" applyBorder="1" applyAlignment="1" applyProtection="1">
      <alignment/>
      <protection/>
    </xf>
    <xf numFmtId="3" fontId="32" fillId="0" borderId="0" xfId="0" applyNumberFormat="1" applyFont="1" applyAlignment="1">
      <alignment horizontal="right"/>
    </xf>
    <xf numFmtId="0" fontId="30" fillId="44" borderId="18" xfId="0" applyFont="1" applyFill="1" applyBorder="1" applyAlignment="1">
      <alignment vertical="top"/>
    </xf>
    <xf numFmtId="3" fontId="30" fillId="0" borderId="0" xfId="0" applyNumberFormat="1" applyFont="1" applyAlignment="1">
      <alignment vertical="top"/>
    </xf>
    <xf numFmtId="0" fontId="32" fillId="0" borderId="0" xfId="0" applyFont="1" applyAlignment="1">
      <alignment vertical="top"/>
    </xf>
    <xf numFmtId="3" fontId="32" fillId="45" borderId="24" xfId="0" applyNumberFormat="1" applyFont="1" applyFill="1" applyBorder="1" applyAlignment="1">
      <alignment vertical="top"/>
    </xf>
    <xf numFmtId="3" fontId="30" fillId="45" borderId="19" xfId="0" applyNumberFormat="1" applyFont="1" applyFill="1" applyBorder="1" applyAlignment="1">
      <alignment vertical="top"/>
    </xf>
    <xf numFmtId="3" fontId="30" fillId="45" borderId="25" xfId="0" applyNumberFormat="1" applyFont="1" applyFill="1" applyBorder="1" applyAlignment="1">
      <alignment vertical="top"/>
    </xf>
    <xf numFmtId="0" fontId="30" fillId="44" borderId="18" xfId="0" applyFont="1" applyFill="1" applyBorder="1" applyAlignment="1">
      <alignment horizontal="right"/>
    </xf>
    <xf numFmtId="3" fontId="30" fillId="44" borderId="18" xfId="0" applyNumberFormat="1" applyFont="1" applyFill="1" applyBorder="1" applyAlignment="1">
      <alignment vertical="top"/>
    </xf>
    <xf numFmtId="3" fontId="30" fillId="0" borderId="0" xfId="0" applyNumberFormat="1" applyFont="1" applyBorder="1" applyAlignment="1">
      <alignment vertical="top"/>
    </xf>
    <xf numFmtId="3" fontId="32" fillId="0" borderId="0" xfId="0" applyNumberFormat="1" applyFont="1" applyAlignment="1">
      <alignment vertical="top"/>
    </xf>
    <xf numFmtId="3" fontId="32" fillId="0" borderId="0" xfId="0" applyNumberFormat="1" applyFont="1" applyFill="1" applyAlignment="1">
      <alignment horizontal="left"/>
    </xf>
    <xf numFmtId="0" fontId="30" fillId="44" borderId="19" xfId="0" applyFont="1" applyFill="1" applyBorder="1" applyAlignment="1">
      <alignment vertical="top"/>
    </xf>
    <xf numFmtId="49" fontId="33" fillId="44" borderId="0" xfId="0" applyNumberFormat="1" applyFont="1" applyFill="1" applyBorder="1" applyAlignment="1" applyProtection="1">
      <alignment horizontal="right" vertical="top"/>
      <protection locked="0"/>
    </xf>
    <xf numFmtId="0" fontId="30" fillId="0" borderId="0" xfId="0" applyFont="1" applyFill="1" applyAlignment="1">
      <alignment vertical="top"/>
    </xf>
    <xf numFmtId="0" fontId="30" fillId="0" borderId="0" xfId="0" applyFont="1" applyAlignment="1">
      <alignment vertical="top"/>
    </xf>
    <xf numFmtId="3" fontId="0" fillId="0" borderId="0" xfId="0" applyNumberFormat="1" applyFont="1" applyAlignment="1">
      <alignment vertical="top"/>
    </xf>
    <xf numFmtId="3" fontId="30" fillId="45" borderId="26" xfId="0" applyNumberFormat="1" applyFont="1" applyFill="1" applyBorder="1" applyAlignment="1">
      <alignment horizontal="center"/>
    </xf>
    <xf numFmtId="3" fontId="30" fillId="45" borderId="27" xfId="0" applyNumberFormat="1" applyFont="1" applyFill="1" applyBorder="1" applyAlignment="1">
      <alignment horizontal="center"/>
    </xf>
    <xf numFmtId="9" fontId="7" fillId="45" borderId="28" xfId="0" applyNumberFormat="1" applyFont="1" applyFill="1" applyBorder="1" applyAlignment="1">
      <alignment horizontal="center"/>
    </xf>
    <xf numFmtId="0" fontId="32" fillId="0" borderId="29" xfId="0" applyFont="1" applyBorder="1" applyAlignment="1">
      <alignment vertical="top"/>
    </xf>
    <xf numFmtId="0" fontId="32" fillId="0" borderId="18" xfId="0" applyFont="1" applyBorder="1" applyAlignment="1">
      <alignment vertical="top"/>
    </xf>
    <xf numFmtId="3" fontId="30" fillId="0" borderId="0" xfId="0" applyNumberFormat="1" applyFont="1" applyAlignment="1">
      <alignment/>
    </xf>
    <xf numFmtId="3" fontId="0" fillId="0" borderId="0" xfId="0" applyNumberFormat="1" applyFont="1" applyAlignment="1">
      <alignment horizontal="center"/>
    </xf>
    <xf numFmtId="3" fontId="34" fillId="0" borderId="0" xfId="0" applyNumberFormat="1" applyFont="1" applyAlignment="1">
      <alignment horizontal="center"/>
    </xf>
    <xf numFmtId="3" fontId="30" fillId="45" borderId="30" xfId="0" applyNumberFormat="1" applyFont="1" applyFill="1" applyBorder="1" applyAlignment="1">
      <alignment horizontal="center"/>
    </xf>
    <xf numFmtId="0" fontId="30" fillId="45" borderId="31" xfId="0" applyFont="1" applyFill="1" applyBorder="1" applyAlignment="1">
      <alignment horizontal="center"/>
    </xf>
    <xf numFmtId="3" fontId="30" fillId="45" borderId="0" xfId="0" applyNumberFormat="1" applyFont="1" applyFill="1" applyBorder="1" applyAlignment="1">
      <alignment horizontal="center"/>
    </xf>
    <xf numFmtId="3" fontId="30" fillId="45" borderId="31" xfId="0" applyNumberFormat="1" applyFont="1" applyFill="1" applyBorder="1" applyAlignment="1">
      <alignment horizontal="center"/>
    </xf>
    <xf numFmtId="0" fontId="30" fillId="45" borderId="0" xfId="0" applyFont="1" applyFill="1" applyBorder="1" applyAlignment="1">
      <alignment horizontal="center"/>
    </xf>
    <xf numFmtId="3" fontId="32" fillId="44" borderId="30" xfId="0" applyNumberFormat="1" applyFont="1" applyFill="1" applyBorder="1" applyAlignment="1">
      <alignment horizontal="center"/>
    </xf>
    <xf numFmtId="3" fontId="30" fillId="0" borderId="0" xfId="0" applyNumberFormat="1" applyFont="1" applyAlignment="1">
      <alignment horizontal="center"/>
    </xf>
    <xf numFmtId="3" fontId="7" fillId="45" borderId="29" xfId="0" applyNumberFormat="1" applyFont="1" applyFill="1" applyBorder="1" applyAlignment="1">
      <alignment horizontal="center"/>
    </xf>
    <xf numFmtId="3" fontId="7" fillId="45" borderId="31" xfId="0" applyNumberFormat="1" applyFont="1" applyFill="1" applyBorder="1" applyAlignment="1">
      <alignment horizontal="center"/>
    </xf>
    <xf numFmtId="3" fontId="35" fillId="45" borderId="32" xfId="0" applyNumberFormat="1" applyFont="1" applyFill="1" applyBorder="1" applyAlignment="1">
      <alignment horizontal="center"/>
    </xf>
    <xf numFmtId="0" fontId="30" fillId="45" borderId="32" xfId="0" applyFont="1" applyFill="1" applyBorder="1" applyAlignment="1">
      <alignment horizontal="center"/>
    </xf>
    <xf numFmtId="3" fontId="30" fillId="45" borderId="18" xfId="0" applyNumberFormat="1" applyFont="1" applyFill="1" applyBorder="1" applyAlignment="1">
      <alignment horizontal="center"/>
    </xf>
    <xf numFmtId="3" fontId="30" fillId="45" borderId="32" xfId="0" applyNumberFormat="1" applyFont="1" applyFill="1" applyBorder="1" applyAlignment="1">
      <alignment horizontal="center"/>
    </xf>
    <xf numFmtId="3" fontId="36" fillId="44" borderId="30" xfId="0" applyNumberFormat="1" applyFont="1" applyFill="1" applyBorder="1" applyAlignment="1">
      <alignment horizontal="center"/>
    </xf>
    <xf numFmtId="3" fontId="7" fillId="44" borderId="0" xfId="0" applyNumberFormat="1" applyFont="1" applyFill="1" applyBorder="1" applyAlignment="1">
      <alignment horizontal="center"/>
    </xf>
    <xf numFmtId="3" fontId="0" fillId="0" borderId="0" xfId="0" applyNumberFormat="1" applyAlignment="1">
      <alignment horizontal="center"/>
    </xf>
    <xf numFmtId="37" fontId="36" fillId="0" borderId="30" xfId="0" applyNumberFormat="1" applyFont="1" applyBorder="1" applyAlignment="1">
      <alignment vertical="top"/>
    </xf>
    <xf numFmtId="37" fontId="7" fillId="0" borderId="0" xfId="0" applyNumberFormat="1" applyFont="1" applyBorder="1" applyAlignment="1">
      <alignment vertical="top"/>
    </xf>
    <xf numFmtId="3" fontId="0" fillId="0" borderId="0" xfId="0" applyNumberFormat="1" applyAlignment="1">
      <alignment vertical="top"/>
    </xf>
    <xf numFmtId="3" fontId="32" fillId="44" borderId="0" xfId="0" applyNumberFormat="1" applyFont="1" applyFill="1" applyBorder="1" applyAlignment="1">
      <alignment horizontal="centerContinuous" vertical="top"/>
    </xf>
    <xf numFmtId="3" fontId="30" fillId="44" borderId="0" xfId="0" applyNumberFormat="1" applyFont="1" applyFill="1" applyBorder="1" applyAlignment="1">
      <alignment horizontal="centerContinuous" vertical="top"/>
    </xf>
    <xf numFmtId="3" fontId="30" fillId="44" borderId="0" xfId="0" applyNumberFormat="1" applyFont="1" applyFill="1" applyBorder="1" applyAlignment="1">
      <alignment vertical="top"/>
    </xf>
    <xf numFmtId="192" fontId="30" fillId="44" borderId="0" xfId="0" applyNumberFormat="1" applyFont="1" applyFill="1" applyAlignment="1">
      <alignment vertical="top"/>
    </xf>
    <xf numFmtId="3" fontId="37" fillId="0" borderId="0" xfId="0" applyNumberFormat="1" applyFont="1" applyAlignment="1">
      <alignment horizontal="center"/>
    </xf>
    <xf numFmtId="10" fontId="30" fillId="44" borderId="0" xfId="0" applyNumberFormat="1" applyFont="1" applyFill="1" applyAlignment="1">
      <alignment vertical="top"/>
    </xf>
    <xf numFmtId="3" fontId="32" fillId="45" borderId="24" xfId="0" applyNumberFormat="1" applyFont="1" applyFill="1" applyBorder="1" applyAlignment="1">
      <alignment horizontal="left"/>
    </xf>
    <xf numFmtId="3" fontId="30" fillId="45" borderId="25" xfId="0" applyNumberFormat="1" applyFont="1" applyFill="1" applyBorder="1" applyAlignment="1">
      <alignment horizontal="center"/>
    </xf>
    <xf numFmtId="3" fontId="33" fillId="0" borderId="0" xfId="0" applyNumberFormat="1" applyFont="1" applyAlignment="1">
      <alignment horizontal="center"/>
    </xf>
    <xf numFmtId="3" fontId="30" fillId="44" borderId="0" xfId="0" applyNumberFormat="1" applyFont="1" applyFill="1" applyAlignment="1">
      <alignment vertical="top"/>
    </xf>
    <xf numFmtId="3" fontId="38" fillId="0" borderId="0" xfId="0" applyNumberFormat="1" applyFont="1" applyAlignment="1">
      <alignment vertical="top"/>
    </xf>
    <xf numFmtId="192" fontId="30" fillId="0" borderId="0" xfId="0" applyNumberFormat="1" applyFont="1" applyAlignment="1">
      <alignment vertical="top"/>
    </xf>
    <xf numFmtId="3" fontId="30" fillId="0" borderId="33" xfId="0" applyNumberFormat="1" applyFont="1" applyBorder="1" applyAlignment="1">
      <alignment vertical="top"/>
    </xf>
    <xf numFmtId="3" fontId="32" fillId="0" borderId="0" xfId="0" applyNumberFormat="1" applyFont="1" applyAlignment="1">
      <alignment horizontal="centerContinuous" vertical="top"/>
    </xf>
    <xf numFmtId="193" fontId="30" fillId="44" borderId="0" xfId="0" applyNumberFormat="1" applyFont="1" applyFill="1" applyAlignment="1">
      <alignment horizontal="centerContinuous" vertical="top"/>
    </xf>
    <xf numFmtId="192" fontId="33" fillId="0" borderId="0" xfId="0" applyNumberFormat="1" applyFont="1" applyAlignment="1">
      <alignment vertical="top"/>
    </xf>
    <xf numFmtId="3" fontId="30" fillId="0" borderId="0" xfId="0" applyNumberFormat="1" applyFont="1" applyAlignment="1">
      <alignment horizontal="left"/>
    </xf>
    <xf numFmtId="3" fontId="30" fillId="0" borderId="0" xfId="0" applyNumberFormat="1" applyFont="1" applyAlignment="1">
      <alignment horizontal="right" vertical="top"/>
    </xf>
    <xf numFmtId="3" fontId="32" fillId="0" borderId="0" xfId="0" applyNumberFormat="1" applyFont="1" applyAlignment="1">
      <alignment horizontal="center"/>
    </xf>
    <xf numFmtId="3" fontId="38" fillId="0" borderId="0" xfId="0" applyNumberFormat="1" applyFont="1" applyAlignment="1">
      <alignment horizontal="center"/>
    </xf>
    <xf numFmtId="5" fontId="30" fillId="0" borderId="0" xfId="0" applyNumberFormat="1" applyFont="1" applyFill="1" applyAlignment="1" applyProtection="1">
      <alignment horizontal="right"/>
      <protection/>
    </xf>
    <xf numFmtId="3" fontId="37" fillId="0" borderId="0" xfId="0" applyNumberFormat="1" applyFont="1" applyAlignment="1">
      <alignment vertical="top"/>
    </xf>
    <xf numFmtId="10" fontId="37" fillId="0" borderId="0" xfId="0" applyNumberFormat="1" applyFont="1" applyAlignment="1">
      <alignment vertical="top"/>
    </xf>
    <xf numFmtId="0" fontId="5" fillId="0" borderId="32" xfId="0" applyFont="1" applyBorder="1" applyAlignment="1">
      <alignment vertical="top"/>
    </xf>
    <xf numFmtId="3" fontId="5" fillId="0" borderId="30" xfId="0" applyNumberFormat="1" applyFont="1" applyBorder="1" applyAlignment="1">
      <alignment vertical="top"/>
    </xf>
    <xf numFmtId="37" fontId="5" fillId="0" borderId="0" xfId="0" applyNumberFormat="1" applyFont="1" applyBorder="1" applyAlignment="1">
      <alignment vertical="top"/>
    </xf>
    <xf numFmtId="3" fontId="0" fillId="0" borderId="0" xfId="0" applyNumberFormat="1" applyBorder="1" applyAlignment="1">
      <alignment/>
    </xf>
    <xf numFmtId="0" fontId="0" fillId="0" borderId="0" xfId="0" applyFont="1" applyAlignment="1">
      <alignment vertical="top"/>
    </xf>
    <xf numFmtId="9" fontId="0" fillId="0" borderId="0" xfId="0" applyNumberFormat="1" applyFont="1" applyAlignment="1">
      <alignment vertical="top"/>
    </xf>
    <xf numFmtId="3" fontId="5" fillId="0" borderId="0" xfId="0" applyNumberFormat="1" applyFont="1" applyAlignment="1">
      <alignment vertical="top"/>
    </xf>
    <xf numFmtId="193" fontId="0" fillId="0" borderId="0" xfId="0" applyNumberFormat="1" applyFont="1" applyFill="1" applyAlignment="1">
      <alignment vertical="top"/>
    </xf>
    <xf numFmtId="0" fontId="34" fillId="0" borderId="0" xfId="0" applyFont="1" applyAlignment="1">
      <alignment horizontal="center"/>
    </xf>
    <xf numFmtId="194" fontId="30" fillId="0" borderId="0" xfId="0" applyNumberFormat="1" applyFont="1" applyAlignment="1" applyProtection="1">
      <alignment horizontal="left"/>
      <protection/>
    </xf>
    <xf numFmtId="37" fontId="30" fillId="0" borderId="0" xfId="0" applyNumberFormat="1" applyFont="1" applyAlignment="1" applyProtection="1">
      <alignment vertical="top"/>
      <protection/>
    </xf>
    <xf numFmtId="3" fontId="33" fillId="0" borderId="0" xfId="0" applyNumberFormat="1" applyFont="1" applyAlignment="1" applyProtection="1">
      <alignment vertical="top"/>
      <protection/>
    </xf>
    <xf numFmtId="37" fontId="33" fillId="0" borderId="0" xfId="0" applyNumberFormat="1" applyFont="1" applyAlignment="1" applyProtection="1">
      <alignment horizontal="right"/>
      <protection/>
    </xf>
    <xf numFmtId="37" fontId="33" fillId="0" borderId="0" xfId="0" applyNumberFormat="1" applyFont="1" applyAlignment="1" applyProtection="1">
      <alignment vertical="top"/>
      <protection/>
    </xf>
    <xf numFmtId="194" fontId="32" fillId="0" borderId="0" xfId="0" applyNumberFormat="1" applyFont="1" applyAlignment="1" applyProtection="1">
      <alignment horizontal="left"/>
      <protection/>
    </xf>
    <xf numFmtId="194" fontId="38" fillId="0" borderId="0" xfId="0" applyNumberFormat="1" applyFont="1" applyAlignment="1" applyProtection="1">
      <alignment horizontal="left"/>
      <protection/>
    </xf>
    <xf numFmtId="9" fontId="30" fillId="0" borderId="0" xfId="0" applyNumberFormat="1" applyFont="1" applyAlignment="1" applyProtection="1">
      <alignment vertical="top"/>
      <protection/>
    </xf>
    <xf numFmtId="5" fontId="30" fillId="0" borderId="0" xfId="0" applyNumberFormat="1" applyFont="1" applyAlignment="1" applyProtection="1">
      <alignment horizontal="right"/>
      <protection/>
    </xf>
    <xf numFmtId="194" fontId="30" fillId="46" borderId="0" xfId="0" applyNumberFormat="1" applyFont="1" applyFill="1" applyAlignment="1" applyProtection="1">
      <alignment horizontal="left"/>
      <protection/>
    </xf>
    <xf numFmtId="194" fontId="30" fillId="0" borderId="0" xfId="0" applyNumberFormat="1" applyFont="1" applyBorder="1" applyAlignment="1" applyProtection="1">
      <alignment horizontal="left"/>
      <protection/>
    </xf>
    <xf numFmtId="194" fontId="30" fillId="0" borderId="0" xfId="0" applyNumberFormat="1" applyFont="1" applyAlignment="1" applyProtection="1">
      <alignment horizontal="right"/>
      <protection/>
    </xf>
    <xf numFmtId="37" fontId="32" fillId="0" borderId="0" xfId="0" applyNumberFormat="1" applyFont="1" applyAlignment="1" applyProtection="1">
      <alignment vertical="top"/>
      <protection/>
    </xf>
    <xf numFmtId="2" fontId="30" fillId="0" borderId="0" xfId="0" applyNumberFormat="1" applyFont="1" applyAlignment="1" applyProtection="1" quotePrefix="1">
      <alignment vertical="top"/>
      <protection/>
    </xf>
    <xf numFmtId="37" fontId="30" fillId="0" borderId="0" xfId="0" applyNumberFormat="1" applyFont="1" applyAlignment="1">
      <alignment vertical="top"/>
    </xf>
    <xf numFmtId="194" fontId="30" fillId="0" borderId="0" xfId="0" applyNumberFormat="1" applyFont="1" applyAlignment="1" applyProtection="1">
      <alignment vertical="top"/>
      <protection/>
    </xf>
    <xf numFmtId="194" fontId="33" fillId="0" borderId="0" xfId="0" applyNumberFormat="1" applyFont="1" applyAlignment="1" applyProtection="1">
      <alignment horizontal="left"/>
      <protection/>
    </xf>
    <xf numFmtId="3" fontId="32" fillId="44" borderId="0" xfId="0" applyNumberFormat="1" applyFont="1" applyFill="1" applyBorder="1" applyAlignment="1">
      <alignment horizontal="left"/>
    </xf>
    <xf numFmtId="37" fontId="6" fillId="43" borderId="34" xfId="0" applyNumberFormat="1" applyFont="1" applyFill="1" applyBorder="1" applyAlignment="1" applyProtection="1">
      <alignment horizontal="centerContinuous"/>
      <protection/>
    </xf>
    <xf numFmtId="37" fontId="6" fillId="43" borderId="35" xfId="0" applyNumberFormat="1" applyFont="1" applyFill="1" applyBorder="1" applyAlignment="1" applyProtection="1">
      <alignment horizontal="centerContinuous"/>
      <protection locked="0"/>
    </xf>
    <xf numFmtId="37" fontId="6" fillId="0" borderId="0" xfId="0" applyNumberFormat="1" applyFont="1" applyAlignment="1" applyProtection="1">
      <alignment horizontal="centerContinuous"/>
      <protection locked="0"/>
    </xf>
    <xf numFmtId="37" fontId="10" fillId="0" borderId="0" xfId="0" applyNumberFormat="1" applyFont="1" applyBorder="1" applyAlignment="1">
      <alignment horizontal="centerContinuous"/>
    </xf>
    <xf numFmtId="39" fontId="6" fillId="0" borderId="8" xfId="0" applyNumberFormat="1" applyFont="1" applyBorder="1" applyAlignment="1">
      <alignment/>
    </xf>
    <xf numFmtId="37" fontId="6" fillId="0" borderId="36" xfId="0" applyNumberFormat="1" applyFont="1" applyBorder="1" applyAlignment="1">
      <alignment/>
    </xf>
    <xf numFmtId="37" fontId="30" fillId="44" borderId="24" xfId="0" applyNumberFormat="1" applyFont="1" applyFill="1" applyBorder="1" applyAlignment="1" applyProtection="1">
      <alignment vertical="top"/>
      <protection/>
    </xf>
    <xf numFmtId="182" fontId="30" fillId="44" borderId="24" xfId="0" applyNumberFormat="1" applyFont="1" applyFill="1" applyBorder="1" applyAlignment="1" applyProtection="1">
      <alignment vertical="top"/>
      <protection/>
    </xf>
    <xf numFmtId="1" fontId="30" fillId="44" borderId="18" xfId="0" applyNumberFormat="1" applyFont="1" applyFill="1" applyBorder="1" applyAlignment="1" applyProtection="1">
      <alignment vertical="top"/>
      <protection/>
    </xf>
    <xf numFmtId="192" fontId="33" fillId="44" borderId="0" xfId="0" applyNumberFormat="1" applyFont="1" applyFill="1" applyBorder="1" applyAlignment="1" applyProtection="1">
      <alignment horizontal="center" vertical="top"/>
      <protection/>
    </xf>
    <xf numFmtId="37" fontId="30" fillId="44" borderId="29" xfId="0" applyNumberFormat="1" applyFont="1" applyFill="1" applyBorder="1" applyAlignment="1" applyProtection="1">
      <alignment vertical="top"/>
      <protection/>
    </xf>
    <xf numFmtId="37" fontId="30" fillId="44" borderId="19" xfId="0" applyNumberFormat="1" applyFont="1" applyFill="1" applyBorder="1" applyAlignment="1" applyProtection="1">
      <alignment vertical="top"/>
      <protection/>
    </xf>
    <xf numFmtId="3" fontId="30" fillId="0" borderId="19" xfId="0" applyNumberFormat="1" applyFont="1" applyBorder="1" applyAlignment="1" applyProtection="1">
      <alignment vertical="top"/>
      <protection/>
    </xf>
    <xf numFmtId="3" fontId="30" fillId="0" borderId="0" xfId="0" applyNumberFormat="1" applyFont="1" applyAlignment="1" applyProtection="1">
      <alignment vertical="top"/>
      <protection/>
    </xf>
    <xf numFmtId="169" fontId="33" fillId="44" borderId="0" xfId="0" applyNumberFormat="1" applyFont="1" applyFill="1" applyBorder="1" applyAlignment="1" applyProtection="1">
      <alignment vertical="top"/>
      <protection/>
    </xf>
    <xf numFmtId="39" fontId="30" fillId="44" borderId="24" xfId="0" applyNumberFormat="1" applyFont="1" applyFill="1" applyBorder="1" applyAlignment="1" applyProtection="1">
      <alignment vertical="top"/>
      <protection/>
    </xf>
    <xf numFmtId="3" fontId="30" fillId="0" borderId="0" xfId="0" applyNumberFormat="1" applyFont="1" applyFill="1" applyBorder="1" applyAlignment="1" applyProtection="1">
      <alignment vertical="top"/>
      <protection/>
    </xf>
    <xf numFmtId="10" fontId="30" fillId="0" borderId="33" xfId="0" applyNumberFormat="1" applyFont="1" applyBorder="1" applyAlignment="1" applyProtection="1">
      <alignment vertical="top"/>
      <protection/>
    </xf>
    <xf numFmtId="0" fontId="5" fillId="0" borderId="29" xfId="0" applyFont="1" applyBorder="1" applyAlignment="1" applyProtection="1">
      <alignment horizontal="right"/>
      <protection/>
    </xf>
    <xf numFmtId="0" fontId="32" fillId="0" borderId="32" xfId="0" applyFont="1" applyBorder="1" applyAlignment="1" applyProtection="1">
      <alignment vertical="top"/>
      <protection/>
    </xf>
    <xf numFmtId="3" fontId="5" fillId="0" borderId="18" xfId="0" applyNumberFormat="1" applyFont="1" applyBorder="1" applyAlignment="1" applyProtection="1">
      <alignment vertical="top"/>
      <protection/>
    </xf>
    <xf numFmtId="3" fontId="5" fillId="0" borderId="32" xfId="0" applyNumberFormat="1" applyFont="1" applyBorder="1" applyAlignment="1" applyProtection="1">
      <alignment vertical="top"/>
      <protection/>
    </xf>
    <xf numFmtId="0" fontId="5" fillId="0" borderId="32" xfId="0" applyFont="1" applyBorder="1" applyAlignment="1" applyProtection="1">
      <alignment vertical="top"/>
      <protection/>
    </xf>
    <xf numFmtId="3" fontId="32" fillId="0" borderId="37" xfId="0" applyNumberFormat="1" applyFont="1" applyBorder="1" applyAlignment="1" applyProtection="1">
      <alignment vertical="top"/>
      <protection/>
    </xf>
    <xf numFmtId="0" fontId="38" fillId="0" borderId="0" xfId="0" applyFont="1" applyAlignment="1" applyProtection="1">
      <alignment vertical="top"/>
      <protection/>
    </xf>
    <xf numFmtId="0" fontId="30" fillId="0" borderId="0" xfId="0" applyFont="1" applyAlignment="1" applyProtection="1">
      <alignment vertical="top"/>
      <protection/>
    </xf>
    <xf numFmtId="0" fontId="38" fillId="0" borderId="0" xfId="0" applyFont="1" applyAlignment="1" applyProtection="1">
      <alignment horizontal="center"/>
      <protection/>
    </xf>
    <xf numFmtId="0" fontId="0" fillId="0" borderId="0" xfId="0" applyFont="1" applyAlignment="1" applyProtection="1">
      <alignment vertical="top"/>
      <protection/>
    </xf>
    <xf numFmtId="3" fontId="30" fillId="0" borderId="0" xfId="0" applyNumberFormat="1" applyFont="1" applyAlignment="1" applyProtection="1">
      <alignment/>
      <protection/>
    </xf>
    <xf numFmtId="192" fontId="33" fillId="44" borderId="0" xfId="0" applyNumberFormat="1" applyFont="1" applyFill="1" applyBorder="1" applyAlignment="1" applyProtection="1">
      <alignment vertical="top"/>
      <protection/>
    </xf>
    <xf numFmtId="3" fontId="30" fillId="44" borderId="18" xfId="0" applyNumberFormat="1" applyFont="1" applyFill="1" applyBorder="1" applyAlignment="1" applyProtection="1">
      <alignment vertical="top"/>
      <protection/>
    </xf>
    <xf numFmtId="2" fontId="30" fillId="0" borderId="0" xfId="76" applyNumberFormat="1" applyFont="1" applyAlignment="1" applyProtection="1">
      <alignment/>
      <protection/>
    </xf>
    <xf numFmtId="3" fontId="30" fillId="0" borderId="0" xfId="0" applyNumberFormat="1" applyFont="1" applyAlignment="1" applyProtection="1">
      <alignment horizontal="left"/>
      <protection/>
    </xf>
    <xf numFmtId="3" fontId="30" fillId="0" borderId="0" xfId="0" applyNumberFormat="1" applyFont="1" applyAlignment="1" applyProtection="1">
      <alignment horizontal="right"/>
      <protection/>
    </xf>
    <xf numFmtId="194" fontId="30" fillId="44" borderId="0" xfId="0" applyNumberFormat="1" applyFont="1" applyFill="1" applyAlignment="1" applyProtection="1">
      <alignment horizontal="left"/>
      <protection/>
    </xf>
    <xf numFmtId="1" fontId="30" fillId="44" borderId="0" xfId="0" applyNumberFormat="1" applyFont="1" applyFill="1" applyBorder="1" applyAlignment="1" applyProtection="1">
      <alignment horizontal="left" vertical="top"/>
      <protection/>
    </xf>
    <xf numFmtId="3" fontId="33" fillId="0" borderId="0" xfId="0" applyNumberFormat="1" applyFont="1" applyBorder="1" applyAlignment="1" applyProtection="1">
      <alignment horizontal="center"/>
      <protection/>
    </xf>
    <xf numFmtId="37" fontId="30" fillId="44" borderId="0" xfId="0" applyNumberFormat="1" applyFont="1" applyFill="1" applyBorder="1" applyAlignment="1" applyProtection="1">
      <alignment vertical="top"/>
      <protection/>
    </xf>
    <xf numFmtId="2" fontId="30" fillId="0" borderId="0" xfId="0" applyNumberFormat="1" applyFont="1" applyBorder="1" applyAlignment="1" applyProtection="1">
      <alignment/>
      <protection/>
    </xf>
    <xf numFmtId="5" fontId="30" fillId="44" borderId="0" xfId="0" applyNumberFormat="1" applyFont="1" applyFill="1" applyBorder="1" applyAlignment="1" applyProtection="1">
      <alignment vertical="top"/>
      <protection/>
    </xf>
    <xf numFmtId="2" fontId="30" fillId="44" borderId="0" xfId="0" applyNumberFormat="1" applyFont="1" applyFill="1" applyBorder="1" applyAlignment="1" applyProtection="1">
      <alignment vertical="top"/>
      <protection/>
    </xf>
    <xf numFmtId="39" fontId="30" fillId="0" borderId="0" xfId="0" applyNumberFormat="1" applyFont="1" applyAlignment="1" applyProtection="1">
      <alignment vertical="top"/>
      <protection/>
    </xf>
    <xf numFmtId="37" fontId="10" fillId="0" borderId="33" xfId="0" applyNumberFormat="1" applyFont="1" applyBorder="1" applyAlignment="1">
      <alignment/>
    </xf>
    <xf numFmtId="3" fontId="5" fillId="47" borderId="18" xfId="0" applyNumberFormat="1" applyFont="1" applyFill="1" applyBorder="1" applyAlignment="1" applyProtection="1">
      <alignment vertical="top"/>
      <protection/>
    </xf>
    <xf numFmtId="37" fontId="6" fillId="43" borderId="8" xfId="0" applyNumberFormat="1" applyFont="1" applyFill="1" applyBorder="1" applyAlignment="1" applyProtection="1">
      <alignment/>
      <protection/>
    </xf>
    <xf numFmtId="37" fontId="6" fillId="48" borderId="38" xfId="0" applyNumberFormat="1" applyFont="1" applyFill="1" applyBorder="1" applyAlignment="1" applyProtection="1">
      <alignment/>
      <protection locked="0"/>
    </xf>
    <xf numFmtId="37" fontId="6" fillId="48" borderId="11" xfId="0" applyNumberFormat="1" applyFont="1" applyFill="1" applyBorder="1" applyAlignment="1" applyProtection="1">
      <alignment/>
      <protection locked="0"/>
    </xf>
    <xf numFmtId="37" fontId="6" fillId="48" borderId="39" xfId="0" applyNumberFormat="1" applyFont="1" applyFill="1" applyBorder="1" applyAlignment="1" applyProtection="1">
      <alignment/>
      <protection locked="0"/>
    </xf>
    <xf numFmtId="37" fontId="6" fillId="48" borderId="40" xfId="0" applyNumberFormat="1" applyFont="1" applyFill="1" applyBorder="1" applyAlignment="1" applyProtection="1">
      <alignment/>
      <protection locked="0"/>
    </xf>
    <xf numFmtId="37" fontId="6" fillId="48" borderId="8" xfId="0" applyNumberFormat="1" applyFont="1" applyFill="1" applyBorder="1" applyAlignment="1" applyProtection="1">
      <alignment/>
      <protection locked="0"/>
    </xf>
    <xf numFmtId="37" fontId="6" fillId="48" borderId="41" xfId="0" applyNumberFormat="1" applyFont="1" applyFill="1" applyBorder="1" applyAlignment="1" applyProtection="1">
      <alignment/>
      <protection locked="0"/>
    </xf>
    <xf numFmtId="2" fontId="30" fillId="44" borderId="18" xfId="0" applyNumberFormat="1" applyFont="1" applyFill="1" applyBorder="1" applyAlignment="1" applyProtection="1">
      <alignment vertical="top"/>
      <protection/>
    </xf>
    <xf numFmtId="2" fontId="32" fillId="44" borderId="19" xfId="0" applyNumberFormat="1" applyFont="1" applyFill="1" applyBorder="1" applyAlignment="1" applyProtection="1">
      <alignment vertical="top"/>
      <protection/>
    </xf>
    <xf numFmtId="39" fontId="30" fillId="44" borderId="19" xfId="0" applyNumberFormat="1" applyFont="1" applyFill="1" applyBorder="1" applyAlignment="1" applyProtection="1">
      <alignment vertical="top"/>
      <protection/>
    </xf>
    <xf numFmtId="4" fontId="30" fillId="0" borderId="33" xfId="0" applyNumberFormat="1" applyFont="1" applyBorder="1" applyAlignment="1" applyProtection="1">
      <alignment vertical="top"/>
      <protection/>
    </xf>
    <xf numFmtId="37" fontId="6" fillId="48" borderId="18" xfId="0" applyNumberFormat="1" applyFont="1" applyFill="1" applyBorder="1" applyAlignment="1" applyProtection="1">
      <alignment horizontal="center"/>
      <protection locked="0"/>
    </xf>
    <xf numFmtId="37" fontId="6" fillId="48" borderId="8" xfId="0" applyNumberFormat="1" applyFont="1" applyFill="1" applyBorder="1" applyAlignment="1" applyProtection="1">
      <alignment horizontal="center"/>
      <protection locked="0"/>
    </xf>
    <xf numFmtId="37" fontId="6" fillId="48" borderId="19" xfId="0" applyNumberFormat="1" applyFont="1" applyFill="1" applyBorder="1" applyAlignment="1" applyProtection="1">
      <alignment horizontal="center"/>
      <protection locked="0"/>
    </xf>
    <xf numFmtId="37" fontId="6" fillId="48" borderId="42" xfId="0" applyNumberFormat="1" applyFont="1" applyFill="1" applyBorder="1" applyAlignment="1" applyProtection="1">
      <alignment horizontal="center"/>
      <protection locked="0"/>
    </xf>
    <xf numFmtId="37" fontId="6" fillId="48" borderId="35" xfId="0" applyNumberFormat="1" applyFont="1" applyFill="1" applyBorder="1" applyAlignment="1" applyProtection="1">
      <alignment horizontal="center"/>
      <protection locked="0"/>
    </xf>
    <xf numFmtId="37" fontId="6" fillId="49" borderId="10" xfId="0" applyNumberFormat="1" applyFont="1" applyFill="1" applyBorder="1" applyAlignment="1" applyProtection="1">
      <alignment horizontal="center"/>
      <protection locked="0"/>
    </xf>
    <xf numFmtId="37" fontId="6" fillId="49" borderId="43" xfId="0" applyNumberFormat="1" applyFont="1" applyFill="1" applyBorder="1" applyAlignment="1" applyProtection="1">
      <alignment horizontal="center"/>
      <protection locked="0"/>
    </xf>
    <xf numFmtId="37" fontId="6" fillId="48" borderId="34" xfId="0" applyNumberFormat="1" applyFont="1" applyFill="1" applyBorder="1" applyAlignment="1" applyProtection="1">
      <alignment horizontal="center"/>
      <protection locked="0"/>
    </xf>
    <xf numFmtId="37" fontId="6" fillId="48" borderId="0" xfId="0" applyNumberFormat="1" applyFont="1" applyFill="1" applyAlignment="1" applyProtection="1">
      <alignment horizontal="center"/>
      <protection locked="0"/>
    </xf>
    <xf numFmtId="37" fontId="6" fillId="49" borderId="0" xfId="0" applyNumberFormat="1" applyFont="1" applyFill="1" applyAlignment="1" applyProtection="1">
      <alignment/>
      <protection locked="0"/>
    </xf>
    <xf numFmtId="37" fontId="6" fillId="49" borderId="8" xfId="0" applyNumberFormat="1" applyFont="1" applyFill="1" applyBorder="1" applyAlignment="1" applyProtection="1">
      <alignment/>
      <protection locked="0"/>
    </xf>
    <xf numFmtId="37" fontId="6" fillId="49" borderId="0" xfId="0" applyNumberFormat="1" applyFont="1" applyFill="1" applyAlignment="1">
      <alignment/>
    </xf>
    <xf numFmtId="37" fontId="6" fillId="49" borderId="18" xfId="0" applyNumberFormat="1" applyFont="1" applyFill="1" applyBorder="1" applyAlignment="1" applyProtection="1">
      <alignment/>
      <protection locked="0"/>
    </xf>
    <xf numFmtId="37" fontId="6" fillId="49" borderId="19" xfId="0" applyNumberFormat="1" applyFont="1" applyFill="1" applyBorder="1" applyAlignment="1" applyProtection="1">
      <alignment/>
      <protection locked="0"/>
    </xf>
    <xf numFmtId="37" fontId="6" fillId="49" borderId="44" xfId="0" applyNumberFormat="1" applyFont="1" applyFill="1" applyBorder="1" applyAlignment="1" applyProtection="1">
      <alignment/>
      <protection locked="0"/>
    </xf>
    <xf numFmtId="9" fontId="6" fillId="49" borderId="8" xfId="0" applyNumberFormat="1" applyFont="1" applyFill="1" applyBorder="1" applyAlignment="1" applyProtection="1">
      <alignment/>
      <protection locked="0"/>
    </xf>
    <xf numFmtId="39" fontId="6" fillId="49" borderId="0" xfId="0" applyNumberFormat="1" applyFont="1" applyFill="1" applyAlignment="1" applyProtection="1">
      <alignment/>
      <protection locked="0"/>
    </xf>
    <xf numFmtId="37" fontId="6" fillId="49" borderId="11" xfId="0" applyNumberFormat="1" applyFont="1" applyFill="1" applyBorder="1" applyAlignment="1" applyProtection="1">
      <alignment/>
      <protection locked="0"/>
    </xf>
    <xf numFmtId="5" fontId="6" fillId="49" borderId="18" xfId="0" applyNumberFormat="1" applyFont="1" applyFill="1" applyBorder="1" applyAlignment="1" applyProtection="1">
      <alignment/>
      <protection locked="0"/>
    </xf>
    <xf numFmtId="37" fontId="6" fillId="48" borderId="18" xfId="0" applyNumberFormat="1" applyFont="1" applyFill="1" applyBorder="1" applyAlignment="1" applyProtection="1">
      <alignment/>
      <protection locked="0"/>
    </xf>
    <xf numFmtId="37" fontId="6" fillId="48" borderId="0" xfId="0" applyNumberFormat="1" applyFont="1" applyFill="1" applyAlignment="1">
      <alignment/>
    </xf>
    <xf numFmtId="39" fontId="6" fillId="48" borderId="18" xfId="0" applyNumberFormat="1" applyFont="1" applyFill="1" applyBorder="1" applyAlignment="1" applyProtection="1">
      <alignment/>
      <protection locked="0"/>
    </xf>
    <xf numFmtId="37" fontId="6" fillId="48" borderId="19" xfId="0" applyNumberFormat="1" applyFont="1" applyFill="1" applyBorder="1" applyAlignment="1" applyProtection="1">
      <alignment/>
      <protection locked="0"/>
    </xf>
    <xf numFmtId="37" fontId="6" fillId="48" borderId="36" xfId="83" applyNumberFormat="1" applyFont="1" applyFill="1" applyBorder="1" applyAlignment="1" applyProtection="1">
      <alignment/>
      <protection locked="0"/>
    </xf>
    <xf numFmtId="37" fontId="6" fillId="48" borderId="9" xfId="0" applyNumberFormat="1" applyFont="1" applyFill="1" applyBorder="1" applyAlignment="1" applyProtection="1">
      <alignment horizontal="center"/>
      <protection locked="0"/>
    </xf>
    <xf numFmtId="37" fontId="6" fillId="48" borderId="11" xfId="0" applyNumberFormat="1" applyFont="1" applyFill="1" applyBorder="1" applyAlignment="1" applyProtection="1">
      <alignment horizontal="center"/>
      <protection locked="0"/>
    </xf>
    <xf numFmtId="37" fontId="6" fillId="48" borderId="0" xfId="0" applyNumberFormat="1" applyFont="1" applyFill="1" applyBorder="1" applyAlignment="1" applyProtection="1">
      <alignment/>
      <protection locked="0"/>
    </xf>
    <xf numFmtId="37" fontId="6" fillId="48" borderId="0" xfId="0" applyNumberFormat="1" applyFont="1" applyFill="1" applyAlignment="1" applyProtection="1">
      <alignment/>
      <protection locked="0"/>
    </xf>
    <xf numFmtId="37" fontId="6" fillId="48" borderId="17" xfId="0" applyNumberFormat="1" applyFont="1" applyFill="1" applyBorder="1" applyAlignment="1" applyProtection="1">
      <alignment horizontal="center"/>
      <protection locked="0"/>
    </xf>
    <xf numFmtId="39" fontId="6" fillId="48" borderId="0" xfId="0" applyNumberFormat="1" applyFont="1" applyFill="1" applyAlignment="1" applyProtection="1">
      <alignment/>
      <protection locked="0"/>
    </xf>
    <xf numFmtId="187" fontId="6" fillId="48" borderId="18" xfId="0" applyNumberFormat="1" applyFont="1" applyFill="1" applyBorder="1" applyAlignment="1" applyProtection="1">
      <alignment/>
      <protection locked="0"/>
    </xf>
    <xf numFmtId="186" fontId="6" fillId="48" borderId="19" xfId="0" applyNumberFormat="1" applyFont="1" applyFill="1" applyBorder="1" applyAlignment="1" applyProtection="1">
      <alignment/>
      <protection locked="0"/>
    </xf>
    <xf numFmtId="10" fontId="30" fillId="50" borderId="18" xfId="0" applyNumberFormat="1" applyFont="1" applyFill="1" applyBorder="1" applyAlignment="1">
      <alignment vertical="top"/>
    </xf>
    <xf numFmtId="1" fontId="30" fillId="50" borderId="45" xfId="0" applyNumberFormat="1" applyFont="1" applyFill="1" applyBorder="1" applyAlignment="1">
      <alignment vertical="top"/>
    </xf>
    <xf numFmtId="1" fontId="30" fillId="50" borderId="46" xfId="0" applyNumberFormat="1" applyFont="1" applyFill="1" applyBorder="1" applyAlignment="1">
      <alignment vertical="top"/>
    </xf>
    <xf numFmtId="9" fontId="32" fillId="50" borderId="19" xfId="0" applyNumberFormat="1" applyFont="1" applyFill="1" applyBorder="1" applyAlignment="1" applyProtection="1">
      <alignment vertical="top"/>
      <protection locked="0"/>
    </xf>
    <xf numFmtId="10" fontId="30" fillId="50" borderId="18" xfId="0" applyNumberFormat="1" applyFont="1" applyFill="1" applyBorder="1" applyAlignment="1" applyProtection="1">
      <alignment vertical="top"/>
      <protection locked="0"/>
    </xf>
    <xf numFmtId="10" fontId="30" fillId="50" borderId="19" xfId="0" applyNumberFormat="1" applyFont="1" applyFill="1" applyBorder="1" applyAlignment="1" applyProtection="1">
      <alignment vertical="top"/>
      <protection locked="0"/>
    </xf>
    <xf numFmtId="3" fontId="32" fillId="0" borderId="0" xfId="0" applyNumberFormat="1" applyFont="1" applyBorder="1" applyAlignment="1">
      <alignment horizontal="right"/>
    </xf>
    <xf numFmtId="3" fontId="30" fillId="51" borderId="28" xfId="0" applyNumberFormat="1" applyFont="1" applyFill="1" applyBorder="1" applyAlignment="1">
      <alignment horizontal="center"/>
    </xf>
    <xf numFmtId="3" fontId="35" fillId="51" borderId="18" xfId="0" applyNumberFormat="1" applyFont="1" applyFill="1" applyBorder="1" applyAlignment="1">
      <alignment horizontal="center"/>
    </xf>
    <xf numFmtId="37" fontId="6" fillId="0" borderId="0" xfId="0" applyNumberFormat="1" applyFont="1" applyAlignment="1" applyProtection="1">
      <alignment horizontal="center"/>
      <protection hidden="1"/>
    </xf>
    <xf numFmtId="37" fontId="6" fillId="0" borderId="0" xfId="0" applyNumberFormat="1" applyFont="1" applyAlignment="1" applyProtection="1">
      <alignment horizontal="center"/>
      <protection hidden="1" locked="0"/>
    </xf>
    <xf numFmtId="37" fontId="10" fillId="0" borderId="0" xfId="0" applyNumberFormat="1" applyFont="1" applyAlignment="1" quotePrefix="1">
      <alignment horizontal="center"/>
    </xf>
    <xf numFmtId="37" fontId="39" fillId="0" borderId="0" xfId="0" applyNumberFormat="1" applyFont="1" applyAlignment="1">
      <alignment horizontal="left"/>
    </xf>
    <xf numFmtId="0" fontId="30" fillId="0" borderId="0" xfId="0" applyFont="1" applyAlignment="1" applyProtection="1">
      <alignment horizontal="left" vertical="top"/>
      <protection/>
    </xf>
    <xf numFmtId="195" fontId="30" fillId="50" borderId="0" xfId="0" applyNumberFormat="1" applyFont="1" applyFill="1" applyAlignment="1" applyProtection="1">
      <alignment horizontal="center"/>
      <protection locked="0"/>
    </xf>
    <xf numFmtId="37" fontId="30" fillId="50" borderId="0" xfId="0" applyNumberFormat="1" applyFont="1" applyFill="1" applyAlignment="1" applyProtection="1">
      <alignment vertical="top"/>
      <protection locked="0"/>
    </xf>
    <xf numFmtId="0" fontId="30" fillId="0" borderId="19" xfId="0" applyFont="1" applyFill="1" applyBorder="1" applyAlignment="1">
      <alignment vertical="top"/>
    </xf>
    <xf numFmtId="37" fontId="10" fillId="0" borderId="36" xfId="0" applyNumberFormat="1" applyFont="1" applyBorder="1" applyAlignment="1" applyProtection="1">
      <alignment/>
      <protection/>
    </xf>
    <xf numFmtId="37" fontId="13" fillId="0" borderId="0" xfId="0" applyNumberFormat="1" applyFont="1" applyAlignment="1">
      <alignment horizontal="left"/>
    </xf>
    <xf numFmtId="49" fontId="6" fillId="48" borderId="8" xfId="0" applyNumberFormat="1" applyFont="1" applyFill="1" applyBorder="1" applyAlignment="1" applyProtection="1">
      <alignment horizontal="left"/>
      <protection locked="0"/>
    </xf>
    <xf numFmtId="49" fontId="6" fillId="49" borderId="18" xfId="0" applyNumberFormat="1" applyFont="1" applyFill="1" applyBorder="1" applyAlignment="1">
      <alignment/>
    </xf>
    <xf numFmtId="38" fontId="10" fillId="43" borderId="47" xfId="0" applyNumberFormat="1" applyFont="1" applyFill="1" applyBorder="1" applyAlignment="1" applyProtection="1">
      <alignment/>
      <protection/>
    </xf>
    <xf numFmtId="38" fontId="10" fillId="43" borderId="0" xfId="0" applyNumberFormat="1" applyFont="1" applyFill="1" applyBorder="1" applyAlignment="1" applyProtection="1">
      <alignment/>
      <protection/>
    </xf>
    <xf numFmtId="37" fontId="6" fillId="43" borderId="0" xfId="0" applyNumberFormat="1" applyFont="1" applyFill="1" applyBorder="1" applyAlignment="1" applyProtection="1">
      <alignment horizontal="center"/>
      <protection locked="0"/>
    </xf>
    <xf numFmtId="37" fontId="6" fillId="29" borderId="0" xfId="0" applyNumberFormat="1" applyFont="1" applyFill="1" applyAlignment="1" applyProtection="1">
      <alignment/>
      <protection locked="0"/>
    </xf>
    <xf numFmtId="37" fontId="10" fillId="29" borderId="0" xfId="0" applyNumberFormat="1" applyFont="1" applyFill="1" applyBorder="1" applyAlignment="1" applyProtection="1">
      <alignment/>
      <protection locked="0"/>
    </xf>
    <xf numFmtId="37" fontId="6" fillId="29" borderId="0" xfId="0" applyNumberFormat="1" applyFont="1" applyFill="1" applyAlignment="1">
      <alignment/>
    </xf>
    <xf numFmtId="37" fontId="10" fillId="0" borderId="48" xfId="0" applyNumberFormat="1" applyFont="1" applyBorder="1" applyAlignment="1" applyProtection="1">
      <alignment/>
      <protection/>
    </xf>
    <xf numFmtId="37" fontId="6" fillId="0" borderId="49" xfId="0" applyNumberFormat="1" applyFont="1" applyBorder="1" applyAlignment="1">
      <alignment/>
    </xf>
    <xf numFmtId="37" fontId="6" fillId="0" borderId="49" xfId="0" applyNumberFormat="1" applyFont="1" applyBorder="1" applyAlignment="1" applyProtection="1">
      <alignment/>
      <protection locked="0"/>
    </xf>
    <xf numFmtId="37" fontId="6" fillId="0" borderId="49" xfId="0" applyNumberFormat="1" applyFont="1" applyBorder="1" applyAlignment="1" applyProtection="1">
      <alignment/>
      <protection hidden="1"/>
    </xf>
    <xf numFmtId="37" fontId="6" fillId="0" borderId="49" xfId="0" applyNumberFormat="1" applyFont="1" applyBorder="1" applyAlignment="1" applyProtection="1">
      <alignment/>
      <protection hidden="1" locked="0"/>
    </xf>
    <xf numFmtId="37" fontId="10" fillId="0" borderId="0" xfId="0" applyNumberFormat="1" applyFont="1" applyBorder="1" applyAlignment="1">
      <alignment/>
    </xf>
    <xf numFmtId="37" fontId="6" fillId="50" borderId="18" xfId="0" applyNumberFormat="1" applyFont="1" applyFill="1" applyBorder="1" applyAlignment="1" applyProtection="1">
      <alignment horizontal="center"/>
      <protection locked="0"/>
    </xf>
    <xf numFmtId="37" fontId="6" fillId="50" borderId="19" xfId="0" applyNumberFormat="1" applyFont="1" applyFill="1" applyBorder="1" applyAlignment="1" applyProtection="1">
      <alignment horizontal="center"/>
      <protection locked="0"/>
    </xf>
    <xf numFmtId="39" fontId="6" fillId="50" borderId="0" xfId="0" applyNumberFormat="1" applyFont="1" applyFill="1" applyAlignment="1" applyProtection="1">
      <alignment/>
      <protection locked="0"/>
    </xf>
    <xf numFmtId="9" fontId="32" fillId="44" borderId="19" xfId="0" applyNumberFormat="1" applyFont="1" applyFill="1" applyBorder="1" applyAlignment="1" applyProtection="1">
      <alignment horizontal="right"/>
      <protection/>
    </xf>
    <xf numFmtId="10" fontId="32" fillId="44" borderId="18" xfId="0" applyNumberFormat="1" applyFont="1" applyFill="1" applyBorder="1" applyAlignment="1" applyProtection="1">
      <alignment horizontal="right"/>
      <protection/>
    </xf>
    <xf numFmtId="193" fontId="6" fillId="49" borderId="18" xfId="0" applyNumberFormat="1" applyFont="1" applyFill="1" applyBorder="1" applyAlignment="1" applyProtection="1">
      <alignment/>
      <protection locked="0"/>
    </xf>
    <xf numFmtId="10" fontId="6" fillId="49" borderId="18" xfId="0" applyNumberFormat="1" applyFont="1" applyFill="1" applyBorder="1" applyAlignment="1" applyProtection="1">
      <alignment/>
      <protection locked="0"/>
    </xf>
    <xf numFmtId="38" fontId="6" fillId="0" borderId="45" xfId="0" applyNumberFormat="1" applyFont="1" applyBorder="1" applyAlignment="1" applyProtection="1">
      <alignment/>
      <protection/>
    </xf>
    <xf numFmtId="0" fontId="7" fillId="29" borderId="0" xfId="72" applyFill="1">
      <alignment/>
      <protection/>
    </xf>
    <xf numFmtId="177" fontId="31" fillId="0" borderId="0" xfId="51" applyFont="1" applyFill="1" applyAlignment="1" applyProtection="1">
      <alignment/>
      <protection locked="0"/>
    </xf>
    <xf numFmtId="177" fontId="27" fillId="0" borderId="0" xfId="51" applyFont="1" applyFill="1" applyAlignment="1" applyProtection="1">
      <alignment/>
      <protection locked="0"/>
    </xf>
    <xf numFmtId="177" fontId="45" fillId="0" borderId="18" xfId="51" applyFont="1" applyFill="1" applyBorder="1" applyAlignment="1" applyProtection="1">
      <alignment/>
      <protection locked="0"/>
    </xf>
    <xf numFmtId="0" fontId="31" fillId="29" borderId="0" xfId="72" applyFont="1" applyFill="1" applyProtection="1">
      <alignment/>
      <protection locked="0"/>
    </xf>
    <xf numFmtId="177" fontId="45" fillId="0" borderId="19" xfId="51" applyFont="1" applyFill="1" applyBorder="1" applyAlignment="1" applyProtection="1">
      <alignment/>
      <protection locked="0"/>
    </xf>
    <xf numFmtId="177" fontId="31" fillId="29" borderId="0" xfId="72" applyNumberFormat="1" applyFont="1" applyFill="1" applyProtection="1">
      <alignment/>
      <protection locked="0"/>
    </xf>
    <xf numFmtId="177" fontId="31" fillId="34" borderId="0" xfId="72" applyNumberFormat="1" applyFont="1" applyFill="1" applyProtection="1">
      <alignment/>
      <protection locked="0"/>
    </xf>
    <xf numFmtId="0" fontId="31" fillId="34" borderId="0" xfId="72" applyFont="1" applyFill="1" applyProtection="1">
      <alignment/>
      <protection locked="0"/>
    </xf>
    <xf numFmtId="192" fontId="10" fillId="50" borderId="8" xfId="84" applyNumberFormat="1" applyFont="1" applyFill="1">
      <alignment horizontal="right"/>
      <protection locked="0"/>
    </xf>
    <xf numFmtId="192" fontId="31" fillId="0" borderId="0" xfId="51" applyNumberFormat="1" applyFont="1" applyFill="1" applyAlignment="1" applyProtection="1">
      <alignment/>
      <protection locked="0"/>
    </xf>
    <xf numFmtId="192" fontId="6" fillId="0" borderId="0" xfId="51" applyNumberFormat="1" applyFont="1" applyFill="1" applyAlignment="1" applyProtection="1">
      <alignment/>
      <protection locked="0"/>
    </xf>
    <xf numFmtId="192" fontId="10" fillId="0" borderId="8" xfId="82" applyNumberFormat="1" applyFont="1" applyFill="1">
      <alignment horizontal="right"/>
      <protection/>
    </xf>
    <xf numFmtId="177" fontId="31" fillId="29" borderId="0" xfId="72" applyNumberFormat="1" applyFont="1" applyFill="1">
      <alignment/>
      <protection/>
    </xf>
    <xf numFmtId="177" fontId="31" fillId="34" borderId="0" xfId="72" applyNumberFormat="1" applyFont="1" applyFill="1">
      <alignment/>
      <protection/>
    </xf>
    <xf numFmtId="10" fontId="10" fillId="0" borderId="0" xfId="77" applyFont="1" applyFill="1" applyAlignment="1">
      <alignment horizontal="center"/>
    </xf>
    <xf numFmtId="192" fontId="10" fillId="50" borderId="18" xfId="72" applyNumberFormat="1" applyFont="1" applyFill="1" applyBorder="1" applyProtection="1">
      <alignment/>
      <protection locked="0"/>
    </xf>
    <xf numFmtId="192" fontId="6" fillId="0" borderId="8" xfId="82" applyNumberFormat="1" applyFont="1" applyFill="1">
      <alignment horizontal="right"/>
      <protection/>
    </xf>
    <xf numFmtId="177" fontId="31" fillId="0" borderId="0" xfId="51" applyFont="1" applyFill="1" applyAlignment="1">
      <alignment/>
    </xf>
    <xf numFmtId="10" fontId="27" fillId="50" borderId="8" xfId="77" applyFont="1" applyFill="1" applyBorder="1" applyAlignment="1" applyProtection="1">
      <alignment horizontal="center"/>
      <protection locked="0"/>
    </xf>
    <xf numFmtId="10" fontId="28" fillId="50" borderId="8" xfId="77" applyFont="1" applyFill="1" applyBorder="1" applyAlignment="1" applyProtection="1">
      <alignment horizontal="right"/>
      <protection locked="0"/>
    </xf>
    <xf numFmtId="10" fontId="28" fillId="0" borderId="8" xfId="77" applyFont="1" applyFill="1" applyBorder="1" applyAlignment="1" applyProtection="1">
      <alignment horizontal="right"/>
      <protection locked="0"/>
    </xf>
    <xf numFmtId="177" fontId="31" fillId="0" borderId="50" xfId="51" applyFont="1" applyFill="1" applyBorder="1" applyAlignment="1" applyProtection="1">
      <alignment/>
      <protection locked="0"/>
    </xf>
    <xf numFmtId="0" fontId="49" fillId="29" borderId="0" xfId="72" applyFont="1" applyFill="1">
      <alignment/>
      <protection/>
    </xf>
    <xf numFmtId="177" fontId="31" fillId="0" borderId="0" xfId="51" applyFont="1" applyFill="1" applyAlignment="1" applyProtection="1">
      <alignment horizontal="center"/>
      <protection locked="0"/>
    </xf>
    <xf numFmtId="192" fontId="22" fillId="0" borderId="51" xfId="48" applyNumberFormat="1" applyFont="1" applyFill="1" applyBorder="1" applyAlignment="1">
      <alignment/>
    </xf>
    <xf numFmtId="192" fontId="28" fillId="29" borderId="50" xfId="48" applyNumberFormat="1" applyFont="1" applyBorder="1" applyAlignment="1">
      <alignment/>
    </xf>
    <xf numFmtId="0" fontId="31" fillId="29" borderId="52" xfId="72" applyFont="1" applyFill="1" applyBorder="1" applyProtection="1">
      <alignment/>
      <protection locked="0"/>
    </xf>
    <xf numFmtId="0" fontId="31" fillId="29" borderId="53" xfId="72" applyFont="1" applyFill="1" applyBorder="1" applyProtection="1">
      <alignment/>
      <protection locked="0"/>
    </xf>
    <xf numFmtId="177" fontId="31" fillId="29" borderId="53" xfId="51" applyFont="1" applyBorder="1" applyAlignment="1" applyProtection="1">
      <alignment/>
      <protection locked="0"/>
    </xf>
    <xf numFmtId="177" fontId="31" fillId="29" borderId="54" xfId="51" applyFont="1" applyBorder="1" applyAlignment="1" applyProtection="1">
      <alignment/>
      <protection locked="0"/>
    </xf>
    <xf numFmtId="177" fontId="31" fillId="34" borderId="0" xfId="51" applyFont="1" applyFill="1" applyAlignment="1" applyProtection="1">
      <alignment/>
      <protection locked="0"/>
    </xf>
    <xf numFmtId="177" fontId="31" fillId="29" borderId="0" xfId="51" applyFont="1" applyAlignment="1" applyProtection="1">
      <alignment/>
      <protection locked="0"/>
    </xf>
    <xf numFmtId="177" fontId="31" fillId="29" borderId="0" xfId="51" applyFont="1" applyAlignment="1">
      <alignment/>
    </xf>
    <xf numFmtId="0" fontId="7" fillId="44" borderId="0" xfId="73" applyFill="1">
      <alignment/>
      <protection/>
    </xf>
    <xf numFmtId="0" fontId="44" fillId="44" borderId="0" xfId="73" applyFont="1" applyFill="1">
      <alignment/>
      <protection/>
    </xf>
    <xf numFmtId="0" fontId="31" fillId="44" borderId="0" xfId="73" applyFont="1" applyFill="1" applyProtection="1">
      <alignment/>
      <protection locked="0"/>
    </xf>
    <xf numFmtId="0" fontId="7" fillId="29" borderId="0" xfId="73" applyFill="1">
      <alignment/>
      <protection/>
    </xf>
    <xf numFmtId="0" fontId="31" fillId="29" borderId="0" xfId="73" applyFont="1" applyFill="1" applyProtection="1">
      <alignment/>
      <protection locked="0"/>
    </xf>
    <xf numFmtId="177" fontId="31" fillId="44" borderId="0" xfId="52" applyFont="1" applyFill="1" applyAlignment="1" applyProtection="1">
      <alignment/>
      <protection locked="0"/>
    </xf>
    <xf numFmtId="177" fontId="27" fillId="44" borderId="0" xfId="73" applyNumberFormat="1" applyFont="1" applyFill="1" applyAlignment="1">
      <alignment horizontal="left"/>
      <protection/>
    </xf>
    <xf numFmtId="0" fontId="10" fillId="29" borderId="0" xfId="73" applyFont="1" applyFill="1" applyAlignment="1">
      <alignment horizontal="center"/>
      <protection/>
    </xf>
    <xf numFmtId="0" fontId="27" fillId="44" borderId="0" xfId="73" applyFont="1" applyFill="1">
      <alignment/>
      <protection/>
    </xf>
    <xf numFmtId="0" fontId="31" fillId="44" borderId="0" xfId="73" applyFont="1" applyFill="1">
      <alignment/>
      <protection/>
    </xf>
    <xf numFmtId="0" fontId="31" fillId="34" borderId="0" xfId="73" applyFont="1" applyFill="1" applyProtection="1">
      <alignment/>
      <protection locked="0"/>
    </xf>
    <xf numFmtId="0" fontId="7" fillId="29" borderId="0" xfId="73" applyFill="1" applyAlignment="1">
      <alignment horizontal="right"/>
      <protection/>
    </xf>
    <xf numFmtId="0" fontId="41" fillId="44" borderId="0" xfId="73" applyFont="1" applyFill="1" applyAlignment="1" applyProtection="1">
      <alignment horizontal="center"/>
      <protection locked="0"/>
    </xf>
    <xf numFmtId="14" fontId="41" fillId="44" borderId="0" xfId="73" applyNumberFormat="1" applyFont="1" applyFill="1" applyAlignment="1">
      <alignment horizontal="center"/>
      <protection/>
    </xf>
    <xf numFmtId="0" fontId="41" fillId="44" borderId="0" xfId="73" applyFont="1" applyFill="1" applyAlignment="1">
      <alignment horizontal="center"/>
      <protection/>
    </xf>
    <xf numFmtId="0" fontId="29" fillId="44" borderId="0" xfId="73" applyFont="1" applyFill="1">
      <alignment/>
      <protection/>
    </xf>
    <xf numFmtId="0" fontId="48" fillId="44" borderId="0" xfId="73" applyFont="1" applyFill="1" applyProtection="1">
      <alignment/>
      <protection locked="0"/>
    </xf>
    <xf numFmtId="0" fontId="29" fillId="44" borderId="0" xfId="73" applyFont="1" applyFill="1" applyProtection="1">
      <alignment/>
      <protection locked="0"/>
    </xf>
    <xf numFmtId="0" fontId="22" fillId="44" borderId="0" xfId="73" applyFont="1" applyFill="1">
      <alignment/>
      <protection/>
    </xf>
    <xf numFmtId="10" fontId="51" fillId="29" borderId="33" xfId="73" applyNumberFormat="1" applyFont="1" applyFill="1" applyBorder="1">
      <alignment/>
      <protection/>
    </xf>
    <xf numFmtId="10" fontId="28" fillId="29" borderId="33" xfId="73" applyNumberFormat="1" applyFont="1" applyFill="1" applyBorder="1">
      <alignment/>
      <protection/>
    </xf>
    <xf numFmtId="177" fontId="31" fillId="34" borderId="0" xfId="52" applyFont="1" applyFill="1" applyAlignment="1" applyProtection="1">
      <alignment/>
      <protection locked="0"/>
    </xf>
    <xf numFmtId="0" fontId="10" fillId="29" borderId="0" xfId="73" applyFont="1" applyFill="1">
      <alignment/>
      <protection/>
    </xf>
    <xf numFmtId="10" fontId="10" fillId="29" borderId="0" xfId="78" applyFont="1" applyAlignment="1">
      <alignment/>
    </xf>
    <xf numFmtId="192" fontId="10" fillId="29" borderId="0" xfId="73" applyNumberFormat="1" applyFont="1" applyFill="1">
      <alignment/>
      <protection/>
    </xf>
    <xf numFmtId="3" fontId="10" fillId="29" borderId="0" xfId="73" applyNumberFormat="1" applyFont="1" applyFill="1">
      <alignment/>
      <protection/>
    </xf>
    <xf numFmtId="192" fontId="0" fillId="29" borderId="0" xfId="73" applyNumberFormat="1" applyFont="1" applyFill="1">
      <alignment/>
      <protection/>
    </xf>
    <xf numFmtId="0" fontId="27" fillId="29" borderId="0" xfId="73" applyFont="1" applyFill="1">
      <alignment/>
      <protection/>
    </xf>
    <xf numFmtId="0" fontId="10" fillId="29" borderId="0" xfId="73" applyFont="1" applyFill="1" applyAlignment="1">
      <alignment horizontal="right"/>
      <protection/>
    </xf>
    <xf numFmtId="3" fontId="10" fillId="50" borderId="18" xfId="49" applyNumberFormat="1" applyFont="1" applyFill="1" applyBorder="1" applyAlignment="1" applyProtection="1">
      <alignment horizontal="center"/>
      <protection locked="0"/>
    </xf>
    <xf numFmtId="3" fontId="10" fillId="50" borderId="19" xfId="49" applyNumberFormat="1" applyFont="1" applyFill="1" applyBorder="1" applyAlignment="1" applyProtection="1">
      <alignment horizontal="center"/>
      <protection locked="0"/>
    </xf>
    <xf numFmtId="10" fontId="10" fillId="29" borderId="0" xfId="78" applyFont="1" applyAlignment="1">
      <alignment horizontal="center"/>
    </xf>
    <xf numFmtId="179" fontId="10" fillId="29" borderId="0" xfId="49" applyFont="1" applyAlignment="1">
      <alignment horizontal="center"/>
    </xf>
    <xf numFmtId="10" fontId="27" fillId="0" borderId="8" xfId="77" applyFont="1" applyFill="1" applyBorder="1" applyAlignment="1" applyProtection="1">
      <alignment horizontal="center"/>
      <protection locked="0"/>
    </xf>
    <xf numFmtId="10" fontId="10" fillId="0" borderId="0" xfId="78" applyFont="1" applyFill="1" applyAlignment="1">
      <alignment/>
    </xf>
    <xf numFmtId="10" fontId="10" fillId="0" borderId="18" xfId="78" applyFont="1" applyFill="1" applyBorder="1" applyAlignment="1">
      <alignment/>
    </xf>
    <xf numFmtId="10" fontId="10" fillId="0" borderId="18" xfId="78" applyFont="1" applyFill="1" applyBorder="1" applyAlignment="1" applyProtection="1">
      <alignment horizontal="center"/>
      <protection locked="0"/>
    </xf>
    <xf numFmtId="10" fontId="5" fillId="0" borderId="8" xfId="0" applyNumberFormat="1" applyFont="1" applyFill="1" applyBorder="1" applyAlignment="1">
      <alignment/>
    </xf>
    <xf numFmtId="37" fontId="13" fillId="29" borderId="18" xfId="0" applyNumberFormat="1" applyFont="1" applyFill="1" applyBorder="1" applyAlignment="1" applyProtection="1">
      <alignment/>
      <protection/>
    </xf>
    <xf numFmtId="37" fontId="6" fillId="29" borderId="18" xfId="0" applyNumberFormat="1" applyFont="1" applyFill="1" applyBorder="1" applyAlignment="1" applyProtection="1">
      <alignment/>
      <protection/>
    </xf>
    <xf numFmtId="37" fontId="13" fillId="29" borderId="19" xfId="0" applyNumberFormat="1" applyFont="1" applyFill="1" applyBorder="1" applyAlignment="1" applyProtection="1">
      <alignment/>
      <protection/>
    </xf>
    <xf numFmtId="37" fontId="6" fillId="29" borderId="55" xfId="0" applyNumberFormat="1" applyFont="1" applyFill="1" applyBorder="1" applyAlignment="1">
      <alignment/>
    </xf>
    <xf numFmtId="38" fontId="6" fillId="0" borderId="18" xfId="0" applyNumberFormat="1" applyFont="1" applyFill="1" applyBorder="1" applyAlignment="1">
      <alignment/>
    </xf>
    <xf numFmtId="37" fontId="6" fillId="43" borderId="36" xfId="0" applyNumberFormat="1" applyFont="1" applyFill="1" applyBorder="1" applyAlignment="1" applyProtection="1">
      <alignment/>
      <protection/>
    </xf>
    <xf numFmtId="0" fontId="7" fillId="0" borderId="0" xfId="72">
      <alignment/>
      <protection/>
    </xf>
    <xf numFmtId="0" fontId="42" fillId="0" borderId="0" xfId="72" applyFont="1">
      <alignment/>
      <protection/>
    </xf>
    <xf numFmtId="0" fontId="7" fillId="0" borderId="56" xfId="72" applyBorder="1">
      <alignment/>
      <protection/>
    </xf>
    <xf numFmtId="0" fontId="7" fillId="0" borderId="50" xfId="72" applyBorder="1">
      <alignment/>
      <protection/>
    </xf>
    <xf numFmtId="0" fontId="7" fillId="0" borderId="53" xfId="72" applyBorder="1">
      <alignment/>
      <protection/>
    </xf>
    <xf numFmtId="192" fontId="10" fillId="0" borderId="54" xfId="72" applyNumberFormat="1" applyFont="1" applyBorder="1">
      <alignment/>
      <protection/>
    </xf>
    <xf numFmtId="0" fontId="7" fillId="0" borderId="0" xfId="72" applyAlignment="1">
      <alignment horizontal="center"/>
      <protection/>
    </xf>
    <xf numFmtId="37" fontId="6" fillId="0" borderId="0" xfId="0" applyNumberFormat="1" applyFont="1" applyAlignment="1">
      <alignment horizontal="centerContinuous"/>
    </xf>
    <xf numFmtId="187" fontId="6" fillId="50" borderId="19" xfId="0" applyNumberFormat="1" applyFont="1" applyFill="1" applyBorder="1" applyAlignment="1" applyProtection="1">
      <alignment horizontal="center"/>
      <protection locked="0"/>
    </xf>
    <xf numFmtId="37" fontId="6" fillId="48" borderId="44" xfId="0" applyNumberFormat="1" applyFont="1" applyFill="1" applyBorder="1" applyAlignment="1" applyProtection="1">
      <alignment horizontal="left"/>
      <protection locked="0"/>
    </xf>
    <xf numFmtId="37" fontId="6" fillId="49" borderId="18" xfId="0" applyNumberFormat="1" applyFont="1" applyFill="1" applyBorder="1" applyAlignment="1" applyProtection="1">
      <alignment horizontal="center"/>
      <protection locked="0"/>
    </xf>
    <xf numFmtId="37" fontId="6" fillId="49" borderId="19" xfId="0" applyNumberFormat="1" applyFont="1" applyFill="1" applyBorder="1" applyAlignment="1" applyProtection="1">
      <alignment horizontal="center"/>
      <protection locked="0"/>
    </xf>
    <xf numFmtId="37" fontId="6" fillId="52" borderId="24" xfId="0" applyNumberFormat="1" applyFont="1" applyFill="1" applyBorder="1" applyAlignment="1">
      <alignment/>
    </xf>
    <xf numFmtId="37" fontId="6" fillId="52" borderId="28" xfId="0" applyNumberFormat="1" applyFont="1" applyFill="1" applyBorder="1" applyAlignment="1">
      <alignment/>
    </xf>
    <xf numFmtId="37" fontId="6" fillId="52" borderId="57" xfId="0" applyNumberFormat="1" applyFont="1" applyFill="1" applyBorder="1" applyAlignment="1">
      <alignment/>
    </xf>
    <xf numFmtId="37" fontId="6" fillId="52" borderId="30" xfId="0" applyNumberFormat="1" applyFont="1" applyFill="1" applyBorder="1" applyAlignment="1">
      <alignment/>
    </xf>
    <xf numFmtId="37" fontId="6" fillId="52" borderId="0" xfId="0" applyNumberFormat="1" applyFont="1" applyFill="1" applyBorder="1" applyAlignment="1">
      <alignment/>
    </xf>
    <xf numFmtId="37" fontId="6" fillId="52" borderId="58" xfId="0" applyNumberFormat="1" applyFont="1" applyFill="1" applyBorder="1" applyAlignment="1">
      <alignment/>
    </xf>
    <xf numFmtId="37" fontId="6" fillId="52" borderId="29" xfId="0" applyNumberFormat="1" applyFont="1" applyFill="1" applyBorder="1" applyAlignment="1">
      <alignment/>
    </xf>
    <xf numFmtId="37" fontId="6" fillId="52" borderId="18" xfId="0" applyNumberFormat="1" applyFont="1" applyFill="1" applyBorder="1" applyAlignment="1">
      <alignment/>
    </xf>
    <xf numFmtId="37" fontId="6" fillId="52" borderId="37" xfId="0" applyNumberFormat="1" applyFont="1" applyFill="1" applyBorder="1" applyAlignment="1">
      <alignment/>
    </xf>
    <xf numFmtId="194" fontId="32" fillId="0" borderId="0" xfId="0" applyNumberFormat="1" applyFont="1" applyFill="1" applyAlignment="1" applyProtection="1">
      <alignment horizontal="left"/>
      <protection/>
    </xf>
    <xf numFmtId="3" fontId="30" fillId="53" borderId="0" xfId="0" applyNumberFormat="1" applyFont="1" applyFill="1" applyAlignment="1">
      <alignment vertical="top"/>
    </xf>
    <xf numFmtId="3" fontId="32" fillId="53" borderId="0" xfId="0" applyNumberFormat="1" applyFont="1" applyFill="1" applyAlignment="1">
      <alignment vertical="top"/>
    </xf>
    <xf numFmtId="3" fontId="30" fillId="46" borderId="18" xfId="0" applyNumberFormat="1" applyFont="1" applyFill="1" applyBorder="1" applyAlignment="1" applyProtection="1">
      <alignment vertical="top"/>
      <protection locked="0"/>
    </xf>
    <xf numFmtId="0" fontId="2" fillId="0" borderId="0" xfId="69">
      <alignment/>
      <protection/>
    </xf>
    <xf numFmtId="0" fontId="61" fillId="0" borderId="0" xfId="69" applyFont="1">
      <alignment/>
      <protection/>
    </xf>
    <xf numFmtId="0" fontId="61" fillId="0" borderId="0" xfId="69" applyFont="1" applyAlignment="1">
      <alignment horizontal="center"/>
      <protection/>
    </xf>
    <xf numFmtId="0" fontId="2" fillId="0" borderId="0" xfId="69" applyAlignment="1">
      <alignment horizontal="left"/>
      <protection/>
    </xf>
    <xf numFmtId="0" fontId="2" fillId="0" borderId="59" xfId="69" applyBorder="1">
      <alignment/>
      <protection/>
    </xf>
    <xf numFmtId="0" fontId="2" fillId="0" borderId="60" xfId="69" applyBorder="1">
      <alignment/>
      <protection/>
    </xf>
    <xf numFmtId="22" fontId="2" fillId="0" borderId="60" xfId="69" applyNumberFormat="1" applyBorder="1">
      <alignment/>
      <protection/>
    </xf>
    <xf numFmtId="0" fontId="2" fillId="0" borderId="61" xfId="69" applyBorder="1">
      <alignment/>
      <protection/>
    </xf>
    <xf numFmtId="0" fontId="2" fillId="0" borderId="62" xfId="69" applyBorder="1">
      <alignment/>
      <protection/>
    </xf>
    <xf numFmtId="0" fontId="2" fillId="0" borderId="63" xfId="69" applyBorder="1">
      <alignment/>
      <protection/>
    </xf>
    <xf numFmtId="0" fontId="2" fillId="0" borderId="64" xfId="69" applyBorder="1">
      <alignment/>
      <protection/>
    </xf>
    <xf numFmtId="0" fontId="2" fillId="0" borderId="65" xfId="69" applyBorder="1">
      <alignment/>
      <protection/>
    </xf>
    <xf numFmtId="0" fontId="2" fillId="0" borderId="66" xfId="69" applyBorder="1">
      <alignment/>
      <protection/>
    </xf>
    <xf numFmtId="0" fontId="0" fillId="0" borderId="0" xfId="0" applyAlignment="1">
      <alignment vertical="top"/>
    </xf>
    <xf numFmtId="38" fontId="6" fillId="0" borderId="0" xfId="0" applyNumberFormat="1" applyFont="1" applyFill="1" applyBorder="1" applyAlignment="1">
      <alignment/>
    </xf>
    <xf numFmtId="37" fontId="11" fillId="0" borderId="0" xfId="0" applyNumberFormat="1" applyFont="1" applyAlignment="1">
      <alignment horizontal="right"/>
    </xf>
    <xf numFmtId="9" fontId="6" fillId="0" borderId="0" xfId="0" applyNumberFormat="1" applyFont="1" applyAlignment="1">
      <alignment/>
    </xf>
    <xf numFmtId="37" fontId="6" fillId="48" borderId="39" xfId="0" applyNumberFormat="1" applyFont="1" applyFill="1" applyBorder="1" applyAlignment="1" applyProtection="1">
      <alignment horizontal="center"/>
      <protection locked="0"/>
    </xf>
    <xf numFmtId="37" fontId="6" fillId="48" borderId="38" xfId="0" applyNumberFormat="1" applyFont="1" applyFill="1" applyBorder="1" applyAlignment="1" applyProtection="1">
      <alignment horizontal="center"/>
      <protection locked="0"/>
    </xf>
    <xf numFmtId="5" fontId="6" fillId="29" borderId="18" xfId="0" applyNumberFormat="1" applyFont="1" applyFill="1" applyBorder="1" applyAlignment="1">
      <alignment/>
    </xf>
    <xf numFmtId="5" fontId="6" fillId="29" borderId="18" xfId="0" applyNumberFormat="1" applyFont="1" applyFill="1" applyBorder="1" applyAlignment="1" applyProtection="1">
      <alignment/>
      <protection/>
    </xf>
    <xf numFmtId="2" fontId="6" fillId="48" borderId="9" xfId="0" applyNumberFormat="1" applyFont="1" applyFill="1" applyBorder="1" applyAlignment="1" applyProtection="1">
      <alignment horizontal="right"/>
      <protection locked="0"/>
    </xf>
    <xf numFmtId="37" fontId="10" fillId="0" borderId="0" xfId="0" applyNumberFormat="1" applyFont="1" applyAlignment="1" applyProtection="1">
      <alignment horizontal="center"/>
      <protection locked="0"/>
    </xf>
    <xf numFmtId="37" fontId="27" fillId="0" borderId="0" xfId="0" applyNumberFormat="1" applyFont="1" applyAlignment="1" applyProtection="1">
      <alignment horizontal="left"/>
      <protection/>
    </xf>
    <xf numFmtId="37" fontId="6" fillId="49" borderId="18" xfId="0" applyNumberFormat="1" applyFont="1" applyFill="1" applyBorder="1" applyAlignment="1">
      <alignment/>
    </xf>
    <xf numFmtId="0" fontId="45" fillId="0" borderId="19" xfId="51" applyNumberFormat="1" applyFont="1" applyFill="1" applyBorder="1" applyAlignment="1" applyProtection="1">
      <alignment/>
      <protection locked="0"/>
    </xf>
    <xf numFmtId="37" fontId="11" fillId="54" borderId="26" xfId="0" applyNumberFormat="1" applyFont="1" applyFill="1" applyBorder="1" applyAlignment="1">
      <alignment/>
    </xf>
    <xf numFmtId="37" fontId="10" fillId="52" borderId="28" xfId="0" applyNumberFormat="1" applyFont="1" applyFill="1" applyBorder="1" applyAlignment="1">
      <alignment horizontal="right"/>
    </xf>
    <xf numFmtId="37" fontId="10" fillId="52" borderId="30" xfId="0" applyNumberFormat="1" applyFont="1" applyFill="1" applyBorder="1" applyAlignment="1">
      <alignment horizontal="left"/>
    </xf>
    <xf numFmtId="37" fontId="6" fillId="52" borderId="30" xfId="0" applyNumberFormat="1" applyFont="1" applyFill="1" applyBorder="1" applyAlignment="1">
      <alignment horizontal="left"/>
    </xf>
    <xf numFmtId="37" fontId="6" fillId="52" borderId="67" xfId="0" applyNumberFormat="1" applyFont="1" applyFill="1" applyBorder="1" applyAlignment="1">
      <alignment/>
    </xf>
    <xf numFmtId="37" fontId="6" fillId="52" borderId="29" xfId="0" applyNumberFormat="1" applyFont="1" applyFill="1" applyBorder="1" applyAlignment="1">
      <alignment horizontal="left"/>
    </xf>
    <xf numFmtId="37" fontId="10" fillId="52" borderId="37" xfId="0" applyNumberFormat="1" applyFont="1" applyFill="1" applyBorder="1" applyAlignment="1">
      <alignment/>
    </xf>
    <xf numFmtId="37" fontId="10" fillId="52" borderId="68" xfId="0" applyNumberFormat="1" applyFont="1" applyFill="1" applyBorder="1" applyAlignment="1" applyProtection="1">
      <alignment/>
      <protection/>
    </xf>
    <xf numFmtId="37" fontId="10" fillId="52" borderId="37" xfId="0" applyNumberFormat="1" applyFont="1" applyFill="1" applyBorder="1" applyAlignment="1">
      <alignment horizontal="right"/>
    </xf>
    <xf numFmtId="37" fontId="44" fillId="52" borderId="24" xfId="0" applyNumberFormat="1" applyFont="1" applyFill="1" applyBorder="1" applyAlignment="1">
      <alignment/>
    </xf>
    <xf numFmtId="37" fontId="6" fillId="52" borderId="25" xfId="0" applyNumberFormat="1" applyFont="1" applyFill="1" applyBorder="1" applyAlignment="1">
      <alignment/>
    </xf>
    <xf numFmtId="37" fontId="6" fillId="29" borderId="30" xfId="0" applyNumberFormat="1" applyFont="1" applyFill="1" applyBorder="1" applyAlignment="1">
      <alignment/>
    </xf>
    <xf numFmtId="0" fontId="0" fillId="0" borderId="30" xfId="0" applyBorder="1" applyAlignment="1">
      <alignment vertical="top"/>
    </xf>
    <xf numFmtId="0" fontId="0" fillId="0" borderId="0" xfId="0" applyFont="1" applyBorder="1" applyAlignment="1">
      <alignment vertical="top"/>
    </xf>
    <xf numFmtId="0" fontId="0" fillId="0" borderId="0" xfId="0" applyBorder="1" applyAlignment="1">
      <alignment vertical="top"/>
    </xf>
    <xf numFmtId="0" fontId="5" fillId="0" borderId="30" xfId="0" applyFont="1" applyBorder="1" applyAlignment="1">
      <alignment vertical="top"/>
    </xf>
    <xf numFmtId="0" fontId="0" fillId="0" borderId="58" xfId="0" applyBorder="1" applyAlignment="1">
      <alignment vertical="top"/>
    </xf>
    <xf numFmtId="0" fontId="34" fillId="0" borderId="30" xfId="0" applyFont="1" applyFill="1" applyBorder="1" applyAlignment="1">
      <alignment vertical="top"/>
    </xf>
    <xf numFmtId="0" fontId="0" fillId="0" borderId="0" xfId="0" applyFill="1" applyBorder="1" applyAlignment="1">
      <alignment vertical="top"/>
    </xf>
    <xf numFmtId="0" fontId="6" fillId="0" borderId="0" xfId="0" applyFont="1" applyAlignment="1">
      <alignment vertical="top"/>
    </xf>
    <xf numFmtId="0" fontId="13" fillId="0" borderId="0" xfId="0" applyFont="1" applyAlignment="1">
      <alignment vertical="top"/>
    </xf>
    <xf numFmtId="0" fontId="10" fillId="0" borderId="0" xfId="0" applyFont="1" applyBorder="1" applyAlignment="1">
      <alignment horizontal="centerContinuous"/>
    </xf>
    <xf numFmtId="0" fontId="10" fillId="0" borderId="0" xfId="0" applyFont="1" applyBorder="1" applyAlignment="1">
      <alignment horizontal="centerContinuous" vertical="top"/>
    </xf>
    <xf numFmtId="0" fontId="10" fillId="0" borderId="0" xfId="0" applyFont="1" applyAlignment="1">
      <alignment vertical="top"/>
    </xf>
    <xf numFmtId="0" fontId="6" fillId="55" borderId="53" xfId="0" applyFont="1" applyFill="1" applyBorder="1" applyAlignment="1" applyProtection="1">
      <alignment vertical="top"/>
      <protection locked="0"/>
    </xf>
    <xf numFmtId="0" fontId="6" fillId="56" borderId="53" xfId="0" applyFont="1" applyFill="1" applyBorder="1" applyAlignment="1">
      <alignment vertical="top"/>
    </xf>
    <xf numFmtId="0" fontId="10" fillId="0" borderId="0" xfId="0" applyFont="1" applyAlignment="1">
      <alignment horizontal="left"/>
    </xf>
    <xf numFmtId="37" fontId="6" fillId="0" borderId="65" xfId="0" applyNumberFormat="1" applyFont="1" applyBorder="1" applyAlignment="1">
      <alignment vertical="top"/>
    </xf>
    <xf numFmtId="3" fontId="6" fillId="55" borderId="53" xfId="44" applyNumberFormat="1" applyFont="1" applyFill="1" applyBorder="1" applyAlignment="1" applyProtection="1">
      <alignment/>
      <protection locked="0"/>
    </xf>
    <xf numFmtId="0" fontId="10" fillId="0" borderId="0" xfId="0" applyFont="1" applyAlignment="1" applyProtection="1">
      <alignment vertical="top"/>
      <protection locked="0"/>
    </xf>
    <xf numFmtId="0" fontId="6" fillId="55" borderId="69" xfId="0" applyFont="1" applyFill="1" applyBorder="1" applyAlignment="1" applyProtection="1">
      <alignment vertical="top"/>
      <protection locked="0"/>
    </xf>
    <xf numFmtId="5" fontId="6" fillId="55" borderId="53" xfId="0" applyNumberFormat="1" applyFont="1" applyFill="1" applyBorder="1" applyAlignment="1" applyProtection="1">
      <alignment vertical="top"/>
      <protection locked="0"/>
    </xf>
    <xf numFmtId="203" fontId="6" fillId="0" borderId="0" xfId="0" applyNumberFormat="1" applyFont="1" applyAlignment="1">
      <alignment vertical="top"/>
    </xf>
    <xf numFmtId="5" fontId="6" fillId="57" borderId="0" xfId="50" applyNumberFormat="1" applyFont="1" applyFill="1" applyAlignment="1" applyProtection="1">
      <alignment/>
      <protection hidden="1"/>
    </xf>
    <xf numFmtId="0" fontId="6" fillId="0" borderId="0" xfId="0" applyFont="1" applyAlignment="1" applyProtection="1">
      <alignment vertical="top"/>
      <protection hidden="1"/>
    </xf>
    <xf numFmtId="5" fontId="6" fillId="0" borderId="0" xfId="50" applyNumberFormat="1" applyFont="1" applyAlignment="1" applyProtection="1">
      <alignment/>
      <protection hidden="1"/>
    </xf>
    <xf numFmtId="0" fontId="6" fillId="0" borderId="0" xfId="0" applyFont="1" applyAlignment="1" quotePrefix="1">
      <alignment vertical="top"/>
    </xf>
    <xf numFmtId="0" fontId="6" fillId="0" borderId="0" xfId="0" applyFont="1" applyAlignment="1">
      <alignment horizontal="left"/>
    </xf>
    <xf numFmtId="5" fontId="13" fillId="57" borderId="0" xfId="50" applyNumberFormat="1" applyFont="1" applyFill="1" applyAlignment="1" applyProtection="1">
      <alignment/>
      <protection hidden="1"/>
    </xf>
    <xf numFmtId="5" fontId="6" fillId="0" borderId="0" xfId="50" applyNumberFormat="1" applyFont="1" applyBorder="1" applyAlignment="1" applyProtection="1">
      <alignment/>
      <protection hidden="1"/>
    </xf>
    <xf numFmtId="0" fontId="13" fillId="0" borderId="0" xfId="0" applyFont="1" applyBorder="1" applyAlignment="1">
      <alignment vertical="top"/>
    </xf>
    <xf numFmtId="0" fontId="6" fillId="0" borderId="0" xfId="0" applyFont="1" applyBorder="1" applyAlignment="1">
      <alignment horizontal="center"/>
    </xf>
    <xf numFmtId="0" fontId="63" fillId="0" borderId="0" xfId="0" applyFont="1" applyBorder="1" applyAlignment="1">
      <alignment vertical="top"/>
    </xf>
    <xf numFmtId="0" fontId="6" fillId="56" borderId="0" xfId="0" applyFont="1" applyFill="1" applyBorder="1" applyAlignment="1">
      <alignment vertical="top"/>
    </xf>
    <xf numFmtId="192" fontId="6" fillId="58" borderId="0" xfId="0" applyNumberFormat="1" applyFont="1" applyFill="1" applyAlignment="1" applyProtection="1">
      <alignment vertical="top"/>
      <protection locked="0"/>
    </xf>
    <xf numFmtId="192" fontId="6" fillId="46" borderId="0" xfId="0" applyNumberFormat="1" applyFont="1" applyFill="1" applyAlignment="1" applyProtection="1">
      <alignment vertical="top"/>
      <protection locked="0"/>
    </xf>
    <xf numFmtId="0" fontId="6" fillId="46" borderId="0" xfId="0" applyFont="1" applyFill="1" applyAlignment="1" applyProtection="1">
      <alignment vertical="top"/>
      <protection locked="0"/>
    </xf>
    <xf numFmtId="0" fontId="6" fillId="0" borderId="0" xfId="0" applyFont="1" applyBorder="1" applyAlignment="1" applyProtection="1">
      <alignment horizontal="center"/>
      <protection hidden="1"/>
    </xf>
    <xf numFmtId="5" fontId="6" fillId="0" borderId="0" xfId="50" applyNumberFormat="1" applyFont="1" applyFill="1" applyAlignment="1">
      <alignment/>
    </xf>
    <xf numFmtId="0" fontId="63" fillId="0" borderId="0" xfId="0" applyFont="1" applyAlignment="1">
      <alignment vertical="top"/>
    </xf>
    <xf numFmtId="0" fontId="6" fillId="0" borderId="0" xfId="0" applyFont="1" applyAlignment="1" applyProtection="1">
      <alignment vertical="top"/>
      <protection locked="0"/>
    </xf>
    <xf numFmtId="0" fontId="6" fillId="58" borderId="0" xfId="0" applyFont="1" applyFill="1" applyAlignment="1" applyProtection="1">
      <alignment vertical="top"/>
      <protection locked="0"/>
    </xf>
    <xf numFmtId="5" fontId="6" fillId="0" borderId="0" xfId="50" applyNumberFormat="1" applyFont="1" applyAlignment="1">
      <alignment/>
    </xf>
    <xf numFmtId="3" fontId="6" fillId="0" borderId="0" xfId="0" applyNumberFormat="1" applyFont="1" applyAlignment="1">
      <alignment/>
    </xf>
    <xf numFmtId="0" fontId="6" fillId="0" borderId="0" xfId="0" applyFont="1" applyAlignment="1">
      <alignment horizontal="centerContinuous" vertical="top"/>
    </xf>
    <xf numFmtId="3" fontId="6" fillId="0" borderId="0" xfId="0" applyNumberFormat="1" applyFont="1" applyAlignment="1">
      <alignment horizontal="centerContinuous"/>
    </xf>
    <xf numFmtId="0" fontId="64" fillId="0" borderId="0" xfId="0" applyFont="1" applyAlignment="1">
      <alignment horizontal="center" vertical="top"/>
    </xf>
    <xf numFmtId="0" fontId="64" fillId="0" borderId="0" xfId="0" applyFont="1" applyAlignment="1">
      <alignment vertical="top"/>
    </xf>
    <xf numFmtId="37" fontId="6" fillId="0" borderId="0" xfId="0" applyNumberFormat="1" applyFont="1" applyAlignment="1">
      <alignment horizontal="center" vertical="top"/>
    </xf>
    <xf numFmtId="5" fontId="6" fillId="0" borderId="0" xfId="0" applyNumberFormat="1" applyFont="1" applyAlignment="1">
      <alignment vertical="top"/>
    </xf>
    <xf numFmtId="5" fontId="6" fillId="0" borderId="0" xfId="0" applyNumberFormat="1" applyFont="1" applyAlignment="1">
      <alignment vertical="top"/>
    </xf>
    <xf numFmtId="37" fontId="13" fillId="29" borderId="0" xfId="0" applyNumberFormat="1" applyFont="1" applyFill="1" applyAlignment="1">
      <alignment/>
    </xf>
    <xf numFmtId="37" fontId="6" fillId="48" borderId="17" xfId="0" applyNumberFormat="1" applyFont="1" applyFill="1" applyBorder="1" applyAlignment="1" applyProtection="1">
      <alignment horizontal="left"/>
      <protection locked="0"/>
    </xf>
    <xf numFmtId="3" fontId="6" fillId="49" borderId="17" xfId="0" applyNumberFormat="1" applyFont="1" applyFill="1" applyBorder="1" applyAlignment="1" applyProtection="1">
      <alignment horizontal="left"/>
      <protection locked="0"/>
    </xf>
    <xf numFmtId="3" fontId="6" fillId="49" borderId="17" xfId="0" applyNumberFormat="1" applyFont="1" applyFill="1" applyBorder="1" applyAlignment="1" applyProtection="1">
      <alignment/>
      <protection locked="0"/>
    </xf>
    <xf numFmtId="37" fontId="6" fillId="48" borderId="11" xfId="0" applyNumberFormat="1" applyFont="1" applyFill="1" applyBorder="1" applyAlignment="1" applyProtection="1">
      <alignment horizontal="left"/>
      <protection locked="0"/>
    </xf>
    <xf numFmtId="3" fontId="6" fillId="49" borderId="11" xfId="0" applyNumberFormat="1" applyFont="1" applyFill="1" applyBorder="1" applyAlignment="1" applyProtection="1">
      <alignment horizontal="left"/>
      <protection locked="0"/>
    </xf>
    <xf numFmtId="3" fontId="6" fillId="49" borderId="11" xfId="0" applyNumberFormat="1" applyFont="1" applyFill="1" applyBorder="1" applyAlignment="1" applyProtection="1">
      <alignment/>
      <protection locked="0"/>
    </xf>
    <xf numFmtId="0" fontId="0" fillId="0" borderId="18" xfId="0" applyBorder="1" applyAlignment="1">
      <alignment vertical="top"/>
    </xf>
    <xf numFmtId="37" fontId="10" fillId="29" borderId="0" xfId="0" applyNumberFormat="1" applyFont="1" applyFill="1" applyBorder="1" applyAlignment="1">
      <alignment horizontal="right"/>
    </xf>
    <xf numFmtId="37" fontId="6" fillId="49" borderId="45" xfId="0" applyNumberFormat="1" applyFont="1" applyFill="1" applyBorder="1" applyAlignment="1">
      <alignment horizontal="left"/>
    </xf>
    <xf numFmtId="37" fontId="10" fillId="43" borderId="0" xfId="0" applyNumberFormat="1" applyFont="1" applyFill="1" applyBorder="1" applyAlignment="1" applyProtection="1">
      <alignment horizontal="left"/>
      <protection locked="0"/>
    </xf>
    <xf numFmtId="37" fontId="11" fillId="29" borderId="0" xfId="0" applyNumberFormat="1" applyFont="1" applyFill="1" applyBorder="1" applyAlignment="1">
      <alignment/>
    </xf>
    <xf numFmtId="182" fontId="6" fillId="49" borderId="45" xfId="0" applyNumberFormat="1" applyFont="1" applyFill="1" applyBorder="1" applyAlignment="1" applyProtection="1">
      <alignment/>
      <protection locked="0"/>
    </xf>
    <xf numFmtId="39" fontId="6" fillId="49" borderId="19" xfId="0" applyNumberFormat="1" applyFont="1" applyFill="1" applyBorder="1" applyAlignment="1" applyProtection="1">
      <alignment/>
      <protection locked="0"/>
    </xf>
    <xf numFmtId="37" fontId="6" fillId="0" borderId="19" xfId="0" applyNumberFormat="1" applyFont="1" applyBorder="1" applyAlignment="1">
      <alignment/>
    </xf>
    <xf numFmtId="37" fontId="10" fillId="0" borderId="0" xfId="0" applyNumberFormat="1" applyFont="1" applyAlignment="1" applyProtection="1">
      <alignment horizontal="left"/>
      <protection locked="0"/>
    </xf>
    <xf numFmtId="37" fontId="6" fillId="0" borderId="23" xfId="0" applyNumberFormat="1" applyFont="1" applyFill="1" applyBorder="1" applyAlignment="1" applyProtection="1">
      <alignment horizontal="center"/>
      <protection locked="0"/>
    </xf>
    <xf numFmtId="37" fontId="6" fillId="0" borderId="0" xfId="0" applyNumberFormat="1" applyFont="1" applyBorder="1" applyAlignment="1">
      <alignment horizontal="center"/>
    </xf>
    <xf numFmtId="37" fontId="6" fillId="43" borderId="18" xfId="0" applyNumberFormat="1" applyFont="1" applyFill="1" applyBorder="1" applyAlignment="1" applyProtection="1">
      <alignment/>
      <protection/>
    </xf>
    <xf numFmtId="37" fontId="6" fillId="0" borderId="66" xfId="0" applyNumberFormat="1" applyFont="1" applyBorder="1" applyAlignment="1">
      <alignment/>
    </xf>
    <xf numFmtId="37" fontId="6" fillId="0" borderId="61" xfId="0" applyNumberFormat="1" applyFont="1" applyBorder="1" applyAlignment="1">
      <alignment/>
    </xf>
    <xf numFmtId="37" fontId="6" fillId="49" borderId="64" xfId="0" applyNumberFormat="1" applyFont="1" applyFill="1" applyBorder="1" applyAlignment="1" applyProtection="1">
      <alignment/>
      <protection locked="0"/>
    </xf>
    <xf numFmtId="39" fontId="6" fillId="0" borderId="0" xfId="0" applyNumberFormat="1" applyFont="1" applyAlignment="1">
      <alignment horizontal="right"/>
    </xf>
    <xf numFmtId="37" fontId="6" fillId="0" borderId="70" xfId="0" applyNumberFormat="1" applyFont="1" applyBorder="1" applyAlignment="1">
      <alignment/>
    </xf>
    <xf numFmtId="201" fontId="68" fillId="50" borderId="71" xfId="71" applyNumberFormat="1" applyFont="1" applyFill="1" applyBorder="1" applyAlignment="1" applyProtection="1">
      <alignment horizontal="center"/>
      <protection locked="0"/>
    </xf>
    <xf numFmtId="0" fontId="68" fillId="50" borderId="72" xfId="71" applyFont="1" applyFill="1" applyBorder="1" applyAlignment="1" applyProtection="1">
      <alignment horizontal="center"/>
      <protection locked="0"/>
    </xf>
    <xf numFmtId="0" fontId="68" fillId="50" borderId="26" xfId="71" applyFont="1" applyFill="1" applyBorder="1" applyAlignment="1" applyProtection="1">
      <alignment horizontal="center"/>
      <protection locked="0"/>
    </xf>
    <xf numFmtId="201" fontId="68" fillId="50" borderId="26" xfId="71" applyNumberFormat="1" applyFont="1" applyFill="1" applyBorder="1" applyAlignment="1" applyProtection="1">
      <alignment horizontal="center"/>
      <protection locked="0"/>
    </xf>
    <xf numFmtId="192" fontId="30" fillId="0" borderId="0" xfId="0" applyNumberFormat="1" applyFont="1" applyAlignment="1" applyProtection="1">
      <alignment vertical="top"/>
      <protection/>
    </xf>
    <xf numFmtId="37" fontId="6" fillId="0" borderId="11" xfId="0" applyNumberFormat="1" applyFont="1" applyFill="1" applyBorder="1" applyAlignment="1" applyProtection="1">
      <alignment/>
      <protection/>
    </xf>
    <xf numFmtId="37" fontId="6" fillId="0" borderId="28" xfId="0" applyNumberFormat="1" applyFont="1" applyBorder="1" applyAlignment="1">
      <alignment/>
    </xf>
    <xf numFmtId="5" fontId="6" fillId="0" borderId="73" xfId="0" applyNumberFormat="1" applyFont="1" applyFill="1" applyBorder="1" applyAlignment="1">
      <alignment/>
    </xf>
    <xf numFmtId="37" fontId="6" fillId="0" borderId="8" xfId="0" applyNumberFormat="1" applyFont="1" applyFill="1" applyBorder="1" applyAlignment="1" applyProtection="1">
      <alignment/>
      <protection/>
    </xf>
    <xf numFmtId="37" fontId="6" fillId="50" borderId="42" xfId="0" applyNumberFormat="1" applyFont="1" applyFill="1" applyBorder="1" applyAlignment="1" applyProtection="1">
      <alignment horizontal="center"/>
      <protection locked="0"/>
    </xf>
    <xf numFmtId="37" fontId="6" fillId="50" borderId="35" xfId="0" applyNumberFormat="1" applyFont="1" applyFill="1" applyBorder="1" applyAlignment="1" applyProtection="1">
      <alignment horizontal="center"/>
      <protection locked="0"/>
    </xf>
    <xf numFmtId="5" fontId="6" fillId="49" borderId="74" xfId="0" applyNumberFormat="1" applyFont="1" applyFill="1" applyBorder="1" applyAlignment="1" applyProtection="1">
      <alignment/>
      <protection locked="0"/>
    </xf>
    <xf numFmtId="192" fontId="10" fillId="0" borderId="8" xfId="84" applyNumberFormat="1" applyFont="1" applyFill="1" applyProtection="1">
      <alignment horizontal="right"/>
      <protection/>
    </xf>
    <xf numFmtId="37" fontId="6" fillId="49" borderId="36" xfId="0" applyNumberFormat="1" applyFont="1" applyFill="1" applyBorder="1" applyAlignment="1" applyProtection="1">
      <alignment horizontal="center"/>
      <protection locked="0"/>
    </xf>
    <xf numFmtId="0" fontId="10" fillId="0" borderId="0" xfId="0" applyFont="1" applyAlignment="1">
      <alignment horizontal="right" vertical="top"/>
    </xf>
    <xf numFmtId="3" fontId="31" fillId="0" borderId="0" xfId="0" applyNumberFormat="1" applyFont="1" applyFill="1" applyAlignment="1">
      <alignment/>
    </xf>
    <xf numFmtId="3" fontId="70" fillId="0" borderId="0" xfId="0" applyNumberFormat="1" applyFont="1" applyFill="1" applyAlignment="1">
      <alignment/>
    </xf>
    <xf numFmtId="0" fontId="31" fillId="0" borderId="0" xfId="0" applyFont="1" applyFill="1" applyAlignment="1" applyProtection="1">
      <alignment vertical="top"/>
      <protection locked="0"/>
    </xf>
    <xf numFmtId="0" fontId="6" fillId="0" borderId="0" xfId="0" applyFont="1" applyFill="1" applyAlignment="1" applyProtection="1">
      <alignment vertical="top"/>
      <protection locked="0"/>
    </xf>
    <xf numFmtId="0" fontId="6" fillId="0" borderId="0" xfId="0" applyFont="1" applyFill="1" applyAlignment="1">
      <alignment vertical="top"/>
    </xf>
    <xf numFmtId="5" fontId="6" fillId="0" borderId="0" xfId="50" applyNumberFormat="1" applyFont="1" applyFill="1" applyAlignment="1" applyProtection="1">
      <alignment/>
      <protection hidden="1"/>
    </xf>
    <xf numFmtId="0" fontId="6" fillId="0" borderId="0" xfId="0" applyFont="1" applyFill="1" applyAlignment="1" quotePrefix="1">
      <alignment vertical="top"/>
    </xf>
    <xf numFmtId="0" fontId="0" fillId="0" borderId="0" xfId="0" applyFill="1" applyAlignment="1">
      <alignment vertical="top"/>
    </xf>
    <xf numFmtId="5" fontId="7" fillId="0" borderId="0" xfId="50" applyNumberFormat="1" applyFont="1" applyAlignment="1" applyProtection="1">
      <alignment/>
      <protection hidden="1"/>
    </xf>
    <xf numFmtId="0" fontId="7" fillId="0" borderId="0" xfId="0" applyFont="1" applyAlignment="1">
      <alignment vertical="top"/>
    </xf>
    <xf numFmtId="5" fontId="7" fillId="0" borderId="0" xfId="50" applyNumberFormat="1" applyFont="1" applyAlignment="1">
      <alignment/>
    </xf>
    <xf numFmtId="3" fontId="31" fillId="0" borderId="0" xfId="0" applyNumberFormat="1" applyFont="1" applyAlignment="1">
      <alignment/>
    </xf>
    <xf numFmtId="10" fontId="0" fillId="0" borderId="0" xfId="0" applyNumberFormat="1" applyFill="1" applyBorder="1" applyAlignment="1">
      <alignment/>
    </xf>
    <xf numFmtId="3" fontId="5" fillId="0" borderId="0" xfId="0" applyNumberFormat="1" applyFont="1" applyAlignment="1">
      <alignment/>
    </xf>
    <xf numFmtId="0" fontId="30" fillId="59" borderId="18" xfId="0" applyFont="1" applyFill="1" applyBorder="1" applyAlignment="1" applyProtection="1">
      <alignment vertical="top"/>
      <protection locked="0"/>
    </xf>
    <xf numFmtId="3" fontId="0" fillId="49" borderId="19" xfId="0" applyNumberFormat="1" applyFill="1" applyBorder="1" applyAlignment="1" applyProtection="1">
      <alignment/>
      <protection locked="0"/>
    </xf>
    <xf numFmtId="0" fontId="6" fillId="0" borderId="0" xfId="0" applyFont="1" applyFill="1" applyAlignment="1" applyProtection="1">
      <alignment vertical="top"/>
      <protection/>
    </xf>
    <xf numFmtId="37" fontId="6" fillId="50" borderId="8" xfId="0" applyNumberFormat="1" applyFont="1" applyFill="1" applyBorder="1" applyAlignment="1" applyProtection="1">
      <alignment/>
      <protection locked="0"/>
    </xf>
    <xf numFmtId="0" fontId="72" fillId="0" borderId="0" xfId="0" applyFont="1" applyBorder="1" applyAlignment="1">
      <alignment horizontal="left"/>
    </xf>
    <xf numFmtId="0" fontId="2" fillId="0" borderId="0" xfId="0" applyFont="1" applyBorder="1" applyAlignment="1">
      <alignment vertical="top"/>
    </xf>
    <xf numFmtId="0" fontId="2" fillId="0" borderId="58" xfId="0" applyFont="1" applyBorder="1" applyAlignment="1">
      <alignment vertical="top"/>
    </xf>
    <xf numFmtId="0" fontId="36" fillId="0" borderId="0" xfId="0" applyFont="1" applyBorder="1" applyAlignment="1">
      <alignment horizontal="right"/>
    </xf>
    <xf numFmtId="0" fontId="0" fillId="0" borderId="44" xfId="0" applyBorder="1" applyAlignment="1">
      <alignment vertical="top"/>
    </xf>
    <xf numFmtId="0" fontId="36" fillId="0" borderId="44" xfId="0" applyFont="1" applyBorder="1" applyAlignment="1">
      <alignment horizontal="right"/>
    </xf>
    <xf numFmtId="0" fontId="0" fillId="0" borderId="75" xfId="0" applyBorder="1" applyAlignment="1">
      <alignment vertical="top"/>
    </xf>
    <xf numFmtId="0" fontId="5" fillId="0" borderId="0" xfId="0" applyFont="1" applyBorder="1" applyAlignment="1">
      <alignment vertical="top"/>
    </xf>
    <xf numFmtId="0" fontId="36" fillId="0" borderId="0" xfId="0" applyFont="1" applyBorder="1" applyAlignment="1">
      <alignment vertical="top"/>
    </xf>
    <xf numFmtId="0" fontId="0" fillId="44" borderId="0" xfId="0" applyFill="1" applyBorder="1" applyAlignment="1" applyProtection="1">
      <alignment vertical="top"/>
      <protection locked="0"/>
    </xf>
    <xf numFmtId="8" fontId="7" fillId="0" borderId="45" xfId="0" applyNumberFormat="1" applyFont="1" applyBorder="1" applyAlignment="1">
      <alignment vertical="top"/>
    </xf>
    <xf numFmtId="8" fontId="7" fillId="44" borderId="75" xfId="0" applyNumberFormat="1" applyFont="1" applyFill="1" applyBorder="1" applyAlignment="1">
      <alignment vertical="top"/>
    </xf>
    <xf numFmtId="0" fontId="7" fillId="0" borderId="0" xfId="0" applyFont="1" applyBorder="1" applyAlignment="1">
      <alignment vertical="top"/>
    </xf>
    <xf numFmtId="0" fontId="62" fillId="0" borderId="0" xfId="0" applyFont="1" applyBorder="1" applyAlignment="1">
      <alignment horizontal="right"/>
    </xf>
    <xf numFmtId="201" fontId="36" fillId="0" borderId="75" xfId="0" applyNumberFormat="1" applyFont="1" applyBorder="1" applyAlignment="1">
      <alignment vertical="top"/>
    </xf>
    <xf numFmtId="0" fontId="38" fillId="0" borderId="0" xfId="0" applyFont="1" applyBorder="1" applyAlignment="1">
      <alignment vertical="top"/>
    </xf>
    <xf numFmtId="0" fontId="72" fillId="0" borderId="0" xfId="0" applyFont="1" applyBorder="1" applyAlignment="1">
      <alignment/>
    </xf>
    <xf numFmtId="0" fontId="0" fillId="0" borderId="0" xfId="0" applyBorder="1" applyAlignment="1">
      <alignment horizontal="centerContinuous"/>
    </xf>
    <xf numFmtId="0" fontId="72" fillId="0" borderId="0" xfId="0" applyFont="1" applyBorder="1" applyAlignment="1">
      <alignment horizontal="centerContinuous"/>
    </xf>
    <xf numFmtId="0" fontId="35" fillId="0" borderId="0" xfId="0" applyFont="1" applyBorder="1" applyAlignment="1">
      <alignment horizontal="left"/>
    </xf>
    <xf numFmtId="0" fontId="75" fillId="50" borderId="76" xfId="0" applyFont="1" applyFill="1" applyBorder="1" applyAlignment="1" applyProtection="1">
      <alignment vertical="top"/>
      <protection locked="0"/>
    </xf>
    <xf numFmtId="0" fontId="0" fillId="44" borderId="0" xfId="0" applyFill="1" applyBorder="1" applyAlignment="1">
      <alignment horizontal="center"/>
    </xf>
    <xf numFmtId="0" fontId="0" fillId="44" borderId="0" xfId="0" applyFill="1" applyBorder="1" applyAlignment="1">
      <alignment vertical="top"/>
    </xf>
    <xf numFmtId="0" fontId="36" fillId="0" borderId="24" xfId="0" applyFont="1" applyBorder="1" applyAlignment="1">
      <alignment horizontal="left"/>
    </xf>
    <xf numFmtId="0" fontId="0" fillId="0" borderId="19" xfId="0" applyBorder="1" applyAlignment="1">
      <alignment vertical="top"/>
    </xf>
    <xf numFmtId="0" fontId="36" fillId="0" borderId="0" xfId="0" applyFont="1" applyBorder="1" applyAlignment="1">
      <alignment horizontal="left"/>
    </xf>
    <xf numFmtId="7" fontId="0" fillId="0" borderId="0" xfId="0" applyNumberFormat="1" applyBorder="1" applyAlignment="1">
      <alignment vertical="top"/>
    </xf>
    <xf numFmtId="0" fontId="72" fillId="0" borderId="77" xfId="0" applyFont="1" applyBorder="1" applyAlignment="1">
      <alignment horizontal="left"/>
    </xf>
    <xf numFmtId="0" fontId="0" fillId="0" borderId="78" xfId="0" applyBorder="1" applyAlignment="1">
      <alignment vertical="top"/>
    </xf>
    <xf numFmtId="0" fontId="0" fillId="50" borderId="76" xfId="0" applyFill="1" applyBorder="1" applyAlignment="1" applyProtection="1">
      <alignment vertical="top"/>
      <protection locked="0"/>
    </xf>
    <xf numFmtId="0" fontId="0" fillId="0" borderId="75" xfId="0" applyFill="1" applyBorder="1" applyAlignment="1" applyProtection="1">
      <alignment vertical="top"/>
      <protection locked="0"/>
    </xf>
    <xf numFmtId="8" fontId="7" fillId="0" borderId="79" xfId="0" applyNumberFormat="1" applyFont="1" applyFill="1" applyBorder="1" applyAlignment="1">
      <alignment vertical="top"/>
    </xf>
    <xf numFmtId="0" fontId="34" fillId="0" borderId="65" xfId="0" applyFont="1" applyBorder="1" applyAlignment="1">
      <alignment vertical="top"/>
    </xf>
    <xf numFmtId="0" fontId="0" fillId="0" borderId="65" xfId="0" applyBorder="1" applyAlignment="1">
      <alignment vertical="top"/>
    </xf>
    <xf numFmtId="0" fontId="2" fillId="0" borderId="65" xfId="0" applyFont="1" applyBorder="1" applyAlignment="1">
      <alignment vertical="top"/>
    </xf>
    <xf numFmtId="8" fontId="0" fillId="0" borderId="65" xfId="0" applyNumberFormat="1" applyBorder="1" applyAlignment="1">
      <alignment vertical="top"/>
    </xf>
    <xf numFmtId="0" fontId="77" fillId="44" borderId="0" xfId="0" applyFont="1" applyFill="1" applyBorder="1" applyAlignment="1" applyProtection="1">
      <alignment vertical="top"/>
      <protection locked="0"/>
    </xf>
    <xf numFmtId="0" fontId="75" fillId="0" borderId="18" xfId="0" applyFont="1" applyBorder="1" applyAlignment="1">
      <alignment vertical="top"/>
    </xf>
    <xf numFmtId="0" fontId="36" fillId="0" borderId="0" xfId="0" applyFont="1" applyAlignment="1">
      <alignment vertical="top"/>
    </xf>
    <xf numFmtId="39" fontId="0" fillId="0" borderId="0" xfId="0" applyNumberFormat="1" applyBorder="1" applyAlignment="1">
      <alignment vertical="top"/>
    </xf>
    <xf numFmtId="0" fontId="38" fillId="0" borderId="26" xfId="0" applyFont="1" applyBorder="1" applyAlignment="1">
      <alignment horizontal="left"/>
    </xf>
    <xf numFmtId="0" fontId="38" fillId="0" borderId="28" xfId="0" applyFont="1" applyBorder="1" applyAlignment="1">
      <alignment horizontal="left"/>
    </xf>
    <xf numFmtId="0" fontId="72" fillId="0" borderId="28" xfId="0" applyFont="1" applyBorder="1" applyAlignment="1">
      <alignment horizontal="left"/>
    </xf>
    <xf numFmtId="0" fontId="2" fillId="0" borderId="28" xfId="0" applyFont="1" applyBorder="1" applyAlignment="1">
      <alignment horizontal="left"/>
    </xf>
    <xf numFmtId="0" fontId="73" fillId="0" borderId="28" xfId="0" applyFont="1" applyBorder="1" applyAlignment="1">
      <alignment horizontal="left"/>
    </xf>
    <xf numFmtId="0" fontId="73" fillId="0" borderId="57" xfId="0" applyFont="1" applyBorder="1" applyAlignment="1">
      <alignment horizontal="left"/>
    </xf>
    <xf numFmtId="0" fontId="0" fillId="0" borderId="80" xfId="0" applyBorder="1" applyAlignment="1">
      <alignment vertical="top"/>
    </xf>
    <xf numFmtId="0" fontId="36" fillId="44" borderId="30" xfId="0" applyFont="1" applyFill="1" applyBorder="1" applyAlignment="1" applyProtection="1">
      <alignment vertical="top"/>
      <protection locked="0"/>
    </xf>
    <xf numFmtId="0" fontId="62" fillId="0" borderId="30" xfId="0" applyFont="1" applyBorder="1" applyAlignment="1">
      <alignment vertical="top"/>
    </xf>
    <xf numFmtId="0" fontId="34" fillId="0" borderId="30" xfId="0" applyFont="1" applyBorder="1" applyAlignment="1">
      <alignment vertical="top"/>
    </xf>
    <xf numFmtId="0" fontId="72" fillId="0" borderId="58" xfId="0" applyFont="1" applyBorder="1" applyAlignment="1">
      <alignment horizontal="center"/>
    </xf>
    <xf numFmtId="0" fontId="36" fillId="0" borderId="30" xfId="0" applyFont="1" applyBorder="1" applyAlignment="1">
      <alignment horizontal="right"/>
    </xf>
    <xf numFmtId="0" fontId="5" fillId="0" borderId="30" xfId="0" applyFont="1" applyBorder="1" applyAlignment="1">
      <alignment horizontal="left"/>
    </xf>
    <xf numFmtId="0" fontId="36" fillId="0" borderId="30" xfId="0" applyFont="1" applyBorder="1" applyAlignment="1">
      <alignment vertical="top"/>
    </xf>
    <xf numFmtId="0" fontId="34" fillId="0" borderId="81" xfId="0" applyFont="1" applyBorder="1" applyAlignment="1">
      <alignment vertical="top"/>
    </xf>
    <xf numFmtId="0" fontId="0" fillId="0" borderId="82" xfId="0" applyBorder="1" applyAlignment="1">
      <alignment vertical="top"/>
    </xf>
    <xf numFmtId="0" fontId="7" fillId="0" borderId="30" xfId="0" applyFont="1" applyBorder="1" applyAlignment="1">
      <alignment horizontal="right"/>
    </xf>
    <xf numFmtId="0" fontId="36" fillId="0" borderId="29" xfId="0" applyFont="1" applyBorder="1" applyAlignment="1">
      <alignment vertical="top"/>
    </xf>
    <xf numFmtId="0" fontId="36" fillId="0" borderId="30" xfId="0" applyFont="1" applyBorder="1" applyAlignment="1">
      <alignment horizontal="right" vertical="top"/>
    </xf>
    <xf numFmtId="0" fontId="0" fillId="44" borderId="83" xfId="0" applyFill="1" applyBorder="1" applyAlignment="1" applyProtection="1">
      <alignment vertical="top"/>
      <protection locked="0"/>
    </xf>
    <xf numFmtId="0" fontId="34" fillId="0" borderId="30" xfId="0" applyFont="1" applyBorder="1" applyAlignment="1">
      <alignment horizontal="right" vertical="top"/>
    </xf>
    <xf numFmtId="0" fontId="0" fillId="44" borderId="65" xfId="0" applyFill="1" applyBorder="1" applyAlignment="1" applyProtection="1">
      <alignment vertical="top"/>
      <protection/>
    </xf>
    <xf numFmtId="0" fontId="0" fillId="44" borderId="65" xfId="0" applyFill="1" applyBorder="1" applyAlignment="1">
      <alignment vertical="top"/>
    </xf>
    <xf numFmtId="8" fontId="36" fillId="44" borderId="79" xfId="0" applyNumberFormat="1" applyFont="1" applyFill="1" applyBorder="1" applyAlignment="1" applyProtection="1">
      <alignment vertical="top"/>
      <protection/>
    </xf>
    <xf numFmtId="7" fontId="76" fillId="0" borderId="33" xfId="0" applyNumberFormat="1" applyFont="1" applyBorder="1" applyAlignment="1">
      <alignment vertical="top"/>
    </xf>
    <xf numFmtId="0" fontId="0" fillId="0" borderId="84" xfId="0" applyBorder="1" applyAlignment="1">
      <alignment vertical="top"/>
    </xf>
    <xf numFmtId="0" fontId="36" fillId="0" borderId="0" xfId="0" applyFont="1" applyFill="1" applyBorder="1" applyAlignment="1">
      <alignment vertical="top"/>
    </xf>
    <xf numFmtId="0" fontId="7" fillId="44" borderId="85" xfId="0" applyFont="1" applyFill="1" applyBorder="1" applyAlignment="1" applyProtection="1">
      <alignment horizontal="right"/>
      <protection locked="0"/>
    </xf>
    <xf numFmtId="7" fontId="36" fillId="0" borderId="45" xfId="0" applyNumberFormat="1" applyFont="1" applyBorder="1" applyAlignment="1">
      <alignment vertical="top"/>
    </xf>
    <xf numFmtId="0" fontId="0" fillId="0" borderId="24" xfId="0" applyFill="1" applyBorder="1" applyAlignment="1">
      <alignment vertical="top"/>
    </xf>
    <xf numFmtId="0" fontId="0" fillId="0" borderId="19" xfId="0" applyFill="1" applyBorder="1" applyAlignment="1">
      <alignment vertical="top"/>
    </xf>
    <xf numFmtId="0" fontId="36" fillId="0" borderId="25" xfId="0" applyFont="1" applyFill="1" applyBorder="1" applyAlignment="1">
      <alignment horizontal="right"/>
    </xf>
    <xf numFmtId="7" fontId="36" fillId="0" borderId="86" xfId="0" applyNumberFormat="1" applyFont="1" applyBorder="1" applyAlignment="1">
      <alignment vertical="top"/>
    </xf>
    <xf numFmtId="0" fontId="78" fillId="0" borderId="30" xfId="0" applyFont="1" applyBorder="1" applyAlignment="1">
      <alignment horizontal="center"/>
    </xf>
    <xf numFmtId="0" fontId="80" fillId="0" borderId="0" xfId="0" applyFont="1" applyBorder="1" applyAlignment="1">
      <alignment vertical="top"/>
    </xf>
    <xf numFmtId="0" fontId="7" fillId="44" borderId="76" xfId="0" applyFont="1" applyFill="1" applyBorder="1" applyAlignment="1" applyProtection="1">
      <alignment vertical="top"/>
      <protection locked="0"/>
    </xf>
    <xf numFmtId="0" fontId="7" fillId="50" borderId="76" xfId="0" applyFont="1" applyFill="1" applyBorder="1" applyAlignment="1" applyProtection="1">
      <alignment vertical="top"/>
      <protection locked="0"/>
    </xf>
    <xf numFmtId="0" fontId="7" fillId="0" borderId="75" xfId="0" applyFont="1" applyBorder="1" applyAlignment="1">
      <alignment vertical="top"/>
    </xf>
    <xf numFmtId="0" fontId="7" fillId="0" borderId="44" xfId="0" applyFont="1" applyBorder="1" applyAlignment="1">
      <alignment vertical="top"/>
    </xf>
    <xf numFmtId="0" fontId="7" fillId="50" borderId="75" xfId="0" applyFont="1" applyFill="1" applyBorder="1" applyAlignment="1" applyProtection="1">
      <alignment vertical="top"/>
      <protection locked="0"/>
    </xf>
    <xf numFmtId="4" fontId="7" fillId="50" borderId="79" xfId="0" applyNumberFormat="1" applyFont="1" applyFill="1" applyBorder="1" applyAlignment="1" applyProtection="1">
      <alignment vertical="top"/>
      <protection locked="0"/>
    </xf>
    <xf numFmtId="0" fontId="81" fillId="0" borderId="0" xfId="0" applyFont="1" applyBorder="1" applyAlignment="1">
      <alignment horizontal="centerContinuous" vertical="top"/>
    </xf>
    <xf numFmtId="0" fontId="79" fillId="0" borderId="0" xfId="0" applyFont="1" applyBorder="1" applyAlignment="1">
      <alignment horizontal="centerContinuous" vertical="top"/>
    </xf>
    <xf numFmtId="0" fontId="36" fillId="0" borderId="58" xfId="0" applyFont="1" applyBorder="1" applyAlignment="1">
      <alignment vertical="top"/>
    </xf>
    <xf numFmtId="4" fontId="7" fillId="50" borderId="87" xfId="0" applyNumberFormat="1" applyFont="1" applyFill="1" applyBorder="1" applyAlignment="1" applyProtection="1">
      <alignment vertical="top"/>
      <protection locked="0"/>
    </xf>
    <xf numFmtId="0" fontId="34" fillId="0" borderId="88" xfId="0" applyFont="1" applyBorder="1" applyAlignment="1">
      <alignment vertical="top"/>
    </xf>
    <xf numFmtId="0" fontId="7" fillId="0" borderId="89" xfId="0" applyFont="1" applyBorder="1" applyAlignment="1">
      <alignment vertical="top"/>
    </xf>
    <xf numFmtId="0" fontId="0" fillId="0" borderId="89" xfId="0" applyBorder="1" applyAlignment="1">
      <alignment vertical="top"/>
    </xf>
    <xf numFmtId="0" fontId="0" fillId="0" borderId="90" xfId="0" applyBorder="1" applyAlignment="1">
      <alignment vertical="top"/>
    </xf>
    <xf numFmtId="0" fontId="7" fillId="44" borderId="0" xfId="0" applyFont="1" applyFill="1" applyBorder="1" applyAlignment="1" applyProtection="1">
      <alignment horizontal="center"/>
      <protection locked="0"/>
    </xf>
    <xf numFmtId="4" fontId="7" fillId="50" borderId="79" xfId="0" applyNumberFormat="1" applyFont="1" applyFill="1" applyBorder="1" applyAlignment="1" applyProtection="1">
      <alignment/>
      <protection locked="0"/>
    </xf>
    <xf numFmtId="0" fontId="7" fillId="50" borderId="91" xfId="0" applyFont="1" applyFill="1" applyBorder="1" applyAlignment="1" applyProtection="1">
      <alignment vertical="top"/>
      <protection locked="0"/>
    </xf>
    <xf numFmtId="0" fontId="36" fillId="0" borderId="88" xfId="0" applyFont="1" applyBorder="1" applyAlignment="1">
      <alignment vertical="top"/>
    </xf>
    <xf numFmtId="0" fontId="36" fillId="0" borderId="89" xfId="0" applyFont="1" applyBorder="1" applyAlignment="1">
      <alignment vertical="top"/>
    </xf>
    <xf numFmtId="0" fontId="36" fillId="0" borderId="89" xfId="0" applyFont="1" applyBorder="1" applyAlignment="1">
      <alignment horizontal="right"/>
    </xf>
    <xf numFmtId="7" fontId="36" fillId="0" borderId="89" xfId="0" applyNumberFormat="1" applyFont="1" applyBorder="1" applyAlignment="1">
      <alignment vertical="top"/>
    </xf>
    <xf numFmtId="0" fontId="7" fillId="0" borderId="0" xfId="0" applyFont="1" applyBorder="1" applyAlignment="1">
      <alignment horizontal="right"/>
    </xf>
    <xf numFmtId="0" fontId="72" fillId="0" borderId="30" xfId="0" applyFont="1" applyBorder="1" applyAlignment="1">
      <alignment horizontal="left" vertical="top"/>
    </xf>
    <xf numFmtId="3" fontId="30" fillId="59" borderId="44" xfId="0" applyNumberFormat="1" applyFont="1" applyFill="1" applyBorder="1" applyAlignment="1">
      <alignment vertical="top"/>
    </xf>
    <xf numFmtId="37" fontId="30" fillId="50" borderId="30" xfId="0" applyNumberFormat="1" applyFont="1" applyFill="1" applyBorder="1" applyAlignment="1" applyProtection="1">
      <alignment vertical="top"/>
      <protection locked="0"/>
    </xf>
    <xf numFmtId="8" fontId="5" fillId="0" borderId="0" xfId="0" applyNumberFormat="1" applyFont="1" applyAlignment="1">
      <alignment vertical="top"/>
    </xf>
    <xf numFmtId="1" fontId="30" fillId="59" borderId="92" xfId="0" applyNumberFormat="1" applyFont="1" applyFill="1" applyBorder="1" applyAlignment="1">
      <alignment vertical="top"/>
    </xf>
    <xf numFmtId="206" fontId="30" fillId="0" borderId="18" xfId="0" applyNumberFormat="1" applyFont="1" applyFill="1" applyBorder="1" applyAlignment="1" applyProtection="1">
      <alignment vertical="top"/>
      <protection/>
    </xf>
    <xf numFmtId="0" fontId="30" fillId="0" borderId="18" xfId="0" applyNumberFormat="1" applyFont="1" applyFill="1" applyBorder="1" applyAlignment="1" applyProtection="1">
      <alignment vertical="top"/>
      <protection/>
    </xf>
    <xf numFmtId="192" fontId="0" fillId="0" borderId="19" xfId="0" applyNumberFormat="1" applyFont="1" applyBorder="1" applyAlignment="1">
      <alignment/>
    </xf>
    <xf numFmtId="192" fontId="5" fillId="0" borderId="18" xfId="0" applyNumberFormat="1" applyFont="1" applyBorder="1" applyAlignment="1">
      <alignment horizontal="right"/>
    </xf>
    <xf numFmtId="0" fontId="0" fillId="59" borderId="93" xfId="0" applyFill="1" applyBorder="1" applyAlignment="1" applyProtection="1">
      <alignment vertical="top"/>
      <protection locked="0"/>
    </xf>
    <xf numFmtId="0" fontId="0" fillId="59" borderId="75" xfId="0" applyFill="1" applyBorder="1" applyAlignment="1" applyProtection="1">
      <alignment vertical="top"/>
      <protection locked="0"/>
    </xf>
    <xf numFmtId="0" fontId="36" fillId="59" borderId="75" xfId="0" applyFont="1" applyFill="1" applyBorder="1" applyAlignment="1" applyProtection="1">
      <alignment vertical="top"/>
      <protection locked="0"/>
    </xf>
    <xf numFmtId="0" fontId="7" fillId="50" borderId="44" xfId="0" applyFont="1" applyFill="1" applyBorder="1" applyAlignment="1" applyProtection="1">
      <alignment vertical="top"/>
      <protection locked="0"/>
    </xf>
    <xf numFmtId="0" fontId="83" fillId="50" borderId="44" xfId="0" applyFont="1" applyFill="1" applyBorder="1" applyAlignment="1" applyProtection="1">
      <alignment horizontal="right" vertical="top"/>
      <protection locked="0"/>
    </xf>
    <xf numFmtId="0" fontId="36" fillId="59" borderId="75" xfId="0" applyFont="1" applyFill="1" applyBorder="1" applyAlignment="1" applyProtection="1">
      <alignment horizontal="left"/>
      <protection locked="0"/>
    </xf>
    <xf numFmtId="0" fontId="0" fillId="50" borderId="75" xfId="0" applyFill="1" applyBorder="1" applyAlignment="1" applyProtection="1">
      <alignment vertical="top"/>
      <protection locked="0"/>
    </xf>
    <xf numFmtId="0" fontId="7" fillId="59" borderId="75" xfId="0" applyFont="1" applyFill="1" applyBorder="1" applyAlignment="1" applyProtection="1">
      <alignment vertical="top"/>
      <protection locked="0"/>
    </xf>
    <xf numFmtId="4" fontId="0" fillId="60" borderId="94" xfId="0" applyNumberFormat="1" applyFill="1" applyBorder="1" applyAlignment="1" applyProtection="1">
      <alignment vertical="top"/>
      <protection/>
    </xf>
    <xf numFmtId="0" fontId="36" fillId="59" borderId="95" xfId="0" applyFont="1" applyFill="1" applyBorder="1" applyAlignment="1" applyProtection="1">
      <alignment horizontal="right"/>
      <protection locked="0"/>
    </xf>
    <xf numFmtId="0" fontId="36" fillId="0" borderId="0" xfId="0" applyFont="1" applyBorder="1" applyAlignment="1" applyProtection="1">
      <alignment horizontal="center"/>
      <protection locked="0"/>
    </xf>
    <xf numFmtId="0" fontId="7" fillId="50" borderId="96" xfId="0" applyFont="1" applyFill="1" applyBorder="1" applyAlignment="1" applyProtection="1">
      <alignment vertical="top"/>
      <protection locked="0"/>
    </xf>
    <xf numFmtId="0" fontId="7" fillId="59" borderId="44" xfId="0" applyFont="1" applyFill="1" applyBorder="1" applyAlignment="1" applyProtection="1">
      <alignment vertical="top"/>
      <protection locked="0"/>
    </xf>
    <xf numFmtId="0" fontId="82" fillId="59" borderId="96" xfId="0" applyFont="1" applyFill="1" applyBorder="1" applyAlignment="1" applyProtection="1">
      <alignment vertical="top"/>
      <protection locked="0"/>
    </xf>
    <xf numFmtId="0" fontId="36" fillId="59" borderId="97" xfId="0" applyFont="1" applyFill="1" applyBorder="1" applyAlignment="1" applyProtection="1">
      <alignment horizontal="right"/>
      <protection locked="0"/>
    </xf>
    <xf numFmtId="0" fontId="7" fillId="50" borderId="98" xfId="0" applyFont="1" applyFill="1" applyBorder="1" applyAlignment="1" applyProtection="1">
      <alignment vertical="top"/>
      <protection locked="0"/>
    </xf>
    <xf numFmtId="0" fontId="7" fillId="50" borderId="99" xfId="0" applyFont="1" applyFill="1" applyBorder="1" applyAlignment="1" applyProtection="1">
      <alignment vertical="top"/>
      <protection locked="0"/>
    </xf>
    <xf numFmtId="0" fontId="7" fillId="50" borderId="78" xfId="0" applyFont="1" applyFill="1" applyBorder="1" applyAlignment="1" applyProtection="1">
      <alignment vertical="top"/>
      <protection locked="0"/>
    </xf>
    <xf numFmtId="0" fontId="7" fillId="50" borderId="100" xfId="0" applyFont="1" applyFill="1" applyBorder="1" applyAlignment="1" applyProtection="1">
      <alignment vertical="top"/>
      <protection locked="0"/>
    </xf>
    <xf numFmtId="0" fontId="7" fillId="59" borderId="101" xfId="0" applyFont="1" applyFill="1" applyBorder="1" applyAlignment="1" applyProtection="1">
      <alignment vertical="top"/>
      <protection locked="0"/>
    </xf>
    <xf numFmtId="0" fontId="7" fillId="59" borderId="87" xfId="0" applyFont="1" applyFill="1" applyBorder="1" applyAlignment="1" applyProtection="1">
      <alignment vertical="top"/>
      <protection locked="0"/>
    </xf>
    <xf numFmtId="0" fontId="36" fillId="59" borderId="95" xfId="0" applyFont="1" applyFill="1" applyBorder="1" applyAlignment="1" applyProtection="1">
      <alignment horizontal="left"/>
      <protection locked="0"/>
    </xf>
    <xf numFmtId="0" fontId="36" fillId="50" borderId="96" xfId="0" applyFont="1" applyFill="1" applyBorder="1" applyAlignment="1" applyProtection="1">
      <alignment vertical="top"/>
      <protection locked="0"/>
    </xf>
    <xf numFmtId="7" fontId="7" fillId="50" borderId="102" xfId="0" applyNumberFormat="1" applyFont="1" applyFill="1" applyBorder="1" applyAlignment="1" applyProtection="1">
      <alignment vertical="top"/>
      <protection locked="0"/>
    </xf>
    <xf numFmtId="0" fontId="0" fillId="59" borderId="101" xfId="0" applyFill="1" applyBorder="1" applyAlignment="1" applyProtection="1">
      <alignment vertical="top"/>
      <protection locked="0"/>
    </xf>
    <xf numFmtId="0" fontId="36" fillId="59" borderId="97" xfId="0" applyFont="1" applyFill="1" applyBorder="1" applyAlignment="1" applyProtection="1">
      <alignment horizontal="left"/>
      <protection locked="0"/>
    </xf>
    <xf numFmtId="0" fontId="36" fillId="50" borderId="98" xfId="0" applyFont="1" applyFill="1" applyBorder="1" applyAlignment="1" applyProtection="1">
      <alignment vertical="top"/>
      <protection locked="0"/>
    </xf>
    <xf numFmtId="0" fontId="0" fillId="59" borderId="87" xfId="0" applyFill="1" applyBorder="1" applyAlignment="1" applyProtection="1">
      <alignment vertical="top"/>
      <protection locked="0"/>
    </xf>
    <xf numFmtId="0" fontId="75" fillId="50" borderId="78" xfId="0" applyFont="1" applyFill="1" applyBorder="1" applyAlignment="1" applyProtection="1">
      <alignment vertical="top"/>
      <protection locked="0"/>
    </xf>
    <xf numFmtId="0" fontId="36" fillId="50" borderId="97" xfId="0" applyFont="1" applyFill="1" applyBorder="1" applyAlignment="1" applyProtection="1">
      <alignment horizontal="right" vertical="top"/>
      <protection locked="0"/>
    </xf>
    <xf numFmtId="0" fontId="7" fillId="59" borderId="0" xfId="0" applyFont="1" applyFill="1" applyBorder="1" applyAlignment="1" applyProtection="1">
      <alignment vertical="top"/>
      <protection locked="0"/>
    </xf>
    <xf numFmtId="0" fontId="0" fillId="59" borderId="98" xfId="0" applyFill="1" applyBorder="1" applyAlignment="1" applyProtection="1">
      <alignment vertical="top"/>
      <protection locked="0"/>
    </xf>
    <xf numFmtId="0" fontId="36" fillId="59" borderId="97" xfId="0" applyFont="1" applyFill="1" applyBorder="1" applyAlignment="1" applyProtection="1">
      <alignment horizontal="right" vertical="top"/>
      <protection locked="0"/>
    </xf>
    <xf numFmtId="0" fontId="0" fillId="50" borderId="98" xfId="0" applyFill="1" applyBorder="1" applyAlignment="1" applyProtection="1">
      <alignment vertical="top"/>
      <protection locked="0"/>
    </xf>
    <xf numFmtId="0" fontId="36" fillId="0" borderId="95" xfId="0" applyFont="1" applyFill="1" applyBorder="1" applyAlignment="1" applyProtection="1">
      <alignment horizontal="right" vertical="top"/>
      <protection locked="0"/>
    </xf>
    <xf numFmtId="0" fontId="7" fillId="44" borderId="99" xfId="0" applyFont="1" applyFill="1" applyBorder="1" applyAlignment="1" applyProtection="1">
      <alignment vertical="top"/>
      <protection locked="0"/>
    </xf>
    <xf numFmtId="0" fontId="0" fillId="0" borderId="44" xfId="0" applyBorder="1" applyAlignment="1" applyProtection="1">
      <alignment vertical="top"/>
      <protection locked="0"/>
    </xf>
    <xf numFmtId="0" fontId="0" fillId="0" borderId="96" xfId="0" applyBorder="1" applyAlignment="1" applyProtection="1">
      <alignment vertical="top"/>
      <protection locked="0"/>
    </xf>
    <xf numFmtId="0" fontId="36" fillId="0" borderId="97" xfId="0" applyFont="1" applyFill="1" applyBorder="1" applyAlignment="1" applyProtection="1">
      <alignment horizontal="right" vertical="top"/>
      <protection locked="0"/>
    </xf>
    <xf numFmtId="0" fontId="0" fillId="0" borderId="75" xfId="0" applyBorder="1" applyAlignment="1" applyProtection="1">
      <alignment vertical="top"/>
      <protection locked="0"/>
    </xf>
    <xf numFmtId="0" fontId="0" fillId="0" borderId="98" xfId="0" applyBorder="1" applyAlignment="1" applyProtection="1">
      <alignment vertical="top"/>
      <protection locked="0"/>
    </xf>
    <xf numFmtId="0" fontId="0" fillId="0" borderId="98" xfId="0" applyFill="1" applyBorder="1" applyAlignment="1" applyProtection="1">
      <alignment vertical="top"/>
      <protection locked="0"/>
    </xf>
    <xf numFmtId="0" fontId="7" fillId="44" borderId="76" xfId="0" applyFont="1" applyFill="1" applyBorder="1" applyAlignment="1" applyProtection="1">
      <alignment/>
      <protection locked="0"/>
    </xf>
    <xf numFmtId="0" fontId="0" fillId="0" borderId="0" xfId="0" applyBorder="1" applyAlignment="1" applyProtection="1">
      <alignment horizontal="centerContinuous"/>
      <protection locked="0"/>
    </xf>
    <xf numFmtId="0" fontId="0" fillId="0" borderId="0" xfId="0" applyBorder="1" applyAlignment="1" applyProtection="1">
      <alignment vertical="top"/>
      <protection locked="0"/>
    </xf>
    <xf numFmtId="0" fontId="87" fillId="0" borderId="85" xfId="0" applyFont="1" applyBorder="1" applyAlignment="1">
      <alignment horizontal="left"/>
    </xf>
    <xf numFmtId="0" fontId="86" fillId="0" borderId="0" xfId="0" applyFont="1" applyBorder="1" applyAlignment="1">
      <alignment horizontal="centerContinuous"/>
    </xf>
    <xf numFmtId="0" fontId="7" fillId="61" borderId="44" xfId="0" applyFont="1" applyFill="1" applyBorder="1" applyAlignment="1" applyProtection="1">
      <alignment vertical="top"/>
      <protection locked="0"/>
    </xf>
    <xf numFmtId="2" fontId="88" fillId="50" borderId="102" xfId="0" applyNumberFormat="1" applyFont="1" applyFill="1" applyBorder="1" applyAlignment="1" applyProtection="1">
      <alignment vertical="top"/>
      <protection locked="0"/>
    </xf>
    <xf numFmtId="2" fontId="77" fillId="50" borderId="76" xfId="0" applyNumberFormat="1" applyFont="1" applyFill="1" applyBorder="1" applyAlignment="1" applyProtection="1">
      <alignment vertical="top"/>
      <protection locked="0"/>
    </xf>
    <xf numFmtId="201" fontId="7" fillId="50" borderId="102" xfId="0" applyNumberFormat="1" applyFont="1" applyFill="1" applyBorder="1" applyAlignment="1" applyProtection="1">
      <alignment vertical="top"/>
      <protection locked="0"/>
    </xf>
    <xf numFmtId="201" fontId="7" fillId="50" borderId="98" xfId="0" applyNumberFormat="1" applyFont="1" applyFill="1" applyBorder="1" applyAlignment="1" applyProtection="1">
      <alignment vertical="top"/>
      <protection locked="0"/>
    </xf>
    <xf numFmtId="0" fontId="2" fillId="50" borderId="76" xfId="0" applyFont="1" applyFill="1" applyBorder="1" applyAlignment="1" applyProtection="1">
      <alignment vertical="top"/>
      <protection locked="0"/>
    </xf>
    <xf numFmtId="0" fontId="89" fillId="50" borderId="79" xfId="0" applyFont="1" applyFill="1" applyBorder="1" applyAlignment="1" applyProtection="1">
      <alignment vertical="top"/>
      <protection locked="0"/>
    </xf>
    <xf numFmtId="0" fontId="36" fillId="50" borderId="79" xfId="0" applyFont="1" applyFill="1" applyBorder="1" applyAlignment="1" applyProtection="1">
      <alignment vertical="top"/>
      <protection locked="0"/>
    </xf>
    <xf numFmtId="0" fontId="0" fillId="0" borderId="93" xfId="0" applyFill="1" applyBorder="1" applyAlignment="1" applyProtection="1">
      <alignment vertical="top"/>
      <protection locked="0"/>
    </xf>
    <xf numFmtId="203" fontId="7" fillId="0" borderId="75" xfId="0" applyNumberFormat="1" applyFont="1" applyFill="1" applyBorder="1" applyAlignment="1" applyProtection="1">
      <alignment vertical="top"/>
      <protection/>
    </xf>
    <xf numFmtId="0" fontId="7" fillId="0" borderId="75" xfId="0" applyFont="1" applyFill="1" applyBorder="1" applyAlignment="1" applyProtection="1">
      <alignment vertical="top"/>
      <protection/>
    </xf>
    <xf numFmtId="4" fontId="7" fillId="0" borderId="79" xfId="0" applyNumberFormat="1" applyFont="1" applyFill="1" applyBorder="1" applyAlignment="1" applyProtection="1">
      <alignment vertical="top"/>
      <protection/>
    </xf>
    <xf numFmtId="0" fontId="90" fillId="0" borderId="0" xfId="0" applyFont="1" applyBorder="1" applyAlignment="1">
      <alignment vertical="top"/>
    </xf>
    <xf numFmtId="0" fontId="82" fillId="0" borderId="0" xfId="0" applyFont="1" applyBorder="1" applyAlignment="1">
      <alignment vertical="top"/>
    </xf>
    <xf numFmtId="0" fontId="37" fillId="0" borderId="28" xfId="0" applyFont="1" applyBorder="1" applyAlignment="1">
      <alignment vertical="top"/>
    </xf>
    <xf numFmtId="0" fontId="86" fillId="0" borderId="0" xfId="0" applyFont="1" applyBorder="1" applyAlignment="1">
      <alignment horizontal="left" vertical="top"/>
    </xf>
    <xf numFmtId="0" fontId="72" fillId="0" borderId="65" xfId="0" applyFont="1" applyBorder="1" applyAlignment="1">
      <alignment vertical="top"/>
    </xf>
    <xf numFmtId="0" fontId="0" fillId="0" borderId="28" xfId="0" applyBorder="1" applyAlignment="1">
      <alignment vertical="top"/>
    </xf>
    <xf numFmtId="0" fontId="36" fillId="0" borderId="0" xfId="0" applyFont="1" applyBorder="1" applyAlignment="1">
      <alignment horizontal="center" vertical="top"/>
    </xf>
    <xf numFmtId="0" fontId="72" fillId="0" borderId="0" xfId="0" applyFont="1" applyBorder="1" applyAlignment="1">
      <alignment horizontal="center" vertical="top"/>
    </xf>
    <xf numFmtId="4" fontId="7" fillId="59" borderId="103" xfId="0" applyNumberFormat="1" applyFont="1" applyFill="1" applyBorder="1" applyAlignment="1" applyProtection="1">
      <alignment vertical="top"/>
      <protection locked="0"/>
    </xf>
    <xf numFmtId="0" fontId="83" fillId="0" borderId="30" xfId="0" applyFont="1" applyBorder="1" applyAlignment="1">
      <alignment vertical="top"/>
    </xf>
    <xf numFmtId="0" fontId="36" fillId="0" borderId="0" xfId="0" applyFont="1" applyBorder="1" applyAlignment="1">
      <alignment horizontal="right" vertical="top"/>
    </xf>
    <xf numFmtId="0" fontId="75" fillId="0" borderId="30" xfId="0" applyFont="1" applyBorder="1" applyAlignment="1">
      <alignment horizontal="left" vertical="top"/>
    </xf>
    <xf numFmtId="4" fontId="7" fillId="0" borderId="102" xfId="0" applyNumberFormat="1" applyFont="1" applyFill="1" applyBorder="1" applyAlignment="1" applyProtection="1">
      <alignment vertical="top"/>
      <protection/>
    </xf>
    <xf numFmtId="0" fontId="7" fillId="61" borderId="44" xfId="0" applyFont="1" applyFill="1" applyBorder="1" applyAlignment="1" applyProtection="1">
      <alignment vertical="top"/>
      <protection/>
    </xf>
    <xf numFmtId="0" fontId="0" fillId="50" borderId="83" xfId="0" applyFill="1" applyBorder="1" applyAlignment="1" applyProtection="1">
      <alignment vertical="top"/>
      <protection locked="0"/>
    </xf>
    <xf numFmtId="0" fontId="7" fillId="50" borderId="76" xfId="0" applyFont="1" applyFill="1" applyBorder="1" applyAlignment="1" applyProtection="1">
      <alignment horizontal="left"/>
      <protection locked="0"/>
    </xf>
    <xf numFmtId="37" fontId="6" fillId="0" borderId="8" xfId="0" applyNumberFormat="1" applyFont="1" applyFill="1" applyBorder="1" applyAlignment="1" applyProtection="1">
      <alignment horizontal="center"/>
      <protection/>
    </xf>
    <xf numFmtId="195" fontId="30" fillId="0" borderId="0" xfId="0" applyNumberFormat="1" applyFont="1" applyFill="1" applyAlignment="1" applyProtection="1">
      <alignment horizontal="center"/>
      <protection locked="0"/>
    </xf>
    <xf numFmtId="37" fontId="6" fillId="48" borderId="8" xfId="0" applyNumberFormat="1" applyFont="1" applyFill="1" applyBorder="1" applyAlignment="1" applyProtection="1">
      <alignment horizontal="left"/>
      <protection locked="0"/>
    </xf>
    <xf numFmtId="37" fontId="6" fillId="49" borderId="18" xfId="0" applyNumberFormat="1" applyFont="1" applyFill="1" applyBorder="1" applyAlignment="1">
      <alignment horizontal="centerContinuous"/>
    </xf>
    <xf numFmtId="37" fontId="10" fillId="0" borderId="0" xfId="0" applyNumberFormat="1" applyFont="1" applyAlignment="1">
      <alignment horizontal="centerContinuous"/>
    </xf>
    <xf numFmtId="37" fontId="6" fillId="0" borderId="18" xfId="0" applyNumberFormat="1" applyFont="1" applyBorder="1" applyAlignment="1" applyProtection="1">
      <alignment horizontal="centerContinuous"/>
      <protection/>
    </xf>
    <xf numFmtId="37" fontId="6" fillId="0" borderId="8" xfId="0" applyNumberFormat="1" applyFont="1" applyBorder="1" applyAlignment="1">
      <alignment horizontal="centerContinuous"/>
    </xf>
    <xf numFmtId="39" fontId="6" fillId="49" borderId="18" xfId="0" applyNumberFormat="1" applyFont="1" applyFill="1" applyBorder="1" applyAlignment="1" applyProtection="1">
      <alignment/>
      <protection locked="0"/>
    </xf>
    <xf numFmtId="8" fontId="36" fillId="0" borderId="79" xfId="0" applyNumberFormat="1" applyFont="1" applyBorder="1" applyAlignment="1">
      <alignment vertical="top"/>
    </xf>
    <xf numFmtId="4" fontId="0" fillId="60" borderId="37" xfId="0" applyNumberFormat="1" applyFill="1" applyBorder="1" applyAlignment="1" applyProtection="1">
      <alignment vertical="top"/>
      <protection/>
    </xf>
    <xf numFmtId="0" fontId="36" fillId="0" borderId="0" xfId="0" applyFont="1" applyFill="1" applyBorder="1" applyAlignment="1" applyProtection="1">
      <alignment horizontal="left"/>
      <protection locked="0"/>
    </xf>
    <xf numFmtId="0" fontId="0" fillId="0" borderId="0" xfId="0" applyFill="1" applyBorder="1" applyAlignment="1" applyProtection="1">
      <alignment vertical="top"/>
      <protection locked="0"/>
    </xf>
    <xf numFmtId="0" fontId="7" fillId="0" borderId="0" xfId="0" applyFont="1" applyFill="1" applyBorder="1" applyAlignment="1" applyProtection="1">
      <alignment vertical="top"/>
      <protection locked="0"/>
    </xf>
    <xf numFmtId="4" fontId="7" fillId="0" borderId="45" xfId="0" applyNumberFormat="1" applyFont="1" applyFill="1" applyBorder="1" applyAlignment="1" applyProtection="1">
      <alignment vertical="top"/>
      <protection locked="0"/>
    </xf>
    <xf numFmtId="4" fontId="7" fillId="0" borderId="104" xfId="0" applyNumberFormat="1" applyFont="1" applyFill="1" applyBorder="1" applyAlignment="1" applyProtection="1">
      <alignment vertical="top"/>
      <protection/>
    </xf>
    <xf numFmtId="0" fontId="0" fillId="0" borderId="27" xfId="0" applyBorder="1" applyAlignment="1">
      <alignment vertical="top"/>
    </xf>
    <xf numFmtId="4" fontId="0" fillId="60" borderId="105" xfId="0" applyNumberFormat="1" applyFill="1" applyBorder="1" applyAlignment="1" applyProtection="1">
      <alignment vertical="top"/>
      <protection/>
    </xf>
    <xf numFmtId="8" fontId="36" fillId="0" borderId="45" xfId="0" applyNumberFormat="1" applyFont="1" applyBorder="1" applyAlignment="1">
      <alignment vertical="top"/>
    </xf>
    <xf numFmtId="0" fontId="36" fillId="0" borderId="0" xfId="0" applyFont="1" applyFill="1" applyBorder="1" applyAlignment="1">
      <alignment horizontal="center"/>
    </xf>
    <xf numFmtId="4" fontId="36" fillId="44" borderId="0" xfId="0" applyNumberFormat="1" applyFont="1" applyFill="1" applyBorder="1" applyAlignment="1" applyProtection="1">
      <alignment horizontal="center" vertical="top"/>
      <protection locked="0"/>
    </xf>
    <xf numFmtId="0" fontId="74" fillId="50" borderId="44" xfId="0" applyFont="1" applyFill="1" applyBorder="1" applyAlignment="1" applyProtection="1">
      <alignment vertical="top"/>
      <protection locked="0"/>
    </xf>
    <xf numFmtId="9" fontId="6" fillId="50" borderId="18" xfId="0" applyNumberFormat="1" applyFont="1" applyFill="1" applyBorder="1" applyAlignment="1" applyProtection="1">
      <alignment horizontal="center"/>
      <protection locked="0"/>
    </xf>
    <xf numFmtId="37" fontId="6" fillId="50" borderId="44" xfId="0" applyNumberFormat="1" applyFont="1" applyFill="1" applyBorder="1" applyAlignment="1" applyProtection="1">
      <alignment/>
      <protection locked="0"/>
    </xf>
    <xf numFmtId="37" fontId="92" fillId="0" borderId="0" xfId="0" applyNumberFormat="1" applyFont="1" applyAlignment="1">
      <alignment horizontal="centerContinuous"/>
    </xf>
    <xf numFmtId="37" fontId="13" fillId="0" borderId="0" xfId="0" applyNumberFormat="1" applyFont="1" applyAlignment="1">
      <alignment horizontal="centerContinuous"/>
    </xf>
    <xf numFmtId="37" fontId="12" fillId="0" borderId="0" xfId="0" applyNumberFormat="1" applyFont="1" applyAlignment="1">
      <alignment horizontal="centerContinuous"/>
    </xf>
    <xf numFmtId="203" fontId="6" fillId="50" borderId="45" xfId="0" applyNumberFormat="1" applyFont="1" applyFill="1" applyBorder="1" applyAlignment="1" applyProtection="1">
      <alignment/>
      <protection locked="0"/>
    </xf>
    <xf numFmtId="203" fontId="6" fillId="49" borderId="45" xfId="0" applyNumberFormat="1" applyFont="1" applyFill="1" applyBorder="1" applyAlignment="1" applyProtection="1">
      <alignment horizontal="right"/>
      <protection locked="0"/>
    </xf>
    <xf numFmtId="37" fontId="6" fillId="62" borderId="18" xfId="0" applyNumberFormat="1" applyFont="1" applyFill="1" applyBorder="1" applyAlignment="1" applyProtection="1">
      <alignment/>
      <protection/>
    </xf>
    <xf numFmtId="0" fontId="22" fillId="0" borderId="0" xfId="73" applyFont="1">
      <alignment/>
      <protection/>
    </xf>
    <xf numFmtId="0" fontId="56" fillId="0" borderId="0" xfId="73" applyFont="1">
      <alignment/>
      <protection/>
    </xf>
    <xf numFmtId="201" fontId="35" fillId="50" borderId="102" xfId="0" applyNumberFormat="1" applyFont="1" applyFill="1" applyBorder="1" applyAlignment="1" applyProtection="1">
      <alignment vertical="top"/>
      <protection locked="0"/>
    </xf>
    <xf numFmtId="201" fontId="35" fillId="50" borderId="96" xfId="0" applyNumberFormat="1" applyFont="1" applyFill="1" applyBorder="1" applyAlignment="1" applyProtection="1">
      <alignment vertical="top"/>
      <protection locked="0"/>
    </xf>
    <xf numFmtId="201" fontId="35" fillId="50" borderId="101" xfId="0" applyNumberFormat="1" applyFont="1" applyFill="1" applyBorder="1" applyAlignment="1" applyProtection="1">
      <alignment vertical="top"/>
      <protection locked="0"/>
    </xf>
    <xf numFmtId="4" fontId="7" fillId="50" borderId="102" xfId="0" applyNumberFormat="1" applyFont="1" applyFill="1" applyBorder="1" applyAlignment="1" applyProtection="1">
      <alignment vertical="top"/>
      <protection locked="0"/>
    </xf>
    <xf numFmtId="201" fontId="7" fillId="50" borderId="102" xfId="0" applyNumberFormat="1" applyFont="1" applyFill="1" applyBorder="1" applyAlignment="1" applyProtection="1">
      <alignment/>
      <protection locked="0"/>
    </xf>
    <xf numFmtId="37" fontId="6" fillId="0" borderId="18" xfId="0" applyNumberFormat="1" applyFont="1" applyFill="1" applyBorder="1" applyAlignment="1" applyProtection="1">
      <alignment/>
      <protection/>
    </xf>
    <xf numFmtId="37" fontId="6" fillId="49" borderId="75" xfId="0" applyNumberFormat="1" applyFont="1" applyFill="1" applyBorder="1" applyAlignment="1" applyProtection="1">
      <alignment/>
      <protection locked="0"/>
    </xf>
    <xf numFmtId="37" fontId="6" fillId="48" borderId="18" xfId="0" applyNumberFormat="1" applyFont="1" applyFill="1" applyBorder="1" applyAlignment="1" applyProtection="1">
      <alignment horizontal="center"/>
      <protection locked="0"/>
    </xf>
    <xf numFmtId="39" fontId="6" fillId="43" borderId="18" xfId="0" applyNumberFormat="1" applyFont="1" applyFill="1" applyBorder="1" applyAlignment="1" applyProtection="1">
      <alignment/>
      <protection/>
    </xf>
    <xf numFmtId="203" fontId="6" fillId="0" borderId="8" xfId="0" applyNumberFormat="1" applyFont="1" applyBorder="1" applyAlignment="1" applyProtection="1">
      <alignment/>
      <protection/>
    </xf>
    <xf numFmtId="37" fontId="6" fillId="0" borderId="9" xfId="0" applyNumberFormat="1" applyFont="1" applyBorder="1" applyAlignment="1" applyProtection="1">
      <alignment/>
      <protection/>
    </xf>
    <xf numFmtId="203" fontId="6" fillId="0" borderId="0" xfId="0" applyNumberFormat="1" applyFont="1" applyAlignment="1" applyProtection="1">
      <alignment/>
      <protection/>
    </xf>
    <xf numFmtId="203" fontId="6" fillId="0" borderId="8" xfId="0" applyNumberFormat="1" applyFont="1" applyFill="1" applyBorder="1" applyAlignment="1" applyProtection="1">
      <alignment/>
      <protection/>
    </xf>
    <xf numFmtId="37" fontId="6" fillId="0" borderId="0" xfId="0" applyNumberFormat="1" applyFont="1" applyAlignment="1" applyProtection="1">
      <alignment/>
      <protection locked="0"/>
    </xf>
    <xf numFmtId="37" fontId="6" fillId="0" borderId="0" xfId="0" applyNumberFormat="1" applyFont="1" applyAlignment="1">
      <alignment/>
    </xf>
    <xf numFmtId="37" fontId="10" fillId="0" borderId="0" xfId="0" applyNumberFormat="1" applyFont="1" applyAlignment="1" applyProtection="1">
      <alignment/>
      <protection/>
    </xf>
    <xf numFmtId="0" fontId="30" fillId="0" borderId="0" xfId="0" applyFont="1" applyAlignment="1">
      <alignment horizontal="center" vertical="top"/>
    </xf>
    <xf numFmtId="0" fontId="45" fillId="0" borderId="0" xfId="73" applyFont="1" applyAlignment="1" applyProtection="1">
      <alignment horizontal="left"/>
      <protection locked="0"/>
    </xf>
    <xf numFmtId="0" fontId="2" fillId="0" borderId="48" xfId="69" applyBorder="1">
      <alignment/>
      <protection/>
    </xf>
    <xf numFmtId="37" fontId="6" fillId="0" borderId="0" xfId="0" applyNumberFormat="1" applyFont="1" applyAlignment="1">
      <alignment horizontal="left"/>
    </xf>
    <xf numFmtId="0" fontId="6" fillId="0" borderId="0" xfId="0" applyFont="1" applyAlignment="1">
      <alignment vertical="top"/>
    </xf>
    <xf numFmtId="0" fontId="6" fillId="0" borderId="0" xfId="0" applyFont="1" applyAlignment="1">
      <alignment horizontal="left"/>
    </xf>
    <xf numFmtId="5" fontId="10" fillId="0" borderId="0" xfId="0" applyNumberFormat="1" applyFont="1" applyAlignment="1">
      <alignment/>
    </xf>
    <xf numFmtId="37" fontId="149" fillId="0" borderId="0" xfId="0" applyNumberFormat="1" applyFont="1" applyAlignment="1">
      <alignment/>
    </xf>
    <xf numFmtId="37" fontId="6" fillId="29" borderId="0" xfId="0" applyNumberFormat="1" applyFont="1" applyFill="1" applyBorder="1" applyAlignment="1">
      <alignment/>
    </xf>
    <xf numFmtId="37" fontId="149" fillId="29" borderId="0" xfId="0" applyNumberFormat="1" applyFont="1" applyFill="1" applyBorder="1" applyAlignment="1" applyProtection="1">
      <alignment/>
      <protection locked="0"/>
    </xf>
    <xf numFmtId="10" fontId="10" fillId="0" borderId="0" xfId="0" applyNumberFormat="1" applyFont="1" applyAlignment="1">
      <alignment/>
    </xf>
    <xf numFmtId="192" fontId="10" fillId="0" borderId="0" xfId="0" applyNumberFormat="1" applyFont="1" applyAlignment="1">
      <alignment/>
    </xf>
    <xf numFmtId="9" fontId="149" fillId="29" borderId="0" xfId="0" applyNumberFormat="1" applyFont="1" applyFill="1" applyBorder="1" applyAlignment="1" applyProtection="1">
      <alignment/>
      <protection locked="0"/>
    </xf>
    <xf numFmtId="10" fontId="0" fillId="0" borderId="0" xfId="0" applyNumberFormat="1" applyAlignment="1">
      <alignment/>
    </xf>
    <xf numFmtId="37" fontId="149" fillId="0" borderId="9" xfId="0" applyNumberFormat="1" applyFont="1" applyBorder="1" applyAlignment="1">
      <alignment/>
    </xf>
    <xf numFmtId="37" fontId="6" fillId="29" borderId="0" xfId="0" applyNumberFormat="1" applyFont="1" applyFill="1" applyAlignment="1">
      <alignment horizontal="left"/>
    </xf>
    <xf numFmtId="0" fontId="27" fillId="50" borderId="16" xfId="84" applyNumberFormat="1" applyFont="1" applyFill="1" applyBorder="1" applyAlignment="1">
      <alignment horizontal="center"/>
      <protection locked="0"/>
    </xf>
    <xf numFmtId="1" fontId="10" fillId="50" borderId="8" xfId="84" applyNumberFormat="1" applyFont="1" applyFill="1" applyAlignment="1">
      <alignment horizontal="center"/>
      <protection locked="0"/>
    </xf>
    <xf numFmtId="0" fontId="5" fillId="0" borderId="106" xfId="72" applyFont="1" applyBorder="1">
      <alignment/>
      <protection/>
    </xf>
    <xf numFmtId="0" fontId="7" fillId="0" borderId="107" xfId="72" applyBorder="1">
      <alignment/>
      <protection/>
    </xf>
    <xf numFmtId="0" fontId="29" fillId="0" borderId="0" xfId="72" applyFont="1" applyProtection="1">
      <alignment/>
      <protection locked="0"/>
    </xf>
    <xf numFmtId="10" fontId="27" fillId="63" borderId="8" xfId="77" applyFont="1" applyFill="1" applyBorder="1" applyAlignment="1" applyProtection="1">
      <alignment horizontal="center"/>
      <protection locked="0"/>
    </xf>
    <xf numFmtId="37" fontId="10" fillId="0" borderId="24" xfId="0" applyNumberFormat="1" applyFont="1" applyBorder="1" applyAlignment="1">
      <alignment/>
    </xf>
    <xf numFmtId="37" fontId="6" fillId="0" borderId="19" xfId="0" applyNumberFormat="1" applyFont="1" applyBorder="1" applyAlignment="1">
      <alignment/>
    </xf>
    <xf numFmtId="10" fontId="10" fillId="0" borderId="25" xfId="0" applyNumberFormat="1" applyFont="1" applyBorder="1" applyAlignment="1">
      <alignment/>
    </xf>
    <xf numFmtId="0" fontId="8" fillId="64" borderId="0" xfId="72" applyFont="1" applyFill="1">
      <alignment/>
      <protection/>
    </xf>
    <xf numFmtId="0" fontId="7" fillId="64" borderId="0" xfId="72" applyFill="1">
      <alignment/>
      <protection/>
    </xf>
    <xf numFmtId="0" fontId="31" fillId="64" borderId="0" xfId="72" applyFont="1" applyFill="1" applyProtection="1">
      <alignment/>
      <protection locked="0"/>
    </xf>
    <xf numFmtId="0" fontId="54" fillId="65" borderId="28" xfId="73" applyFont="1" applyFill="1" applyBorder="1" applyAlignment="1">
      <alignment horizontal="center"/>
      <protection/>
    </xf>
    <xf numFmtId="0" fontId="95" fillId="66" borderId="28" xfId="73" applyFont="1" applyFill="1" applyBorder="1">
      <alignment/>
      <protection/>
    </xf>
    <xf numFmtId="0" fontId="95" fillId="66" borderId="57" xfId="73" applyFont="1" applyFill="1" applyBorder="1">
      <alignment/>
      <protection/>
    </xf>
    <xf numFmtId="0" fontId="54" fillId="65" borderId="18" xfId="73" applyFont="1" applyFill="1" applyBorder="1" applyAlignment="1">
      <alignment horizontal="center"/>
      <protection/>
    </xf>
    <xf numFmtId="0" fontId="95" fillId="66" borderId="18" xfId="73" applyFont="1" applyFill="1" applyBorder="1">
      <alignment/>
      <protection/>
    </xf>
    <xf numFmtId="0" fontId="95" fillId="66" borderId="37" xfId="73" applyFont="1" applyFill="1" applyBorder="1">
      <alignment/>
      <protection/>
    </xf>
    <xf numFmtId="0" fontId="22" fillId="34" borderId="0" xfId="73" applyFont="1" applyFill="1">
      <alignment/>
      <protection/>
    </xf>
    <xf numFmtId="0" fontId="53" fillId="29" borderId="0" xfId="73" applyFont="1" applyFill="1">
      <alignment/>
      <protection/>
    </xf>
    <xf numFmtId="177" fontId="22" fillId="65" borderId="16" xfId="52" applyFont="1" applyFill="1" applyBorder="1" applyAlignment="1">
      <alignment/>
    </xf>
    <xf numFmtId="10" fontId="10" fillId="63" borderId="45" xfId="77" applyFont="1" applyFill="1" applyBorder="1" applyAlignment="1">
      <alignment horizontal="center"/>
    </xf>
    <xf numFmtId="0" fontId="27" fillId="0" borderId="0" xfId="84" applyNumberFormat="1" applyFont="1" applyFill="1" applyBorder="1" applyAlignment="1">
      <alignment horizontal="center"/>
      <protection locked="0"/>
    </xf>
    <xf numFmtId="0" fontId="6" fillId="0" borderId="61" xfId="72" applyFont="1" applyBorder="1">
      <alignment/>
      <protection/>
    </xf>
    <xf numFmtId="0" fontId="6" fillId="0" borderId="62" xfId="72" applyFont="1" applyBorder="1">
      <alignment/>
      <protection/>
    </xf>
    <xf numFmtId="0" fontId="6" fillId="0" borderId="63" xfId="72" applyFont="1" applyBorder="1">
      <alignment/>
      <protection/>
    </xf>
    <xf numFmtId="5" fontId="6" fillId="0" borderId="63" xfId="72" applyNumberFormat="1" applyFont="1" applyBorder="1">
      <alignment/>
      <protection/>
    </xf>
    <xf numFmtId="0" fontId="6" fillId="0" borderId="64" xfId="72" applyFont="1" applyBorder="1">
      <alignment/>
      <protection/>
    </xf>
    <xf numFmtId="5" fontId="6" fillId="0" borderId="66" xfId="72" applyNumberFormat="1" applyFont="1" applyBorder="1">
      <alignment/>
      <protection/>
    </xf>
    <xf numFmtId="37" fontId="6" fillId="48" borderId="8" xfId="0" applyNumberFormat="1" applyFont="1" applyFill="1" applyBorder="1" applyAlignment="1" applyProtection="1">
      <alignment/>
      <protection locked="0"/>
    </xf>
    <xf numFmtId="0" fontId="150" fillId="0" borderId="0" xfId="0" applyFont="1" applyAlignment="1" applyProtection="1">
      <alignment/>
      <protection locked="0"/>
    </xf>
    <xf numFmtId="0" fontId="151" fillId="0" borderId="0" xfId="0" applyFont="1" applyAlignment="1" applyProtection="1">
      <alignment/>
      <protection locked="0"/>
    </xf>
    <xf numFmtId="211" fontId="150" fillId="0" borderId="0" xfId="45" applyNumberFormat="1" applyFont="1" applyAlignment="1" applyProtection="1">
      <alignment horizontal="right" vertical="top"/>
      <protection locked="0"/>
    </xf>
    <xf numFmtId="0" fontId="150" fillId="0" borderId="0" xfId="0" applyFont="1" applyAlignment="1">
      <alignment/>
    </xf>
    <xf numFmtId="9" fontId="150" fillId="0" borderId="0" xfId="76" applyNumberFormat="1" applyFont="1" applyBorder="1" applyAlignment="1">
      <alignment horizontal="center"/>
    </xf>
    <xf numFmtId="0" fontId="150" fillId="0" borderId="0" xfId="0" applyFont="1" applyBorder="1" applyAlignment="1">
      <alignment/>
    </xf>
    <xf numFmtId="5" fontId="150" fillId="0" borderId="0" xfId="45" applyNumberFormat="1" applyFont="1" applyBorder="1" applyAlignment="1">
      <alignment horizontal="right" vertical="top"/>
    </xf>
    <xf numFmtId="5" fontId="150" fillId="63" borderId="18" xfId="45" applyNumberFormat="1" applyFont="1" applyFill="1" applyBorder="1" applyAlignment="1" applyProtection="1">
      <alignment horizontal="center"/>
      <protection locked="0"/>
    </xf>
    <xf numFmtId="0" fontId="152" fillId="0" borderId="0" xfId="0" applyFont="1" applyAlignment="1">
      <alignment/>
    </xf>
    <xf numFmtId="37" fontId="6" fillId="0" borderId="0" xfId="0" applyNumberFormat="1" applyFont="1" applyBorder="1" applyAlignment="1">
      <alignment/>
    </xf>
    <xf numFmtId="37" fontId="94" fillId="0" borderId="0" xfId="0" applyNumberFormat="1" applyFont="1" applyAlignment="1">
      <alignment horizontal="centerContinuous"/>
    </xf>
    <xf numFmtId="37" fontId="98" fillId="0" borderId="0" xfId="0" applyNumberFormat="1" applyFont="1" applyAlignment="1">
      <alignment horizontal="centerContinuous"/>
    </xf>
    <xf numFmtId="37" fontId="10" fillId="52" borderId="26" xfId="0" applyNumberFormat="1" applyFont="1" applyFill="1" applyBorder="1" applyAlignment="1">
      <alignment horizontal="centerContinuous"/>
    </xf>
    <xf numFmtId="37" fontId="10" fillId="52" borderId="57" xfId="0" applyNumberFormat="1" applyFont="1" applyFill="1" applyBorder="1" applyAlignment="1">
      <alignment horizontal="centerContinuous"/>
    </xf>
    <xf numFmtId="37" fontId="6" fillId="52" borderId="30" xfId="0" applyNumberFormat="1" applyFont="1" applyFill="1" applyBorder="1" applyAlignment="1">
      <alignment horizontal="right"/>
    </xf>
    <xf numFmtId="37" fontId="6" fillId="52" borderId="58" xfId="0" applyNumberFormat="1" applyFont="1" applyFill="1" applyBorder="1" applyAlignment="1">
      <alignment/>
    </xf>
    <xf numFmtId="37" fontId="13" fillId="52" borderId="58" xfId="0" applyNumberFormat="1" applyFont="1" applyFill="1" applyBorder="1" applyAlignment="1">
      <alignment/>
    </xf>
    <xf numFmtId="37" fontId="6" fillId="52" borderId="67" xfId="0" applyNumberFormat="1" applyFont="1" applyFill="1" applyBorder="1" applyAlignment="1">
      <alignment/>
    </xf>
    <xf numFmtId="37" fontId="6" fillId="52" borderId="29" xfId="0" applyNumberFormat="1" applyFont="1" applyFill="1" applyBorder="1" applyAlignment="1">
      <alignment horizontal="right"/>
    </xf>
    <xf numFmtId="198" fontId="6" fillId="52" borderId="37" xfId="0" applyNumberFormat="1" applyFont="1" applyFill="1" applyBorder="1" applyAlignment="1">
      <alignment/>
    </xf>
    <xf numFmtId="37" fontId="6" fillId="48" borderId="108" xfId="0" applyNumberFormat="1" applyFont="1" applyFill="1" applyBorder="1" applyAlignment="1" applyProtection="1">
      <alignment horizontal="center"/>
      <protection locked="0"/>
    </xf>
    <xf numFmtId="37" fontId="6" fillId="48" borderId="36" xfId="0" applyNumberFormat="1" applyFont="1" applyFill="1" applyBorder="1" applyAlignment="1" applyProtection="1">
      <alignment horizontal="center"/>
      <protection locked="0"/>
    </xf>
    <xf numFmtId="37" fontId="6" fillId="67" borderId="8" xfId="0" applyNumberFormat="1" applyFont="1" applyFill="1" applyBorder="1" applyAlignment="1" applyProtection="1">
      <alignment/>
      <protection locked="0"/>
    </xf>
    <xf numFmtId="37" fontId="6" fillId="63" borderId="0" xfId="0" applyNumberFormat="1" applyFont="1" applyFill="1" applyAlignment="1" applyProtection="1">
      <alignment/>
      <protection locked="0"/>
    </xf>
    <xf numFmtId="0" fontId="6" fillId="48" borderId="8" xfId="0" applyNumberFormat="1" applyFont="1" applyFill="1" applyBorder="1" applyAlignment="1" applyProtection="1">
      <alignment/>
      <protection locked="0"/>
    </xf>
    <xf numFmtId="0" fontId="0" fillId="0" borderId="0" xfId="0" applyAlignment="1">
      <alignment wrapText="1"/>
    </xf>
    <xf numFmtId="0" fontId="151" fillId="0" borderId="0" xfId="0" applyFont="1" applyAlignment="1">
      <alignment horizontal="center"/>
    </xf>
    <xf numFmtId="0" fontId="150" fillId="63" borderId="18" xfId="0" applyFont="1" applyFill="1" applyBorder="1" applyAlignment="1" applyProtection="1">
      <alignment/>
      <protection locked="0"/>
    </xf>
    <xf numFmtId="0" fontId="150" fillId="0" borderId="0" xfId="0" applyFont="1" applyBorder="1" applyAlignment="1" applyProtection="1">
      <alignment/>
      <protection locked="0"/>
    </xf>
    <xf numFmtId="0" fontId="150" fillId="63" borderId="18" xfId="0" applyFont="1" applyFill="1" applyBorder="1" applyAlignment="1" applyProtection="1">
      <alignment horizontal="left"/>
      <protection locked="0"/>
    </xf>
    <xf numFmtId="0" fontId="150" fillId="0" borderId="0" xfId="0" applyFont="1" applyBorder="1" applyAlignment="1" applyProtection="1">
      <alignment horizontal="left"/>
      <protection locked="0"/>
    </xf>
    <xf numFmtId="0" fontId="150" fillId="63" borderId="0" xfId="0" applyFont="1" applyFill="1" applyAlignment="1" applyProtection="1">
      <alignment/>
      <protection locked="0"/>
    </xf>
    <xf numFmtId="0" fontId="7" fillId="63" borderId="75" xfId="0" applyFont="1" applyFill="1" applyBorder="1" applyAlignment="1" applyProtection="1">
      <alignment vertical="top"/>
      <protection locked="0"/>
    </xf>
    <xf numFmtId="0" fontId="0" fillId="63" borderId="0" xfId="0" applyFill="1" applyAlignment="1">
      <alignment vertical="top"/>
    </xf>
    <xf numFmtId="0" fontId="150" fillId="63" borderId="18" xfId="0" applyFont="1" applyFill="1" applyBorder="1" applyAlignment="1" applyProtection="1">
      <alignment/>
      <protection locked="0"/>
    </xf>
    <xf numFmtId="0" fontId="150" fillId="0" borderId="0" xfId="0" applyFont="1" applyAlignment="1" applyProtection="1">
      <alignment/>
      <protection locked="0"/>
    </xf>
    <xf numFmtId="0" fontId="150" fillId="63" borderId="0" xfId="68" applyFont="1" applyFill="1" applyAlignment="1" applyProtection="1">
      <alignment/>
      <protection locked="0"/>
    </xf>
    <xf numFmtId="0" fontId="151" fillId="0" borderId="0" xfId="68" applyFont="1" applyAlignment="1" applyProtection="1">
      <alignment/>
      <protection locked="0"/>
    </xf>
    <xf numFmtId="0" fontId="150" fillId="0" borderId="0" xfId="68" applyFont="1" applyAlignment="1" applyProtection="1">
      <alignment/>
      <protection locked="0"/>
    </xf>
    <xf numFmtId="3" fontId="5" fillId="0" borderId="0" xfId="0" applyNumberFormat="1" applyFont="1" applyAlignment="1">
      <alignment/>
    </xf>
    <xf numFmtId="3" fontId="0" fillId="0" borderId="0" xfId="0" applyNumberFormat="1" applyFont="1" applyAlignment="1">
      <alignment/>
    </xf>
    <xf numFmtId="0" fontId="0" fillId="0" borderId="0" xfId="0" applyAlignment="1">
      <alignment/>
    </xf>
    <xf numFmtId="5" fontId="6" fillId="65" borderId="61" xfId="0" applyNumberFormat="1" applyFont="1" applyFill="1" applyBorder="1" applyAlignment="1">
      <alignment/>
    </xf>
    <xf numFmtId="37" fontId="6" fillId="65" borderId="63" xfId="0" applyNumberFormat="1" applyFont="1" applyFill="1" applyBorder="1" applyAlignment="1" applyProtection="1">
      <alignment horizontal="center"/>
      <protection locked="0"/>
    </xf>
    <xf numFmtId="5" fontId="6" fillId="65" borderId="63" xfId="0" applyNumberFormat="1" applyFont="1" applyFill="1" applyBorder="1" applyAlignment="1">
      <alignment/>
    </xf>
    <xf numFmtId="37" fontId="0" fillId="65" borderId="62" xfId="0" applyNumberFormat="1" applyFont="1" applyFill="1" applyBorder="1" applyAlignment="1">
      <alignment horizontal="right"/>
    </xf>
    <xf numFmtId="37" fontId="0" fillId="65" borderId="0" xfId="0" applyNumberFormat="1" applyFont="1" applyFill="1" applyBorder="1" applyAlignment="1">
      <alignment horizontal="right"/>
    </xf>
    <xf numFmtId="192" fontId="6" fillId="65" borderId="66" xfId="0" applyNumberFormat="1" applyFont="1" applyFill="1" applyBorder="1" applyAlignment="1">
      <alignment/>
    </xf>
    <xf numFmtId="192" fontId="6" fillId="65" borderId="109" xfId="0" applyNumberFormat="1" applyFont="1" applyFill="1" applyBorder="1" applyAlignment="1" applyProtection="1">
      <alignment horizontal="right"/>
      <protection locked="0"/>
    </xf>
    <xf numFmtId="37" fontId="6" fillId="48" borderId="0" xfId="0" applyNumberFormat="1" applyFont="1" applyFill="1" applyBorder="1" applyAlignment="1" applyProtection="1">
      <alignment horizontal="center"/>
      <protection locked="0"/>
    </xf>
    <xf numFmtId="187" fontId="6" fillId="68" borderId="0" xfId="0" applyNumberFormat="1" applyFont="1" applyFill="1" applyBorder="1" applyAlignment="1" applyProtection="1">
      <alignment horizontal="center"/>
      <protection locked="0"/>
    </xf>
    <xf numFmtId="37" fontId="6" fillId="68" borderId="0" xfId="0" applyNumberFormat="1" applyFont="1" applyFill="1" applyAlignment="1">
      <alignment/>
    </xf>
    <xf numFmtId="0" fontId="153" fillId="0" borderId="0" xfId="72" applyFont="1">
      <alignment/>
      <protection/>
    </xf>
    <xf numFmtId="0" fontId="154" fillId="0" borderId="0" xfId="72" applyFont="1">
      <alignment/>
      <protection/>
    </xf>
    <xf numFmtId="5" fontId="153" fillId="0" borderId="0" xfId="72" applyNumberFormat="1" applyFont="1">
      <alignment/>
      <protection/>
    </xf>
    <xf numFmtId="37" fontId="11" fillId="0" borderId="0" xfId="0" applyNumberFormat="1" applyFont="1" applyFill="1" applyAlignment="1">
      <alignment horizontal="right"/>
    </xf>
    <xf numFmtId="37" fontId="10" fillId="0" borderId="0" xfId="0" applyNumberFormat="1" applyFont="1" applyFill="1" applyAlignment="1">
      <alignment horizontal="right"/>
    </xf>
    <xf numFmtId="37" fontId="6" fillId="0" borderId="0" xfId="0" applyNumberFormat="1" applyFont="1" applyFill="1" applyAlignment="1">
      <alignment horizontal="left"/>
    </xf>
    <xf numFmtId="37" fontId="6" fillId="0" borderId="0" xfId="0" applyNumberFormat="1" applyFont="1" applyFill="1" applyAlignment="1">
      <alignment horizontal="left"/>
    </xf>
    <xf numFmtId="37" fontId="6" fillId="0" borderId="0" xfId="0" applyNumberFormat="1" applyFont="1" applyFill="1" applyAlignment="1">
      <alignment/>
    </xf>
    <xf numFmtId="37" fontId="6" fillId="0" borderId="0" xfId="0" applyNumberFormat="1" applyFont="1" applyFill="1" applyAlignment="1">
      <alignment horizontal="right"/>
    </xf>
    <xf numFmtId="37" fontId="10" fillId="0" borderId="0" xfId="0" applyNumberFormat="1" applyFont="1" applyFill="1" applyAlignment="1">
      <alignment/>
    </xf>
    <xf numFmtId="5" fontId="6" fillId="0" borderId="8" xfId="0" applyNumberFormat="1" applyFont="1" applyFill="1" applyBorder="1" applyAlignment="1">
      <alignment/>
    </xf>
    <xf numFmtId="37" fontId="6" fillId="0" borderId="0" xfId="0" applyNumberFormat="1" applyFont="1" applyFill="1" applyAlignment="1" applyProtection="1">
      <alignment horizontal="left"/>
      <protection locked="0"/>
    </xf>
    <xf numFmtId="37" fontId="6" fillId="0" borderId="0" xfId="0" applyNumberFormat="1" applyFont="1" applyFill="1" applyAlignment="1">
      <alignment horizontal="center"/>
    </xf>
    <xf numFmtId="37" fontId="10" fillId="0" borderId="0" xfId="0" applyNumberFormat="1" applyFont="1" applyFill="1" applyAlignment="1">
      <alignment horizontal="center"/>
    </xf>
    <xf numFmtId="37" fontId="6" fillId="0" borderId="38" xfId="0" applyNumberFormat="1" applyFont="1" applyFill="1" applyBorder="1" applyAlignment="1" applyProtection="1">
      <alignment horizontal="centerContinuous"/>
      <protection locked="0"/>
    </xf>
    <xf numFmtId="37" fontId="6" fillId="0" borderId="11" xfId="0" applyNumberFormat="1" applyFont="1" applyFill="1" applyBorder="1" applyAlignment="1">
      <alignment horizontal="centerContinuous"/>
    </xf>
    <xf numFmtId="37" fontId="10" fillId="0" borderId="0" xfId="0" applyNumberFormat="1" applyFont="1" applyFill="1" applyAlignment="1">
      <alignment horizontal="left"/>
    </xf>
    <xf numFmtId="37" fontId="11" fillId="0" borderId="0" xfId="0" applyNumberFormat="1" applyFont="1" applyFill="1" applyAlignment="1">
      <alignment horizontal="left"/>
    </xf>
    <xf numFmtId="37" fontId="11" fillId="0" borderId="0" xfId="0" applyNumberFormat="1" applyFont="1" applyFill="1" applyAlignment="1">
      <alignment/>
    </xf>
    <xf numFmtId="37" fontId="6" fillId="49" borderId="8" xfId="0" applyNumberFormat="1" applyFont="1" applyFill="1" applyBorder="1" applyAlignment="1" applyProtection="1">
      <alignment/>
      <protection locked="0"/>
    </xf>
    <xf numFmtId="37" fontId="6" fillId="0" borderId="17" xfId="0" applyNumberFormat="1" applyFont="1" applyFill="1" applyBorder="1" applyAlignment="1" applyProtection="1">
      <alignment/>
      <protection locked="0"/>
    </xf>
    <xf numFmtId="37" fontId="6" fillId="48" borderId="8" xfId="0" applyNumberFormat="1" applyFont="1" applyFill="1" applyBorder="1" applyAlignment="1" applyProtection="1">
      <alignment horizontal="center"/>
      <protection locked="0"/>
    </xf>
    <xf numFmtId="37" fontId="6" fillId="48" borderId="19" xfId="0" applyNumberFormat="1" applyFont="1" applyFill="1" applyBorder="1" applyAlignment="1" applyProtection="1">
      <alignment horizontal="center"/>
      <protection locked="0"/>
    </xf>
    <xf numFmtId="37" fontId="6" fillId="49" borderId="18" xfId="0" applyNumberFormat="1" applyFont="1" applyFill="1" applyBorder="1" applyAlignment="1" applyProtection="1">
      <alignment horizontal="center"/>
      <protection locked="0"/>
    </xf>
    <xf numFmtId="37" fontId="6" fillId="49" borderId="19" xfId="0" applyNumberFormat="1" applyFont="1" applyFill="1" applyBorder="1" applyAlignment="1" applyProtection="1">
      <alignment horizontal="center"/>
      <protection locked="0"/>
    </xf>
    <xf numFmtId="37" fontId="6" fillId="48" borderId="110" xfId="0" applyNumberFormat="1" applyFont="1" applyFill="1" applyBorder="1" applyAlignment="1" applyProtection="1">
      <alignment horizontal="center"/>
      <protection locked="0"/>
    </xf>
    <xf numFmtId="37" fontId="6" fillId="48" borderId="42" xfId="0" applyNumberFormat="1" applyFont="1" applyFill="1" applyBorder="1" applyAlignment="1" applyProtection="1">
      <alignment horizontal="center"/>
      <protection locked="0"/>
    </xf>
    <xf numFmtId="37" fontId="6" fillId="48" borderId="42" xfId="0" applyNumberFormat="1" applyFont="1" applyFill="1" applyBorder="1" applyAlignment="1" applyProtection="1" quotePrefix="1">
      <alignment horizontal="center"/>
      <protection locked="0"/>
    </xf>
    <xf numFmtId="37" fontId="6" fillId="50" borderId="42" xfId="0" applyNumberFormat="1" applyFont="1" applyFill="1" applyBorder="1" applyAlignment="1" applyProtection="1">
      <alignment horizontal="center"/>
      <protection locked="0"/>
    </xf>
    <xf numFmtId="37" fontId="6" fillId="48" borderId="34" xfId="0" applyNumberFormat="1" applyFont="1" applyFill="1" applyBorder="1" applyAlignment="1" applyProtection="1">
      <alignment horizontal="center"/>
      <protection locked="0"/>
    </xf>
    <xf numFmtId="37" fontId="6" fillId="48" borderId="35" xfId="0" applyNumberFormat="1" applyFont="1" applyFill="1" applyBorder="1" applyAlignment="1" applyProtection="1">
      <alignment horizontal="center"/>
      <protection locked="0"/>
    </xf>
    <xf numFmtId="37" fontId="6" fillId="48" borderId="35" xfId="0" applyNumberFormat="1" applyFont="1" applyFill="1" applyBorder="1" applyAlignment="1" applyProtection="1" quotePrefix="1">
      <alignment horizontal="center"/>
      <protection locked="0"/>
    </xf>
    <xf numFmtId="37" fontId="6" fillId="50" borderId="35" xfId="0" applyNumberFormat="1" applyFont="1" applyFill="1" applyBorder="1" applyAlignment="1" applyProtection="1">
      <alignment horizontal="center"/>
      <protection locked="0"/>
    </xf>
    <xf numFmtId="5" fontId="6" fillId="49" borderId="74" xfId="0" applyNumberFormat="1" applyFont="1" applyFill="1" applyBorder="1" applyAlignment="1" applyProtection="1">
      <alignment/>
      <protection locked="0"/>
    </xf>
    <xf numFmtId="37" fontId="6" fillId="49" borderId="18" xfId="0" applyNumberFormat="1" applyFont="1" applyFill="1" applyBorder="1" applyAlignment="1" applyProtection="1">
      <alignment/>
      <protection locked="0"/>
    </xf>
    <xf numFmtId="186" fontId="6" fillId="48" borderId="8" xfId="0" applyNumberFormat="1" applyFont="1" applyFill="1" applyBorder="1" applyAlignment="1" applyProtection="1">
      <alignment/>
      <protection locked="0"/>
    </xf>
    <xf numFmtId="37" fontId="6" fillId="49" borderId="111" xfId="0" applyNumberFormat="1" applyFont="1" applyFill="1" applyBorder="1" applyAlignment="1" applyProtection="1">
      <alignment/>
      <protection locked="0"/>
    </xf>
    <xf numFmtId="5" fontId="6" fillId="49" borderId="18" xfId="0" applyNumberFormat="1" applyFont="1" applyFill="1" applyBorder="1" applyAlignment="1" applyProtection="1">
      <alignment/>
      <protection locked="0"/>
    </xf>
    <xf numFmtId="37" fontId="6" fillId="49" borderId="112" xfId="0" applyNumberFormat="1" applyFont="1" applyFill="1" applyBorder="1" applyAlignment="1" applyProtection="1">
      <alignment/>
      <protection locked="0"/>
    </xf>
    <xf numFmtId="37" fontId="6" fillId="49" borderId="113" xfId="0" applyNumberFormat="1" applyFont="1" applyFill="1" applyBorder="1" applyAlignment="1" applyProtection="1">
      <alignment/>
      <protection locked="0"/>
    </xf>
    <xf numFmtId="37" fontId="6" fillId="48" borderId="17" xfId="0" applyNumberFormat="1" applyFont="1" applyFill="1" applyBorder="1" applyAlignment="1" applyProtection="1">
      <alignment horizontal="right"/>
      <protection locked="0"/>
    </xf>
    <xf numFmtId="37" fontId="6" fillId="48" borderId="36" xfId="83" applyNumberFormat="1" applyFont="1" applyFill="1" applyBorder="1" applyAlignment="1" applyProtection="1">
      <alignment/>
      <protection locked="0"/>
    </xf>
    <xf numFmtId="37" fontId="6" fillId="48" borderId="9" xfId="0" applyNumberFormat="1" applyFont="1" applyFill="1" applyBorder="1" applyAlignment="1" applyProtection="1">
      <alignment horizontal="center"/>
      <protection locked="0"/>
    </xf>
    <xf numFmtId="3" fontId="31" fillId="0" borderId="0" xfId="0" applyNumberFormat="1" applyFont="1" applyFill="1" applyAlignment="1">
      <alignment/>
    </xf>
    <xf numFmtId="37" fontId="6" fillId="58" borderId="0" xfId="0" applyNumberFormat="1" applyFont="1" applyFill="1" applyAlignment="1" applyProtection="1">
      <alignment vertical="top"/>
      <protection locked="0"/>
    </xf>
    <xf numFmtId="5" fontId="6" fillId="58" borderId="0" xfId="0" applyNumberFormat="1" applyFont="1" applyFill="1" applyAlignment="1" applyProtection="1">
      <alignment vertical="top"/>
      <protection locked="0"/>
    </xf>
    <xf numFmtId="0" fontId="6" fillId="58" borderId="0" xfId="0" applyFont="1" applyFill="1" applyAlignment="1" applyProtection="1">
      <alignment vertical="top"/>
      <protection locked="0"/>
    </xf>
    <xf numFmtId="3" fontId="99" fillId="0" borderId="0" xfId="0" applyNumberFormat="1" applyFont="1" applyFill="1" applyAlignment="1">
      <alignment/>
    </xf>
    <xf numFmtId="37" fontId="30" fillId="69" borderId="45" xfId="0" applyNumberFormat="1" applyFont="1" applyFill="1" applyBorder="1" applyAlignment="1">
      <alignment vertical="top"/>
    </xf>
    <xf numFmtId="5" fontId="6" fillId="0" borderId="0" xfId="0" applyNumberFormat="1" applyFont="1" applyFill="1" applyAlignment="1" applyProtection="1">
      <alignment vertical="top"/>
      <protection hidden="1"/>
    </xf>
    <xf numFmtId="37" fontId="6" fillId="0" borderId="8" xfId="0" applyNumberFormat="1" applyFont="1" applyFill="1" applyBorder="1" applyAlignment="1">
      <alignment/>
    </xf>
    <xf numFmtId="37" fontId="6" fillId="0" borderId="53" xfId="0" applyNumberFormat="1" applyFont="1" applyFill="1" applyBorder="1" applyAlignment="1" applyProtection="1">
      <alignment vertical="top"/>
      <protection locked="0"/>
    </xf>
    <xf numFmtId="39" fontId="6" fillId="68" borderId="18" xfId="0" applyNumberFormat="1" applyFont="1" applyFill="1" applyBorder="1" applyAlignment="1" applyProtection="1">
      <alignment/>
      <protection/>
    </xf>
    <xf numFmtId="0" fontId="2" fillId="0" borderId="18" xfId="0" applyFont="1" applyBorder="1" applyAlignment="1">
      <alignment vertical="top"/>
    </xf>
    <xf numFmtId="7" fontId="75" fillId="0" borderId="37" xfId="0" applyNumberFormat="1" applyFont="1" applyBorder="1" applyAlignment="1">
      <alignment vertical="top"/>
    </xf>
    <xf numFmtId="7" fontId="2" fillId="0" borderId="114" xfId="0" applyNumberFormat="1" applyFont="1" applyBorder="1" applyAlignment="1">
      <alignment vertical="top"/>
    </xf>
    <xf numFmtId="7" fontId="2" fillId="0" borderId="80" xfId="45" applyNumberFormat="1" applyFont="1" applyBorder="1" applyAlignment="1">
      <alignment/>
    </xf>
    <xf numFmtId="8" fontId="2" fillId="0" borderId="105" xfId="0" applyNumberFormat="1" applyFont="1" applyBorder="1" applyAlignment="1">
      <alignment vertical="top"/>
    </xf>
    <xf numFmtId="37" fontId="6" fillId="0" borderId="18" xfId="0" applyNumberFormat="1" applyFont="1" applyFill="1" applyBorder="1" applyAlignment="1" applyProtection="1" quotePrefix="1">
      <alignment/>
      <protection locked="0"/>
    </xf>
    <xf numFmtId="37" fontId="6" fillId="63" borderId="0" xfId="0" applyNumberFormat="1" applyFont="1" applyFill="1" applyAlignment="1">
      <alignment/>
    </xf>
    <xf numFmtId="37" fontId="6" fillId="0" borderId="18" xfId="0" applyNumberFormat="1" applyFont="1" applyFill="1" applyBorder="1" applyAlignment="1" applyProtection="1">
      <alignment/>
      <protection locked="0"/>
    </xf>
    <xf numFmtId="10" fontId="6" fillId="63" borderId="17" xfId="76" applyFont="1" applyFill="1" applyBorder="1" applyAlignment="1">
      <alignment/>
    </xf>
    <xf numFmtId="37" fontId="155" fillId="0" borderId="0" xfId="0" applyNumberFormat="1" applyFont="1" applyAlignment="1">
      <alignment horizontal="left"/>
    </xf>
    <xf numFmtId="37" fontId="155" fillId="0" borderId="0" xfId="0" applyNumberFormat="1" applyFont="1" applyAlignment="1">
      <alignment/>
    </xf>
    <xf numFmtId="5" fontId="6" fillId="0" borderId="115" xfId="0" applyNumberFormat="1" applyFont="1" applyBorder="1" applyAlignment="1" applyProtection="1">
      <alignment/>
      <protection/>
    </xf>
    <xf numFmtId="10" fontId="0" fillId="0" borderId="116" xfId="0" applyNumberFormat="1" applyFont="1" applyFill="1" applyBorder="1" applyAlignment="1" applyProtection="1">
      <alignment horizontal="right"/>
      <protection/>
    </xf>
    <xf numFmtId="10" fontId="0" fillId="0" borderId="0" xfId="76" applyBorder="1" applyAlignment="1">
      <alignment horizontal="right"/>
    </xf>
    <xf numFmtId="37" fontId="65" fillId="0" borderId="0" xfId="0" applyNumberFormat="1" applyFont="1" applyBorder="1" applyAlignment="1" applyProtection="1">
      <alignment horizontal="right"/>
      <protection/>
    </xf>
    <xf numFmtId="37" fontId="65" fillId="0" borderId="117" xfId="0" applyNumberFormat="1" applyFont="1" applyBorder="1" applyAlignment="1" applyProtection="1">
      <alignment horizontal="right"/>
      <protection/>
    </xf>
    <xf numFmtId="10" fontId="5" fillId="0" borderId="17" xfId="0" applyNumberFormat="1" applyFont="1" applyFill="1" applyBorder="1" applyAlignment="1">
      <alignment/>
    </xf>
    <xf numFmtId="5" fontId="156" fillId="0" borderId="118" xfId="0" applyNumberFormat="1" applyFont="1" applyBorder="1" applyAlignment="1" applyProtection="1">
      <alignment horizontal="left"/>
      <protection/>
    </xf>
    <xf numFmtId="177" fontId="27" fillId="63" borderId="119" xfId="84" applyFont="1" applyFill="1" applyBorder="1" applyAlignment="1">
      <alignment horizontal="left"/>
      <protection locked="0"/>
    </xf>
    <xf numFmtId="37" fontId="6" fillId="0" borderId="0" xfId="0" applyNumberFormat="1" applyFont="1" applyFill="1" applyBorder="1" applyAlignment="1">
      <alignment horizontal="right"/>
    </xf>
    <xf numFmtId="166" fontId="6" fillId="0" borderId="0" xfId="0" applyNumberFormat="1" applyFont="1" applyFill="1" applyBorder="1" applyAlignment="1" applyProtection="1">
      <alignment horizontal="center"/>
      <protection locked="0"/>
    </xf>
    <xf numFmtId="203" fontId="6" fillId="0" borderId="28" xfId="0" applyNumberFormat="1" applyFont="1" applyFill="1" applyBorder="1" applyAlignment="1" applyProtection="1">
      <alignment/>
      <protection locked="0"/>
    </xf>
    <xf numFmtId="37" fontId="6" fillId="0" borderId="31" xfId="0" applyNumberFormat="1" applyFont="1" applyFill="1" applyBorder="1" applyAlignment="1" applyProtection="1">
      <alignment horizontal="right"/>
      <protection locked="0"/>
    </xf>
    <xf numFmtId="177" fontId="2" fillId="0" borderId="0" xfId="47" applyNumberFormat="1" applyFont="1" applyFill="1" applyAlignment="1">
      <alignment/>
    </xf>
    <xf numFmtId="0" fontId="66" fillId="0" borderId="0" xfId="71" applyFont="1" applyAlignment="1">
      <alignment horizontal="center"/>
      <protection/>
    </xf>
    <xf numFmtId="10" fontId="157" fillId="68" borderId="0" xfId="76" applyFont="1" applyFill="1" applyAlignment="1">
      <alignment/>
    </xf>
    <xf numFmtId="0" fontId="31" fillId="0" borderId="0" xfId="71" applyFont="1">
      <alignment/>
      <protection/>
    </xf>
    <xf numFmtId="0" fontId="68" fillId="0" borderId="0" xfId="71" applyFont="1">
      <alignment/>
      <protection/>
    </xf>
    <xf numFmtId="0" fontId="69" fillId="0" borderId="120" xfId="71" applyFont="1" applyBorder="1" applyAlignment="1">
      <alignment horizontal="center"/>
      <protection/>
    </xf>
    <xf numFmtId="0" fontId="69" fillId="0" borderId="71" xfId="71" applyFont="1" applyBorder="1" applyAlignment="1">
      <alignment horizontal="center"/>
      <protection/>
    </xf>
    <xf numFmtId="10" fontId="157" fillId="68" borderId="56" xfId="76" applyFont="1" applyFill="1" applyBorder="1" applyAlignment="1">
      <alignment/>
    </xf>
    <xf numFmtId="0" fontId="68" fillId="0" borderId="56" xfId="71" applyFont="1" applyBorder="1" applyAlignment="1">
      <alignment horizontal="center"/>
      <protection/>
    </xf>
    <xf numFmtId="0" fontId="68" fillId="0" borderId="30" xfId="71" applyFont="1" applyBorder="1" applyAlignment="1">
      <alignment horizontal="center"/>
      <protection/>
    </xf>
    <xf numFmtId="0" fontId="68" fillId="0" borderId="72" xfId="71" applyFont="1" applyBorder="1" applyAlignment="1">
      <alignment horizontal="center"/>
      <protection/>
    </xf>
    <xf numFmtId="0" fontId="68" fillId="0" borderId="26" xfId="71" applyFont="1" applyBorder="1" applyAlignment="1">
      <alignment horizontal="center"/>
      <protection/>
    </xf>
    <xf numFmtId="0" fontId="68" fillId="0" borderId="121" xfId="71" applyFont="1" applyBorder="1" applyAlignment="1" applyProtection="1">
      <alignment horizontal="center"/>
      <protection locked="0"/>
    </xf>
    <xf numFmtId="10" fontId="157" fillId="68" borderId="0" xfId="76" applyFont="1" applyFill="1" applyAlignment="1">
      <alignment horizontal="center"/>
    </xf>
    <xf numFmtId="0" fontId="68" fillId="0" borderId="0" xfId="71" applyFont="1" applyAlignment="1">
      <alignment horizontal="center"/>
      <protection/>
    </xf>
    <xf numFmtId="0" fontId="68" fillId="0" borderId="122" xfId="71" applyFont="1" applyBorder="1" applyAlignment="1">
      <alignment horizontal="center"/>
      <protection/>
    </xf>
    <xf numFmtId="37" fontId="68" fillId="0" borderId="120" xfId="71" applyNumberFormat="1" applyFont="1" applyBorder="1" applyAlignment="1">
      <alignment horizontal="center"/>
      <protection/>
    </xf>
    <xf numFmtId="37" fontId="68" fillId="0" borderId="71" xfId="71" applyNumberFormat="1" applyFont="1" applyBorder="1" applyAlignment="1">
      <alignment horizontal="center"/>
      <protection/>
    </xf>
    <xf numFmtId="201" fontId="68" fillId="0" borderId="71" xfId="71" applyNumberFormat="1" applyFont="1" applyBorder="1" applyAlignment="1">
      <alignment horizontal="center"/>
      <protection/>
    </xf>
    <xf numFmtId="10" fontId="68" fillId="0" borderId="26" xfId="71" applyNumberFormat="1" applyFont="1" applyBorder="1" applyAlignment="1">
      <alignment horizontal="center"/>
      <protection/>
    </xf>
    <xf numFmtId="201" fontId="158" fillId="0" borderId="0" xfId="71" applyNumberFormat="1" applyFont="1">
      <alignment/>
      <protection/>
    </xf>
    <xf numFmtId="10" fontId="0" fillId="0" borderId="0" xfId="76" applyAlignment="1">
      <alignment/>
    </xf>
    <xf numFmtId="201" fontId="68" fillId="0" borderId="26" xfId="71" applyNumberFormat="1" applyFont="1" applyBorder="1" applyAlignment="1">
      <alignment horizontal="center"/>
      <protection/>
    </xf>
    <xf numFmtId="2" fontId="158" fillId="0" borderId="0" xfId="71" applyNumberFormat="1" applyFont="1">
      <alignment/>
      <protection/>
    </xf>
    <xf numFmtId="0" fontId="68" fillId="0" borderId="120" xfId="71" applyFont="1" applyBorder="1" applyProtection="1">
      <alignment/>
      <protection locked="0"/>
    </xf>
    <xf numFmtId="0" fontId="68" fillId="0" borderId="69" xfId="71" applyFont="1" applyBorder="1" applyAlignment="1" applyProtection="1">
      <alignment horizontal="center"/>
      <protection locked="0"/>
    </xf>
    <xf numFmtId="10" fontId="31" fillId="0" borderId="0" xfId="71" applyNumberFormat="1" applyFont="1">
      <alignment/>
      <protection/>
    </xf>
    <xf numFmtId="0" fontId="68" fillId="0" borderId="26" xfId="71" applyFont="1" applyBorder="1" applyAlignment="1" applyProtection="1">
      <alignment horizontal="center"/>
      <protection locked="0"/>
    </xf>
    <xf numFmtId="0" fontId="68" fillId="0" borderId="69" xfId="71" applyFont="1" applyBorder="1" applyAlignment="1">
      <alignment horizontal="center"/>
      <protection/>
    </xf>
    <xf numFmtId="0" fontId="100" fillId="0" borderId="123" xfId="71" applyFont="1" applyBorder="1" applyAlignment="1">
      <alignment horizontal="center"/>
      <protection/>
    </xf>
    <xf numFmtId="0" fontId="100" fillId="0" borderId="124" xfId="71" applyFont="1" applyBorder="1" applyAlignment="1">
      <alignment horizontal="center"/>
      <protection/>
    </xf>
    <xf numFmtId="10" fontId="100" fillId="0" borderId="125" xfId="71" applyNumberFormat="1" applyFont="1" applyBorder="1" applyAlignment="1">
      <alignment horizontal="center"/>
      <protection/>
    </xf>
    <xf numFmtId="0" fontId="159" fillId="0" borderId="0" xfId="72" applyFont="1">
      <alignment/>
      <protection/>
    </xf>
    <xf numFmtId="0" fontId="43" fillId="0" borderId="0" xfId="72" applyFont="1" applyAlignment="1">
      <alignment horizontal="center" wrapText="1"/>
      <protection/>
    </xf>
    <xf numFmtId="0" fontId="160" fillId="0" borderId="0" xfId="72" applyFont="1">
      <alignment/>
      <protection/>
    </xf>
    <xf numFmtId="0" fontId="29" fillId="0" borderId="0" xfId="72" applyFont="1">
      <alignment/>
      <protection/>
    </xf>
    <xf numFmtId="0" fontId="30" fillId="0" borderId="0" xfId="72" applyFont="1">
      <alignment/>
      <protection/>
    </xf>
    <xf numFmtId="0" fontId="10" fillId="0" borderId="0" xfId="72" applyFont="1" applyAlignment="1">
      <alignment horizontal="center"/>
      <protection/>
    </xf>
    <xf numFmtId="0" fontId="11" fillId="0" borderId="59" xfId="72" applyFont="1" applyBorder="1">
      <alignment/>
      <protection/>
    </xf>
    <xf numFmtId="0" fontId="6" fillId="0" borderId="0" xfId="72" applyFont="1">
      <alignment/>
      <protection/>
    </xf>
    <xf numFmtId="0" fontId="10" fillId="0" borderId="0" xfId="72" applyFont="1">
      <alignment/>
      <protection/>
    </xf>
    <xf numFmtId="1" fontId="27" fillId="50" borderId="16" xfId="84" applyNumberFormat="1" applyFont="1" applyFill="1" applyBorder="1" applyAlignment="1">
      <alignment horizontal="center"/>
      <protection locked="0"/>
    </xf>
    <xf numFmtId="0" fontId="7" fillId="0" borderId="126" xfId="72" applyBorder="1" applyAlignment="1">
      <alignment horizontal="center"/>
      <protection/>
    </xf>
    <xf numFmtId="0" fontId="7" fillId="0" borderId="127" xfId="72" applyBorder="1">
      <alignment/>
      <protection/>
    </xf>
    <xf numFmtId="0" fontId="7" fillId="0" borderId="128" xfId="72" applyBorder="1">
      <alignment/>
      <protection/>
    </xf>
    <xf numFmtId="0" fontId="10" fillId="0" borderId="120" xfId="72" applyFont="1" applyBorder="1">
      <alignment/>
      <protection/>
    </xf>
    <xf numFmtId="0" fontId="7" fillId="0" borderId="69" xfId="72" applyBorder="1">
      <alignment/>
      <protection/>
    </xf>
    <xf numFmtId="0" fontId="7" fillId="0" borderId="129" xfId="72" applyBorder="1">
      <alignment/>
      <protection/>
    </xf>
    <xf numFmtId="0" fontId="10" fillId="0" borderId="130" xfId="72" applyFont="1" applyBorder="1">
      <alignment/>
      <protection/>
    </xf>
    <xf numFmtId="0" fontId="10" fillId="0" borderId="16" xfId="72" applyFont="1" applyBorder="1" applyAlignment="1">
      <alignment horizontal="center"/>
      <protection/>
    </xf>
    <xf numFmtId="0" fontId="7" fillId="0" borderId="16" xfId="72" applyBorder="1">
      <alignment/>
      <protection/>
    </xf>
    <xf numFmtId="0" fontId="7" fillId="0" borderId="131" xfId="72" applyBorder="1">
      <alignment/>
      <protection/>
    </xf>
    <xf numFmtId="0" fontId="7" fillId="0" borderId="132" xfId="72" applyBorder="1" applyAlignment="1">
      <alignment horizontal="center"/>
      <protection/>
    </xf>
    <xf numFmtId="0" fontId="7" fillId="0" borderId="133" xfId="72" applyBorder="1" applyAlignment="1">
      <alignment horizontal="center"/>
      <protection/>
    </xf>
    <xf numFmtId="0" fontId="10" fillId="0" borderId="56" xfId="72" applyFont="1" applyBorder="1">
      <alignment/>
      <protection/>
    </xf>
    <xf numFmtId="192" fontId="10" fillId="0" borderId="50" xfId="72" applyNumberFormat="1" applyFont="1" applyBorder="1">
      <alignment/>
      <protection/>
    </xf>
    <xf numFmtId="192" fontId="10" fillId="0" borderId="0" xfId="72" applyNumberFormat="1" applyFont="1">
      <alignment/>
      <protection/>
    </xf>
    <xf numFmtId="0" fontId="6" fillId="0" borderId="133" xfId="72" applyFont="1" applyBorder="1" applyAlignment="1">
      <alignment horizontal="center"/>
      <protection/>
    </xf>
    <xf numFmtId="192" fontId="7" fillId="0" borderId="50" xfId="72" applyNumberFormat="1" applyBorder="1">
      <alignment/>
      <protection/>
    </xf>
    <xf numFmtId="192" fontId="7" fillId="0" borderId="0" xfId="72" applyNumberFormat="1">
      <alignment/>
      <protection/>
    </xf>
    <xf numFmtId="0" fontId="7" fillId="0" borderId="134" xfId="72" applyBorder="1" applyAlignment="1">
      <alignment horizontal="center"/>
      <protection/>
    </xf>
    <xf numFmtId="0" fontId="7" fillId="0" borderId="8" xfId="72" applyBorder="1" applyAlignment="1">
      <alignment horizontal="center"/>
      <protection/>
    </xf>
    <xf numFmtId="0" fontId="7" fillId="0" borderId="135" xfId="72" applyBorder="1" applyAlignment="1">
      <alignment horizontal="center"/>
      <protection/>
    </xf>
    <xf numFmtId="0" fontId="7" fillId="0" borderId="136" xfId="72" applyBorder="1" applyAlignment="1">
      <alignment horizontal="center"/>
      <protection/>
    </xf>
    <xf numFmtId="177" fontId="31" fillId="0" borderId="35" xfId="51" applyFont="1" applyFill="1" applyBorder="1" applyAlignment="1">
      <alignment horizontal="center"/>
    </xf>
    <xf numFmtId="192" fontId="6" fillId="0" borderId="137" xfId="51" applyNumberFormat="1" applyFont="1" applyFill="1" applyBorder="1" applyAlignment="1">
      <alignment horizontal="center"/>
    </xf>
    <xf numFmtId="0" fontId="7" fillId="0" borderId="138" xfId="72" applyBorder="1" applyAlignment="1">
      <alignment horizontal="center"/>
      <protection/>
    </xf>
    <xf numFmtId="0" fontId="10" fillId="0" borderId="52" xfId="72" applyFont="1" applyBorder="1">
      <alignment/>
      <protection/>
    </xf>
    <xf numFmtId="5" fontId="7" fillId="0" borderId="0" xfId="45" applyNumberFormat="1" applyFont="1" applyAlignment="1">
      <alignment/>
    </xf>
    <xf numFmtId="192" fontId="5" fillId="0" borderId="139" xfId="0" applyNumberFormat="1" applyFont="1" applyBorder="1" applyAlignment="1">
      <alignment horizontal="right" vertical="top"/>
    </xf>
    <xf numFmtId="192" fontId="5" fillId="0" borderId="0" xfId="0" applyNumberFormat="1" applyFont="1" applyAlignment="1">
      <alignment horizontal="right" vertical="top"/>
    </xf>
    <xf numFmtId="0" fontId="41" fillId="0" borderId="130" xfId="72" applyFont="1" applyBorder="1" applyAlignment="1">
      <alignment horizontal="left"/>
      <protection/>
    </xf>
    <xf numFmtId="1" fontId="28" fillId="0" borderId="140" xfId="72" applyNumberFormat="1" applyFont="1" applyBorder="1" applyAlignment="1">
      <alignment horizontal="center"/>
      <protection/>
    </xf>
    <xf numFmtId="0" fontId="41" fillId="0" borderId="140" xfId="72" applyFont="1" applyBorder="1">
      <alignment/>
      <protection/>
    </xf>
    <xf numFmtId="192" fontId="27" fillId="0" borderId="131" xfId="51" applyNumberFormat="1" applyFont="1" applyFill="1" applyBorder="1" applyAlignment="1">
      <alignment horizontal="center"/>
    </xf>
    <xf numFmtId="0" fontId="31" fillId="0" borderId="0" xfId="72" applyFont="1" applyAlignment="1">
      <alignment horizontal="left"/>
      <protection/>
    </xf>
    <xf numFmtId="5" fontId="56" fillId="0" borderId="0" xfId="45" applyNumberFormat="1" applyFont="1" applyAlignment="1">
      <alignment/>
    </xf>
    <xf numFmtId="0" fontId="56" fillId="0" borderId="0" xfId="72" applyFont="1">
      <alignment/>
      <protection/>
    </xf>
    <xf numFmtId="0" fontId="44" fillId="0" borderId="0" xfId="72" applyFont="1">
      <alignment/>
      <protection/>
    </xf>
    <xf numFmtId="0" fontId="31" fillId="0" borderId="0" xfId="72" applyFont="1" applyProtection="1">
      <alignment/>
      <protection locked="0"/>
    </xf>
    <xf numFmtId="177" fontId="44" fillId="0" borderId="0" xfId="72" applyNumberFormat="1" applyFont="1">
      <alignment/>
      <protection/>
    </xf>
    <xf numFmtId="0" fontId="27" fillId="0" borderId="0" xfId="72" applyFont="1">
      <alignment/>
      <protection/>
    </xf>
    <xf numFmtId="200" fontId="28" fillId="50" borderId="8" xfId="84" applyNumberFormat="1" applyFont="1" applyFill="1" applyAlignment="1">
      <alignment horizontal="left"/>
      <protection locked="0"/>
    </xf>
    <xf numFmtId="0" fontId="46" fillId="0" borderId="0" xfId="72" applyFont="1">
      <alignment/>
      <protection/>
    </xf>
    <xf numFmtId="0" fontId="27" fillId="0" borderId="0" xfId="72" applyFont="1" applyAlignment="1">
      <alignment horizontal="right"/>
      <protection/>
    </xf>
    <xf numFmtId="177" fontId="27" fillId="50" borderId="8" xfId="84" applyFont="1" applyFill="1" applyAlignment="1">
      <alignment horizontal="center"/>
      <protection locked="0"/>
    </xf>
    <xf numFmtId="0" fontId="41" fillId="0" borderId="0" xfId="72" applyFont="1" applyAlignment="1" applyProtection="1">
      <alignment horizontal="left"/>
      <protection locked="0"/>
    </xf>
    <xf numFmtId="177" fontId="27" fillId="0" borderId="0" xfId="72" applyNumberFormat="1" applyFont="1" applyAlignment="1">
      <alignment horizontal="left"/>
      <protection/>
    </xf>
    <xf numFmtId="0" fontId="6" fillId="49" borderId="0" xfId="72" applyFont="1" applyFill="1" applyProtection="1">
      <alignment/>
      <protection locked="0"/>
    </xf>
    <xf numFmtId="0" fontId="6" fillId="70" borderId="0" xfId="72" applyFont="1" applyFill="1" applyProtection="1">
      <alignment/>
      <protection locked="0"/>
    </xf>
    <xf numFmtId="0" fontId="27" fillId="0" borderId="0" xfId="72" applyFont="1" applyAlignment="1" applyProtection="1">
      <alignment horizontal="right"/>
      <protection locked="0"/>
    </xf>
    <xf numFmtId="1" fontId="28" fillId="50" borderId="8" xfId="84" applyNumberFormat="1" applyFont="1" applyFill="1" applyAlignment="1">
      <alignment horizontal="center"/>
      <protection locked="0"/>
    </xf>
    <xf numFmtId="0" fontId="31" fillId="0" borderId="0" xfId="72" applyFont="1">
      <alignment/>
      <protection/>
    </xf>
    <xf numFmtId="1" fontId="28" fillId="50" borderId="17" xfId="84" applyNumberFormat="1" applyFont="1" applyFill="1" applyBorder="1" applyAlignment="1">
      <alignment horizontal="center"/>
      <protection locked="0"/>
    </xf>
    <xf numFmtId="0" fontId="6" fillId="34" borderId="0" xfId="72" applyFont="1" applyFill="1" applyProtection="1">
      <alignment/>
      <protection locked="0"/>
    </xf>
    <xf numFmtId="0" fontId="7" fillId="0" borderId="0" xfId="72" applyAlignment="1">
      <alignment horizontal="right"/>
      <protection/>
    </xf>
    <xf numFmtId="0" fontId="36" fillId="0" borderId="0" xfId="72" applyFont="1" applyAlignment="1">
      <alignment horizontal="center"/>
      <protection/>
    </xf>
    <xf numFmtId="0" fontId="41" fillId="0" borderId="0" xfId="72" applyFont="1" applyAlignment="1" applyProtection="1">
      <alignment horizontal="center"/>
      <protection locked="0"/>
    </xf>
    <xf numFmtId="14" fontId="41" fillId="0" borderId="0" xfId="72" applyNumberFormat="1" applyFont="1" applyAlignment="1">
      <alignment horizontal="center"/>
      <protection/>
    </xf>
    <xf numFmtId="0" fontId="41" fillId="0" borderId="0" xfId="72" applyFont="1" applyAlignment="1">
      <alignment horizontal="center"/>
      <protection/>
    </xf>
    <xf numFmtId="177" fontId="47" fillId="0" borderId="0" xfId="51" applyFont="1" applyFill="1" applyAlignment="1">
      <alignment horizontal="center"/>
    </xf>
    <xf numFmtId="0" fontId="6" fillId="29" borderId="0" xfId="72" applyFont="1" applyFill="1" applyProtection="1">
      <alignment/>
      <protection locked="0"/>
    </xf>
    <xf numFmtId="192" fontId="10" fillId="0" borderId="8" xfId="84" applyNumberFormat="1" applyFont="1" applyFill="1">
      <alignment horizontal="right"/>
      <protection locked="0"/>
    </xf>
    <xf numFmtId="192" fontId="6" fillId="0" borderId="0" xfId="51" applyNumberFormat="1" applyFont="1" applyFill="1" applyAlignment="1">
      <alignment/>
    </xf>
    <xf numFmtId="0" fontId="27" fillId="50" borderId="8" xfId="84" applyNumberFormat="1" applyFont="1" applyFill="1" applyAlignment="1">
      <alignment horizontal="left"/>
      <protection locked="0"/>
    </xf>
    <xf numFmtId="37" fontId="27" fillId="0" borderId="8" xfId="84" applyNumberFormat="1" applyFont="1" applyFill="1" applyAlignment="1">
      <alignment horizontal="left"/>
      <protection locked="0"/>
    </xf>
    <xf numFmtId="0" fontId="48" fillId="0" borderId="0" xfId="72" applyFont="1" applyProtection="1">
      <alignment/>
      <protection locked="0"/>
    </xf>
    <xf numFmtId="192" fontId="10" fillId="0" borderId="0" xfId="51" applyNumberFormat="1" applyFont="1" applyFill="1" applyAlignment="1">
      <alignment/>
    </xf>
    <xf numFmtId="192" fontId="31" fillId="0" borderId="0" xfId="51" applyNumberFormat="1" applyFont="1" applyFill="1" applyAlignment="1">
      <alignment/>
    </xf>
    <xf numFmtId="192" fontId="31" fillId="0" borderId="0" xfId="72" applyNumberFormat="1" applyFont="1" applyProtection="1">
      <alignment/>
      <protection locked="0"/>
    </xf>
    <xf numFmtId="192" fontId="41" fillId="0" borderId="0" xfId="51" applyNumberFormat="1" applyFont="1" applyFill="1" applyAlignment="1">
      <alignment/>
    </xf>
    <xf numFmtId="192" fontId="10" fillId="0" borderId="18" xfId="51" applyNumberFormat="1" applyFont="1" applyFill="1" applyBorder="1" applyAlignment="1" applyProtection="1">
      <alignment/>
      <protection locked="0"/>
    </xf>
    <xf numFmtId="37" fontId="27" fillId="0" borderId="0" xfId="84" applyNumberFormat="1" applyFont="1" applyFill="1" applyBorder="1" applyAlignment="1">
      <alignment horizontal="left"/>
      <protection locked="0"/>
    </xf>
    <xf numFmtId="0" fontId="29" fillId="29" borderId="0" xfId="72" applyFont="1" applyFill="1" applyProtection="1">
      <alignment/>
      <protection locked="0"/>
    </xf>
    <xf numFmtId="0" fontId="31" fillId="29" borderId="0" xfId="72" applyFont="1" applyFill="1">
      <alignment/>
      <protection/>
    </xf>
    <xf numFmtId="192" fontId="36" fillId="0" borderId="0" xfId="72" applyNumberFormat="1" applyFont="1">
      <alignment/>
      <protection/>
    </xf>
    <xf numFmtId="192" fontId="5" fillId="0" borderId="0" xfId="72" applyNumberFormat="1" applyFont="1">
      <alignment/>
      <protection/>
    </xf>
    <xf numFmtId="177" fontId="27" fillId="0" borderId="0" xfId="84" applyFont="1" applyFill="1" applyBorder="1">
      <alignment horizontal="right"/>
      <protection locked="0"/>
    </xf>
    <xf numFmtId="192" fontId="41" fillId="0" borderId="0" xfId="72" applyNumberFormat="1" applyFont="1" applyProtection="1">
      <alignment/>
      <protection locked="0"/>
    </xf>
    <xf numFmtId="0" fontId="31" fillId="49" borderId="0" xfId="72" applyFont="1" applyFill="1">
      <alignment/>
      <protection/>
    </xf>
    <xf numFmtId="201" fontId="31" fillId="0" borderId="0" xfId="72" applyNumberFormat="1" applyFont="1" applyProtection="1">
      <alignment/>
      <protection locked="0"/>
    </xf>
    <xf numFmtId="201" fontId="31" fillId="0" borderId="0" xfId="72" applyNumberFormat="1" applyFont="1">
      <alignment/>
      <protection/>
    </xf>
    <xf numFmtId="192" fontId="27" fillId="0" borderId="16" xfId="51" applyNumberFormat="1" applyFont="1" applyFill="1" applyBorder="1" applyAlignment="1">
      <alignment horizontal="right"/>
    </xf>
    <xf numFmtId="192" fontId="45" fillId="0" borderId="0" xfId="51" applyNumberFormat="1" applyFont="1" applyFill="1" applyAlignment="1">
      <alignment/>
    </xf>
    <xf numFmtId="0" fontId="29" fillId="0" borderId="24" xfId="72" applyFont="1" applyBorder="1">
      <alignment/>
      <protection/>
    </xf>
    <xf numFmtId="0" fontId="31" fillId="0" borderId="19" xfId="72" applyFont="1" applyBorder="1" applyProtection="1">
      <alignment/>
      <protection locked="0"/>
    </xf>
    <xf numFmtId="192" fontId="10" fillId="0" borderId="18" xfId="72" applyNumberFormat="1" applyFont="1" applyBorder="1" applyProtection="1">
      <alignment/>
      <protection locked="0"/>
    </xf>
    <xf numFmtId="192" fontId="10" fillId="50" borderId="0" xfId="72" applyNumberFormat="1" applyFont="1" applyFill="1" applyProtection="1">
      <alignment/>
      <protection locked="0"/>
    </xf>
    <xf numFmtId="192" fontId="29" fillId="0" borderId="8" xfId="51" applyNumberFormat="1" applyFont="1" applyFill="1" applyBorder="1" applyAlignment="1">
      <alignment horizontal="center"/>
    </xf>
    <xf numFmtId="192" fontId="45" fillId="0" borderId="0" xfId="51" applyNumberFormat="1" applyFont="1" applyFill="1" applyAlignment="1" applyProtection="1">
      <alignment/>
      <protection locked="0"/>
    </xf>
    <xf numFmtId="0" fontId="7" fillId="0" borderId="0" xfId="72" applyProtection="1">
      <alignment/>
      <protection locked="0"/>
    </xf>
    <xf numFmtId="192" fontId="10" fillId="0" borderId="0" xfId="84" applyNumberFormat="1" applyFont="1" applyFill="1" applyBorder="1">
      <alignment horizontal="right"/>
      <protection locked="0"/>
    </xf>
    <xf numFmtId="192" fontId="29" fillId="0" borderId="17" xfId="51" applyNumberFormat="1" applyFont="1" applyFill="1" applyBorder="1" applyAlignment="1">
      <alignment horizontal="center"/>
    </xf>
    <xf numFmtId="192" fontId="29" fillId="0" borderId="17" xfId="51" applyNumberFormat="1" applyFont="1" applyFill="1" applyBorder="1" applyAlignment="1" applyProtection="1">
      <alignment horizontal="center"/>
      <protection locked="0"/>
    </xf>
    <xf numFmtId="192" fontId="10" fillId="0" borderId="0" xfId="51" applyNumberFormat="1" applyFont="1" applyFill="1" applyAlignment="1" applyProtection="1">
      <alignment/>
      <protection locked="0"/>
    </xf>
    <xf numFmtId="192" fontId="28" fillId="0" borderId="12" xfId="51" applyNumberFormat="1" applyFont="1" applyFill="1" applyBorder="1" applyAlignment="1">
      <alignment horizontal="right"/>
    </xf>
    <xf numFmtId="192" fontId="28" fillId="0" borderId="0" xfId="51" applyNumberFormat="1" applyFont="1" applyFill="1" applyAlignment="1">
      <alignment/>
    </xf>
    <xf numFmtId="192" fontId="29" fillId="0" borderId="0" xfId="51" applyNumberFormat="1" applyFont="1" applyFill="1" applyAlignment="1">
      <alignment/>
    </xf>
    <xf numFmtId="0" fontId="41" fillId="0" borderId="0" xfId="72" applyFont="1">
      <alignment/>
      <protection/>
    </xf>
    <xf numFmtId="177" fontId="10" fillId="0" borderId="0" xfId="51" applyFont="1" applyFill="1" applyAlignment="1">
      <alignment/>
    </xf>
    <xf numFmtId="177" fontId="27" fillId="0" borderId="0" xfId="51" applyFont="1" applyFill="1" applyAlignment="1">
      <alignment/>
    </xf>
    <xf numFmtId="177" fontId="29" fillId="0" borderId="0" xfId="51" applyFont="1" applyFill="1" applyAlignment="1">
      <alignment/>
    </xf>
    <xf numFmtId="177" fontId="28" fillId="0" borderId="8" xfId="51" applyFont="1" applyFill="1" applyBorder="1" applyAlignment="1">
      <alignment horizontal="right"/>
    </xf>
    <xf numFmtId="177" fontId="6" fillId="0" borderId="0" xfId="51" applyFont="1" applyFill="1" applyAlignment="1">
      <alignment/>
    </xf>
    <xf numFmtId="5" fontId="41" fillId="0" borderId="0" xfId="50" applyFont="1" applyAlignment="1">
      <alignment horizontal="right"/>
    </xf>
    <xf numFmtId="0" fontId="41" fillId="0" borderId="0" xfId="50" applyNumberFormat="1" applyFont="1" applyAlignment="1">
      <alignment horizontal="left"/>
    </xf>
    <xf numFmtId="177" fontId="28" fillId="0" borderId="0" xfId="51" applyFont="1" applyFill="1" applyAlignment="1">
      <alignment/>
    </xf>
    <xf numFmtId="0" fontId="31" fillId="0" borderId="126" xfId="72" applyFont="1" applyBorder="1">
      <alignment/>
      <protection/>
    </xf>
    <xf numFmtId="0" fontId="31" fillId="0" borderId="127" xfId="72" applyFont="1" applyBorder="1">
      <alignment/>
      <protection/>
    </xf>
    <xf numFmtId="177" fontId="31" fillId="0" borderId="127" xfId="51" applyFont="1" applyFill="1" applyBorder="1" applyAlignment="1">
      <alignment/>
    </xf>
    <xf numFmtId="177" fontId="31" fillId="0" borderId="128" xfId="51" applyFont="1" applyFill="1" applyBorder="1" applyAlignment="1">
      <alignment/>
    </xf>
    <xf numFmtId="177" fontId="41" fillId="0" borderId="0" xfId="51" applyFont="1" applyFill="1" applyAlignment="1">
      <alignment horizontal="center"/>
    </xf>
    <xf numFmtId="177" fontId="28" fillId="0" borderId="8" xfId="51" applyFont="1" applyFill="1" applyBorder="1" applyAlignment="1">
      <alignment/>
    </xf>
    <xf numFmtId="0" fontId="31" fillId="0" borderId="132" xfId="72" applyFont="1" applyBorder="1">
      <alignment/>
      <protection/>
    </xf>
    <xf numFmtId="0" fontId="22" fillId="0" borderId="0" xfId="72" applyFont="1">
      <alignment/>
      <protection/>
    </xf>
    <xf numFmtId="177" fontId="10" fillId="0" borderId="0" xfId="51" applyFont="1" applyFill="1" applyAlignment="1">
      <alignment horizontal="center"/>
    </xf>
    <xf numFmtId="177" fontId="27" fillId="0" borderId="133" xfId="51" applyFont="1" applyFill="1" applyBorder="1" applyAlignment="1">
      <alignment horizontal="center"/>
    </xf>
    <xf numFmtId="0" fontId="31" fillId="0" borderId="133" xfId="72" applyFont="1" applyBorder="1">
      <alignment/>
      <protection/>
    </xf>
    <xf numFmtId="177" fontId="27" fillId="0" borderId="0" xfId="51" applyFont="1" applyFill="1" applyAlignment="1">
      <alignment horizontal="center"/>
    </xf>
    <xf numFmtId="9" fontId="28" fillId="0" borderId="8" xfId="77" applyNumberFormat="1" applyFont="1" applyFill="1" applyBorder="1" applyAlignment="1" applyProtection="1">
      <alignment horizontal="right"/>
      <protection locked="0"/>
    </xf>
    <xf numFmtId="177" fontId="27" fillId="0" borderId="56" xfId="51" applyFont="1" applyFill="1" applyBorder="1" applyAlignment="1">
      <alignment/>
    </xf>
    <xf numFmtId="177" fontId="27" fillId="0" borderId="50" xfId="51" applyFont="1" applyFill="1" applyBorder="1" applyAlignment="1">
      <alignment horizontal="center"/>
    </xf>
    <xf numFmtId="177" fontId="29" fillId="0" borderId="0" xfId="51" applyFont="1" applyFill="1" applyAlignment="1">
      <alignment horizontal="right"/>
    </xf>
    <xf numFmtId="10" fontId="27" fillId="0" borderId="8" xfId="76" applyFont="1" applyBorder="1" applyAlignment="1">
      <alignment horizontal="center"/>
    </xf>
    <xf numFmtId="10" fontId="29" fillId="0" borderId="8" xfId="77" applyFont="1" applyFill="1" applyBorder="1" applyAlignment="1" applyProtection="1">
      <alignment horizontal="center"/>
      <protection locked="0"/>
    </xf>
    <xf numFmtId="0" fontId="27" fillId="0" borderId="8" xfId="84" applyNumberFormat="1" applyFont="1" applyFill="1" applyAlignment="1" applyProtection="1">
      <alignment horizontal="center"/>
      <protection/>
    </xf>
    <xf numFmtId="177" fontId="28" fillId="0" borderId="135" xfId="84" applyFont="1" applyFill="1" applyBorder="1">
      <alignment horizontal="right"/>
      <protection locked="0"/>
    </xf>
    <xf numFmtId="177" fontId="28" fillId="0" borderId="0" xfId="51" applyFont="1" applyFill="1" applyAlignment="1">
      <alignment horizontal="right"/>
    </xf>
    <xf numFmtId="0" fontId="36" fillId="63" borderId="11" xfId="72" applyFont="1" applyFill="1" applyBorder="1">
      <alignment/>
      <protection/>
    </xf>
    <xf numFmtId="0" fontId="27" fillId="63" borderId="8" xfId="84" applyNumberFormat="1" applyFont="1" applyFill="1" applyAlignment="1">
      <alignment horizontal="center"/>
      <protection locked="0"/>
    </xf>
    <xf numFmtId="177" fontId="28" fillId="63" borderId="135" xfId="84" applyFont="1" applyFill="1" applyBorder="1">
      <alignment horizontal="right"/>
      <protection locked="0"/>
    </xf>
    <xf numFmtId="10" fontId="28" fillId="0" borderId="8" xfId="77" applyFont="1" applyFill="1" applyBorder="1" applyAlignment="1">
      <alignment horizontal="right"/>
    </xf>
    <xf numFmtId="177" fontId="6" fillId="0" borderId="0" xfId="51" applyFont="1" applyFill="1" applyAlignment="1">
      <alignment horizontal="center"/>
    </xf>
    <xf numFmtId="0" fontId="49" fillId="0" borderId="50" xfId="72" applyFont="1" applyBorder="1">
      <alignment/>
      <protection/>
    </xf>
    <xf numFmtId="177" fontId="28" fillId="0" borderId="51" xfId="72" applyNumberFormat="1" applyFont="1" applyBorder="1">
      <alignment/>
      <protection/>
    </xf>
    <xf numFmtId="177" fontId="31" fillId="0" borderId="50" xfId="51" applyFont="1" applyFill="1" applyBorder="1" applyAlignment="1">
      <alignment/>
    </xf>
    <xf numFmtId="10" fontId="28" fillId="50" borderId="18" xfId="77" applyFont="1" applyFill="1" applyBorder="1" applyAlignment="1" applyProtection="1">
      <alignment horizontal="left"/>
      <protection locked="0"/>
    </xf>
    <xf numFmtId="177" fontId="28" fillId="0" borderId="0" xfId="51" applyFont="1" applyFill="1" applyAlignment="1" applyProtection="1">
      <alignment/>
      <protection locked="0"/>
    </xf>
    <xf numFmtId="177" fontId="44" fillId="0" borderId="0" xfId="51" applyFont="1" applyFill="1" applyAlignment="1">
      <alignment/>
    </xf>
    <xf numFmtId="177" fontId="50" fillId="0" borderId="16" xfId="51" applyFont="1" applyFill="1" applyBorder="1" applyAlignment="1">
      <alignment horizontal="right"/>
    </xf>
    <xf numFmtId="199" fontId="28" fillId="50" borderId="18" xfId="84" applyNumberFormat="1" applyFont="1" applyFill="1" applyBorder="1" applyAlignment="1">
      <alignment horizontal="left"/>
      <protection locked="0"/>
    </xf>
    <xf numFmtId="0" fontId="49" fillId="0" borderId="0" xfId="72" applyFont="1">
      <alignment/>
      <protection/>
    </xf>
    <xf numFmtId="177" fontId="28" fillId="0" borderId="120" xfId="51" applyFont="1" applyFill="1" applyBorder="1" applyAlignment="1">
      <alignment/>
    </xf>
    <xf numFmtId="177" fontId="31" fillId="0" borderId="69" xfId="51" applyFont="1" applyFill="1" applyBorder="1" applyAlignment="1">
      <alignment/>
    </xf>
    <xf numFmtId="192" fontId="27" fillId="0" borderId="129" xfId="48" applyNumberFormat="1" applyFont="1" applyFill="1" applyBorder="1" applyAlignment="1">
      <alignment horizontal="center"/>
    </xf>
    <xf numFmtId="3" fontId="49" fillId="29" borderId="50" xfId="48" applyNumberFormat="1" applyFont="1" applyBorder="1" applyAlignment="1">
      <alignment/>
    </xf>
    <xf numFmtId="177" fontId="28" fillId="0" borderId="56" xfId="51" applyFont="1" applyFill="1" applyBorder="1" applyAlignment="1">
      <alignment/>
    </xf>
    <xf numFmtId="177" fontId="28" fillId="0" borderId="52" xfId="51" applyFont="1" applyFill="1" applyBorder="1" applyAlignment="1">
      <alignment/>
    </xf>
    <xf numFmtId="177" fontId="31" fillId="0" borderId="53" xfId="51" applyFont="1" applyFill="1" applyBorder="1" applyAlignment="1">
      <alignment/>
    </xf>
    <xf numFmtId="192" fontId="27" fillId="0" borderId="54" xfId="51" applyNumberFormat="1" applyFont="1" applyFill="1" applyBorder="1" applyAlignment="1">
      <alignment horizontal="center"/>
    </xf>
    <xf numFmtId="177" fontId="44" fillId="44" borderId="0" xfId="73" applyNumberFormat="1" applyFont="1" applyFill="1">
      <alignment/>
      <protection/>
    </xf>
    <xf numFmtId="177" fontId="31" fillId="44" borderId="0" xfId="52" applyFont="1" applyFill="1" applyAlignment="1">
      <alignment/>
    </xf>
    <xf numFmtId="177" fontId="47" fillId="44" borderId="0" xfId="52" applyFont="1" applyFill="1" applyAlignment="1">
      <alignment horizontal="center"/>
    </xf>
    <xf numFmtId="0" fontId="36" fillId="44" borderId="0" xfId="73" applyFont="1" applyFill="1" applyAlignment="1">
      <alignment horizontal="center"/>
      <protection/>
    </xf>
    <xf numFmtId="177" fontId="10" fillId="50" borderId="8" xfId="85" applyFont="1" applyFill="1">
      <alignment horizontal="right"/>
      <protection locked="0"/>
    </xf>
    <xf numFmtId="177" fontId="10" fillId="44" borderId="8" xfId="85" applyFont="1" applyFill="1">
      <alignment horizontal="right"/>
      <protection locked="0"/>
    </xf>
    <xf numFmtId="177" fontId="10" fillId="44" borderId="0" xfId="52" applyFont="1" applyFill="1" applyAlignment="1">
      <alignment/>
    </xf>
    <xf numFmtId="177" fontId="29" fillId="44" borderId="8" xfId="85" applyFont="1" applyFill="1">
      <alignment horizontal="right"/>
      <protection locked="0"/>
    </xf>
    <xf numFmtId="177" fontId="29" fillId="44" borderId="0" xfId="85" applyFont="1" applyFill="1" applyBorder="1">
      <alignment horizontal="right"/>
      <protection locked="0"/>
    </xf>
    <xf numFmtId="177" fontId="27" fillId="44" borderId="0" xfId="85" applyFont="1" applyFill="1" applyBorder="1">
      <alignment horizontal="right"/>
      <protection locked="0"/>
    </xf>
    <xf numFmtId="177" fontId="10" fillId="44" borderId="0" xfId="52" applyFont="1" applyFill="1" applyAlignment="1" applyProtection="1">
      <alignment/>
      <protection locked="0"/>
    </xf>
    <xf numFmtId="192" fontId="10" fillId="44" borderId="8" xfId="85" applyNumberFormat="1" applyFont="1" applyFill="1">
      <alignment horizontal="right"/>
      <protection locked="0"/>
    </xf>
    <xf numFmtId="177" fontId="10" fillId="44" borderId="16" xfId="52" applyFont="1" applyFill="1" applyBorder="1" applyAlignment="1">
      <alignment horizontal="right"/>
    </xf>
    <xf numFmtId="177" fontId="28" fillId="44" borderId="0" xfId="52" applyFont="1" applyFill="1" applyAlignment="1">
      <alignment/>
    </xf>
    <xf numFmtId="177" fontId="27" fillId="44" borderId="8" xfId="52" applyFont="1" applyFill="1" applyBorder="1" applyAlignment="1">
      <alignment horizontal="center"/>
    </xf>
    <xf numFmtId="177" fontId="45" fillId="44" borderId="0" xfId="52" applyFont="1" applyFill="1" applyAlignment="1">
      <alignment/>
    </xf>
    <xf numFmtId="37" fontId="27" fillId="0" borderId="18" xfId="84" applyNumberFormat="1" applyFont="1" applyFill="1" applyBorder="1" applyAlignment="1">
      <alignment horizontal="left"/>
      <protection locked="0"/>
    </xf>
    <xf numFmtId="177" fontId="10" fillId="44" borderId="141" xfId="85" applyFont="1" applyFill="1" applyBorder="1">
      <alignment horizontal="right"/>
      <protection locked="0"/>
    </xf>
    <xf numFmtId="177" fontId="27" fillId="44" borderId="12" xfId="52" applyFont="1" applyFill="1" applyBorder="1" applyAlignment="1">
      <alignment horizontal="right"/>
    </xf>
    <xf numFmtId="177" fontId="27" fillId="44" borderId="0" xfId="52" applyFont="1" applyFill="1" applyAlignment="1">
      <alignment/>
    </xf>
    <xf numFmtId="177" fontId="31" fillId="29" borderId="0" xfId="52" applyFont="1" applyAlignment="1" applyProtection="1">
      <alignment/>
      <protection locked="0"/>
    </xf>
    <xf numFmtId="0" fontId="22" fillId="0" borderId="0" xfId="73" applyFont="1" applyAlignment="1">
      <alignment horizontal="center"/>
      <protection/>
    </xf>
    <xf numFmtId="0" fontId="22" fillId="29" borderId="0" xfId="73" applyFont="1" applyFill="1">
      <alignment/>
      <protection/>
    </xf>
    <xf numFmtId="0" fontId="55" fillId="0" borderId="127" xfId="73" applyFont="1" applyBorder="1" applyAlignment="1" applyProtection="1">
      <alignment horizontal="left"/>
      <protection locked="0"/>
    </xf>
    <xf numFmtId="0" fontId="22" fillId="0" borderId="127" xfId="73" applyFont="1" applyBorder="1">
      <alignment/>
      <protection/>
    </xf>
    <xf numFmtId="0" fontId="22" fillId="0" borderId="127" xfId="73" applyFont="1" applyBorder="1" applyAlignment="1">
      <alignment horizontal="center"/>
      <protection/>
    </xf>
    <xf numFmtId="0" fontId="54" fillId="65" borderId="28" xfId="73" applyFont="1" applyFill="1" applyBorder="1">
      <alignment/>
      <protection/>
    </xf>
    <xf numFmtId="0" fontId="95" fillId="29" borderId="0" xfId="73" applyFont="1" applyFill="1">
      <alignment/>
      <protection/>
    </xf>
    <xf numFmtId="0" fontId="54" fillId="29" borderId="0" xfId="73" applyFont="1" applyFill="1">
      <alignment/>
      <protection/>
    </xf>
    <xf numFmtId="0" fontId="54" fillId="65" borderId="18" xfId="73" applyFont="1" applyFill="1" applyBorder="1">
      <alignment/>
      <protection/>
    </xf>
    <xf numFmtId="7" fontId="0" fillId="29" borderId="0" xfId="45" applyFill="1" applyAlignment="1">
      <alignment/>
    </xf>
    <xf numFmtId="0" fontId="22" fillId="34" borderId="0" xfId="73" applyFont="1" applyFill="1" applyAlignment="1">
      <alignment horizontal="center"/>
      <protection/>
    </xf>
    <xf numFmtId="0" fontId="50" fillId="29" borderId="0" xfId="73" applyFont="1" applyFill="1">
      <alignment/>
      <protection/>
    </xf>
    <xf numFmtId="0" fontId="57" fillId="0" borderId="0" xfId="73" applyFont="1" applyAlignment="1" applyProtection="1">
      <alignment horizontal="left"/>
      <protection locked="0"/>
    </xf>
    <xf numFmtId="0" fontId="45" fillId="0" borderId="0" xfId="73" applyFont="1" applyProtection="1">
      <alignment/>
      <protection locked="0"/>
    </xf>
    <xf numFmtId="0" fontId="45" fillId="0" borderId="0" xfId="73" applyFont="1" applyAlignment="1" applyProtection="1">
      <alignment horizontal="center"/>
      <protection locked="0"/>
    </xf>
    <xf numFmtId="0" fontId="56" fillId="29" borderId="0" xfId="73" applyFont="1" applyFill="1">
      <alignment/>
      <protection/>
    </xf>
    <xf numFmtId="0" fontId="28" fillId="0" borderId="0" xfId="73" applyFont="1" applyAlignment="1">
      <alignment horizontal="left"/>
      <protection/>
    </xf>
    <xf numFmtId="0" fontId="28" fillId="0" borderId="0" xfId="73" applyFont="1">
      <alignment/>
      <protection/>
    </xf>
    <xf numFmtId="0" fontId="28" fillId="29" borderId="0" xfId="73" applyFont="1" applyFill="1">
      <alignment/>
      <protection/>
    </xf>
    <xf numFmtId="177" fontId="28" fillId="0" borderId="16" xfId="82" applyFont="1" applyFill="1" applyBorder="1" applyAlignment="1">
      <alignment/>
      <protection/>
    </xf>
    <xf numFmtId="177" fontId="45" fillId="0" borderId="16" xfId="82" applyFont="1" applyFill="1" applyBorder="1">
      <alignment horizontal="right"/>
      <protection/>
    </xf>
    <xf numFmtId="0" fontId="54" fillId="0" borderId="0" xfId="73" applyFont="1" applyAlignment="1" applyProtection="1">
      <alignment horizontal="left"/>
      <protection locked="0"/>
    </xf>
    <xf numFmtId="0" fontId="28" fillId="0" borderId="0" xfId="73" applyFont="1" applyAlignment="1" applyProtection="1">
      <alignment horizontal="left"/>
      <protection locked="0"/>
    </xf>
    <xf numFmtId="0" fontId="45" fillId="0" borderId="0" xfId="73" applyFont="1">
      <alignment/>
      <protection/>
    </xf>
    <xf numFmtId="177" fontId="28" fillId="0" borderId="126" xfId="52" applyFont="1" applyFill="1" applyBorder="1" applyAlignment="1">
      <alignment horizontal="left"/>
    </xf>
    <xf numFmtId="177" fontId="28" fillId="0" borderId="127" xfId="52" applyFont="1" applyFill="1" applyBorder="1" applyAlignment="1">
      <alignment/>
    </xf>
    <xf numFmtId="177" fontId="28" fillId="0" borderId="127" xfId="52" applyFont="1" applyFill="1" applyBorder="1" applyAlignment="1" applyProtection="1">
      <alignment/>
      <protection locked="0"/>
    </xf>
    <xf numFmtId="10" fontId="28" fillId="0" borderId="127" xfId="78" applyFont="1" applyFill="1" applyBorder="1" applyAlignment="1">
      <alignment horizontal="center"/>
    </xf>
    <xf numFmtId="0" fontId="28" fillId="0" borderId="127" xfId="73" applyFont="1" applyBorder="1" applyAlignment="1" applyProtection="1">
      <alignment horizontal="center"/>
      <protection locked="0"/>
    </xf>
    <xf numFmtId="0" fontId="28" fillId="0" borderId="128" xfId="73" applyFont="1" applyBorder="1" applyAlignment="1">
      <alignment horizontal="center"/>
      <protection/>
    </xf>
    <xf numFmtId="0" fontId="58" fillId="0" borderId="126" xfId="73" applyFont="1" applyBorder="1">
      <alignment/>
      <protection/>
    </xf>
    <xf numFmtId="0" fontId="45" fillId="0" borderId="127" xfId="73" applyFont="1" applyBorder="1" applyProtection="1">
      <alignment/>
      <protection locked="0"/>
    </xf>
    <xf numFmtId="0" fontId="45" fillId="0" borderId="128" xfId="73" applyFont="1" applyBorder="1">
      <alignment/>
      <protection/>
    </xf>
    <xf numFmtId="177" fontId="28" fillId="0" borderId="132" xfId="52" applyFont="1" applyFill="1" applyBorder="1" applyAlignment="1">
      <alignment horizontal="center"/>
    </xf>
    <xf numFmtId="177" fontId="28" fillId="0" borderId="0" xfId="52" applyFont="1" applyFill="1" applyAlignment="1">
      <alignment/>
    </xf>
    <xf numFmtId="177" fontId="28" fillId="0" borderId="0" xfId="52" applyFont="1" applyFill="1" applyAlignment="1" applyProtection="1">
      <alignment horizontal="right"/>
      <protection locked="0"/>
    </xf>
    <xf numFmtId="10" fontId="28" fillId="0" borderId="0" xfId="78" applyFont="1" applyFill="1" applyAlignment="1">
      <alignment horizontal="center"/>
    </xf>
    <xf numFmtId="0" fontId="28" fillId="0" borderId="0" xfId="73" applyFont="1" applyProtection="1">
      <alignment/>
      <protection locked="0"/>
    </xf>
    <xf numFmtId="0" fontId="28" fillId="0" borderId="133" xfId="73" applyFont="1" applyBorder="1" applyAlignment="1">
      <alignment horizontal="center"/>
      <protection/>
    </xf>
    <xf numFmtId="0" fontId="45" fillId="0" borderId="132" xfId="73" applyFont="1" applyBorder="1">
      <alignment/>
      <protection/>
    </xf>
    <xf numFmtId="0" fontId="45" fillId="0" borderId="133" xfId="73" applyFont="1" applyBorder="1">
      <alignment/>
      <protection/>
    </xf>
    <xf numFmtId="177" fontId="28" fillId="0" borderId="0" xfId="52" applyFont="1" applyFill="1" applyAlignment="1" applyProtection="1">
      <alignment horizontal="center"/>
      <protection locked="0"/>
    </xf>
    <xf numFmtId="0" fontId="28" fillId="0" borderId="132" xfId="73" applyFont="1" applyBorder="1">
      <alignment/>
      <protection/>
    </xf>
    <xf numFmtId="177" fontId="45" fillId="0" borderId="0" xfId="52" applyFont="1" applyFill="1" applyAlignment="1" applyProtection="1">
      <alignment/>
      <protection locked="0"/>
    </xf>
    <xf numFmtId="177" fontId="28" fillId="0" borderId="133" xfId="52" applyFont="1" applyFill="1" applyBorder="1" applyAlignment="1" applyProtection="1">
      <alignment horizontal="center"/>
      <protection locked="0"/>
    </xf>
    <xf numFmtId="0" fontId="28" fillId="0" borderId="142" xfId="73" applyFont="1" applyBorder="1">
      <alignment/>
      <protection/>
    </xf>
    <xf numFmtId="0" fontId="28" fillId="0" borderId="12" xfId="73" applyFont="1" applyBorder="1" applyProtection="1">
      <alignment/>
      <protection locked="0"/>
    </xf>
    <xf numFmtId="177" fontId="45" fillId="0" borderId="12" xfId="52" applyFont="1" applyFill="1" applyBorder="1" applyAlignment="1" applyProtection="1">
      <alignment/>
      <protection locked="0"/>
    </xf>
    <xf numFmtId="177" fontId="28" fillId="0" borderId="130" xfId="52" applyFont="1" applyFill="1" applyBorder="1" applyAlignment="1">
      <alignment horizontal="center"/>
    </xf>
    <xf numFmtId="177" fontId="28" fillId="0" borderId="16" xfId="52" applyFont="1" applyFill="1" applyBorder="1" applyAlignment="1">
      <alignment/>
    </xf>
    <xf numFmtId="177" fontId="28" fillId="0" borderId="16" xfId="52" applyFont="1" applyFill="1" applyBorder="1" applyAlignment="1" applyProtection="1">
      <alignment/>
      <protection locked="0"/>
    </xf>
    <xf numFmtId="10" fontId="28" fillId="0" borderId="16" xfId="78" applyFont="1" applyFill="1" applyBorder="1" applyAlignment="1">
      <alignment horizontal="center"/>
    </xf>
    <xf numFmtId="0" fontId="28" fillId="0" borderId="16" xfId="73" applyFont="1" applyBorder="1" applyProtection="1">
      <alignment/>
      <protection locked="0"/>
    </xf>
    <xf numFmtId="177" fontId="28" fillId="0" borderId="131" xfId="52" applyFont="1" applyFill="1" applyBorder="1" applyAlignment="1" applyProtection="1">
      <alignment horizontal="center"/>
      <protection locked="0"/>
    </xf>
    <xf numFmtId="10" fontId="45" fillId="0" borderId="12" xfId="78" applyFont="1" applyFill="1" applyBorder="1" applyAlignment="1" applyProtection="1">
      <alignment/>
      <protection locked="0"/>
    </xf>
    <xf numFmtId="0" fontId="28" fillId="0" borderId="126" xfId="73" applyFont="1" applyBorder="1" applyAlignment="1">
      <alignment horizontal="left"/>
      <protection/>
    </xf>
    <xf numFmtId="0" fontId="28" fillId="0" borderId="127" xfId="73" applyFont="1" applyBorder="1">
      <alignment/>
      <protection/>
    </xf>
    <xf numFmtId="0" fontId="45" fillId="0" borderId="127" xfId="73" applyFont="1" applyBorder="1">
      <alignment/>
      <protection/>
    </xf>
    <xf numFmtId="0" fontId="22" fillId="0" borderId="128" xfId="73" applyFont="1" applyBorder="1" applyAlignment="1">
      <alignment horizontal="center"/>
      <protection/>
    </xf>
    <xf numFmtId="0" fontId="45" fillId="0" borderId="132" xfId="73" applyFont="1" applyBorder="1" applyAlignment="1">
      <alignment horizontal="left"/>
      <protection/>
    </xf>
    <xf numFmtId="0" fontId="22" fillId="0" borderId="133" xfId="73" applyFont="1" applyBorder="1" applyAlignment="1">
      <alignment horizontal="center"/>
      <protection/>
    </xf>
    <xf numFmtId="0" fontId="28" fillId="0" borderId="130" xfId="73" applyFont="1" applyBorder="1">
      <alignment/>
      <protection/>
    </xf>
    <xf numFmtId="177" fontId="45" fillId="0" borderId="16" xfId="52" applyFont="1" applyFill="1" applyBorder="1" applyAlignment="1" applyProtection="1">
      <alignment/>
      <protection locked="0"/>
    </xf>
    <xf numFmtId="0" fontId="45" fillId="0" borderId="131" xfId="73" applyFont="1" applyBorder="1">
      <alignment/>
      <protection/>
    </xf>
    <xf numFmtId="0" fontId="28" fillId="0" borderId="0" xfId="73" applyFont="1" applyAlignment="1">
      <alignment horizontal="right"/>
      <protection/>
    </xf>
    <xf numFmtId="177" fontId="28" fillId="0" borderId="135" xfId="85" applyFont="1" applyFill="1" applyBorder="1">
      <alignment horizontal="right"/>
      <protection locked="0"/>
    </xf>
    <xf numFmtId="0" fontId="8" fillId="0" borderId="132" xfId="73" applyFont="1" applyBorder="1">
      <alignment/>
      <protection/>
    </xf>
    <xf numFmtId="177" fontId="28" fillId="0" borderId="8" xfId="52" applyFont="1" applyFill="1" applyBorder="1" applyAlignment="1">
      <alignment/>
    </xf>
    <xf numFmtId="0" fontId="28" fillId="0" borderId="12" xfId="73" applyFont="1" applyBorder="1" applyAlignment="1">
      <alignment horizontal="right"/>
      <protection/>
    </xf>
    <xf numFmtId="177" fontId="28" fillId="0" borderId="12" xfId="52" applyFont="1" applyFill="1" applyBorder="1" applyAlignment="1" applyProtection="1">
      <alignment/>
      <protection locked="0"/>
    </xf>
    <xf numFmtId="177" fontId="28" fillId="0" borderId="8" xfId="52" applyFont="1" applyFill="1" applyBorder="1" applyAlignment="1" applyProtection="1">
      <alignment/>
      <protection locked="0"/>
    </xf>
    <xf numFmtId="177" fontId="45" fillId="0" borderId="0" xfId="82" applyFont="1" applyFill="1" applyBorder="1" applyAlignment="1">
      <alignment/>
      <protection/>
    </xf>
    <xf numFmtId="10" fontId="28" fillId="0" borderId="12" xfId="78" applyFont="1" applyFill="1" applyBorder="1" applyAlignment="1" applyProtection="1">
      <alignment/>
      <protection locked="0"/>
    </xf>
    <xf numFmtId="0" fontId="28" fillId="0" borderId="133" xfId="73" applyFont="1" applyBorder="1">
      <alignment/>
      <protection/>
    </xf>
    <xf numFmtId="177" fontId="45" fillId="0" borderId="8" xfId="82" applyFont="1" applyFill="1" applyAlignment="1">
      <alignment/>
      <protection/>
    </xf>
    <xf numFmtId="0" fontId="45" fillId="0" borderId="142" xfId="73" applyFont="1" applyBorder="1" applyAlignment="1">
      <alignment horizontal="left"/>
      <protection/>
    </xf>
    <xf numFmtId="0" fontId="45" fillId="0" borderId="12" xfId="73" applyFont="1" applyBorder="1">
      <alignment/>
      <protection/>
    </xf>
    <xf numFmtId="177" fontId="28" fillId="0" borderId="143" xfId="52" applyFont="1" applyFill="1" applyBorder="1" applyAlignment="1">
      <alignment/>
    </xf>
    <xf numFmtId="0" fontId="44" fillId="0" borderId="130" xfId="73" applyFont="1" applyBorder="1" applyAlignment="1">
      <alignment horizontal="left"/>
      <protection/>
    </xf>
    <xf numFmtId="0" fontId="28" fillId="0" borderId="16" xfId="73" applyFont="1" applyBorder="1">
      <alignment/>
      <protection/>
    </xf>
    <xf numFmtId="0" fontId="45" fillId="0" borderId="16" xfId="73" applyFont="1" applyBorder="1">
      <alignment/>
      <protection/>
    </xf>
    <xf numFmtId="0" fontId="28" fillId="0" borderId="16" xfId="73" applyFont="1" applyBorder="1" applyAlignment="1">
      <alignment horizontal="right"/>
      <protection/>
    </xf>
    <xf numFmtId="177" fontId="28" fillId="0" borderId="131" xfId="52" applyFont="1" applyFill="1" applyBorder="1" applyAlignment="1">
      <alignment/>
    </xf>
    <xf numFmtId="177" fontId="28" fillId="0" borderId="0" xfId="52" applyFont="1" applyFill="1" applyAlignment="1">
      <alignment horizontal="right"/>
    </xf>
    <xf numFmtId="0" fontId="45" fillId="0" borderId="130" xfId="73" applyFont="1" applyBorder="1">
      <alignment/>
      <protection/>
    </xf>
    <xf numFmtId="0" fontId="45" fillId="0" borderId="16" xfId="73" applyFont="1" applyBorder="1" applyAlignment="1" applyProtection="1">
      <alignment horizontal="left"/>
      <protection locked="0"/>
    </xf>
    <xf numFmtId="0" fontId="45" fillId="0" borderId="16" xfId="73" applyFont="1" applyBorder="1" applyProtection="1">
      <alignment/>
      <protection locked="0"/>
    </xf>
    <xf numFmtId="0" fontId="45" fillId="0" borderId="16" xfId="52" applyNumberFormat="1" applyFont="1" applyFill="1" applyBorder="1" applyAlignment="1" applyProtection="1">
      <alignment/>
      <protection locked="0"/>
    </xf>
    <xf numFmtId="0" fontId="45" fillId="0" borderId="144" xfId="73" applyFont="1" applyBorder="1" applyAlignment="1" applyProtection="1">
      <alignment horizontal="left"/>
      <protection locked="0"/>
    </xf>
    <xf numFmtId="0" fontId="45" fillId="0" borderId="144" xfId="73" applyFont="1" applyBorder="1" applyProtection="1">
      <alignment/>
      <protection locked="0"/>
    </xf>
    <xf numFmtId="0" fontId="45" fillId="0" borderId="144" xfId="73" applyFont="1" applyBorder="1">
      <alignment/>
      <protection/>
    </xf>
    <xf numFmtId="0" fontId="45" fillId="29" borderId="144" xfId="73" applyFont="1" applyFill="1" applyBorder="1">
      <alignment/>
      <protection/>
    </xf>
    <xf numFmtId="0" fontId="28" fillId="0" borderId="127" xfId="73" applyFont="1" applyBorder="1" applyProtection="1">
      <alignment/>
      <protection locked="0"/>
    </xf>
    <xf numFmtId="10" fontId="28" fillId="0" borderId="128" xfId="78" applyFont="1" applyFill="1" applyBorder="1" applyAlignment="1">
      <alignment horizontal="center"/>
    </xf>
    <xf numFmtId="177" fontId="44" fillId="0" borderId="53" xfId="52" applyFont="1" applyFill="1" applyBorder="1" applyAlignment="1">
      <alignment horizontal="center"/>
    </xf>
    <xf numFmtId="177" fontId="44" fillId="0" borderId="0" xfId="52" applyFont="1" applyFill="1" applyAlignment="1">
      <alignment horizontal="center"/>
    </xf>
    <xf numFmtId="177" fontId="28" fillId="0" borderId="132" xfId="52" applyFont="1" applyFill="1" applyBorder="1" applyAlignment="1">
      <alignment horizontal="left"/>
    </xf>
    <xf numFmtId="177" fontId="28" fillId="0" borderId="0" xfId="52" applyFont="1" applyFill="1" applyAlignment="1" applyProtection="1">
      <alignment/>
      <protection locked="0"/>
    </xf>
    <xf numFmtId="10" fontId="28" fillId="0" borderId="133" xfId="78" applyFont="1" applyFill="1" applyBorder="1" applyAlignment="1" applyProtection="1">
      <alignment horizontal="center"/>
      <protection locked="0"/>
    </xf>
    <xf numFmtId="177" fontId="44" fillId="0" borderId="0" xfId="52" applyFont="1" applyFill="1" applyAlignment="1">
      <alignment horizontal="left"/>
    </xf>
    <xf numFmtId="177" fontId="28" fillId="0" borderId="130" xfId="52" applyFont="1" applyFill="1" applyBorder="1" applyAlignment="1">
      <alignment horizontal="left"/>
    </xf>
    <xf numFmtId="10" fontId="28" fillId="0" borderId="131" xfId="78" applyFont="1" applyFill="1" applyBorder="1" applyAlignment="1" applyProtection="1">
      <alignment horizontal="center"/>
      <protection locked="0"/>
    </xf>
    <xf numFmtId="177" fontId="28" fillId="0" borderId="0" xfId="52" applyFont="1" applyFill="1" applyAlignment="1">
      <alignment horizontal="left"/>
    </xf>
    <xf numFmtId="10" fontId="28" fillId="0" borderId="0" xfId="78" applyFont="1" applyFill="1" applyAlignment="1" applyProtection="1">
      <alignment horizontal="center"/>
      <protection locked="0"/>
    </xf>
    <xf numFmtId="10" fontId="28" fillId="0" borderId="12" xfId="78" applyFont="1" applyFill="1" applyBorder="1" applyAlignment="1">
      <alignment horizontal="center"/>
    </xf>
    <xf numFmtId="0" fontId="59" fillId="0" borderId="0" xfId="73" applyFont="1" applyAlignment="1">
      <alignment horizontal="left"/>
      <protection/>
    </xf>
    <xf numFmtId="0" fontId="44" fillId="0" borderId="0" xfId="73" applyFont="1" applyAlignment="1">
      <alignment horizontal="left"/>
      <protection/>
    </xf>
    <xf numFmtId="0" fontId="44" fillId="0" borderId="0" xfId="73" applyFont="1">
      <alignment/>
      <protection/>
    </xf>
    <xf numFmtId="0" fontId="44" fillId="0" borderId="0" xfId="73" applyFont="1" applyAlignment="1">
      <alignment horizontal="center"/>
      <protection/>
    </xf>
    <xf numFmtId="0" fontId="58" fillId="0" borderId="0" xfId="73" applyFont="1">
      <alignment/>
      <protection/>
    </xf>
    <xf numFmtId="0" fontId="44" fillId="0" borderId="0" xfId="73" applyFont="1" applyAlignment="1" applyProtection="1">
      <alignment horizontal="left"/>
      <protection locked="0"/>
    </xf>
    <xf numFmtId="0" fontId="44" fillId="0" borderId="0" xfId="73" applyFont="1" applyProtection="1">
      <alignment/>
      <protection locked="0"/>
    </xf>
    <xf numFmtId="0" fontId="50" fillId="0" borderId="0" xfId="73" applyFont="1" applyProtection="1">
      <alignment/>
      <protection locked="0"/>
    </xf>
    <xf numFmtId="192" fontId="22" fillId="0" borderId="12" xfId="78" applyNumberFormat="1" applyFont="1" applyFill="1" applyBorder="1" applyAlignment="1">
      <alignment horizontal="center"/>
    </xf>
    <xf numFmtId="0" fontId="45" fillId="29" borderId="0" xfId="73" applyFont="1" applyFill="1" applyAlignment="1" applyProtection="1">
      <alignment horizontal="left"/>
      <protection locked="0"/>
    </xf>
    <xf numFmtId="0" fontId="45" fillId="34" borderId="0" xfId="73" applyFont="1" applyFill="1" applyProtection="1">
      <alignment/>
      <protection locked="0"/>
    </xf>
    <xf numFmtId="0" fontId="45" fillId="29" borderId="0" xfId="73" applyFont="1" applyFill="1" applyProtection="1">
      <alignment/>
      <protection locked="0"/>
    </xf>
    <xf numFmtId="10" fontId="6" fillId="29" borderId="0" xfId="78" applyFont="1" applyAlignment="1">
      <alignment/>
    </xf>
    <xf numFmtId="0" fontId="6" fillId="29" borderId="0" xfId="73" applyFont="1" applyFill="1">
      <alignment/>
      <protection/>
    </xf>
    <xf numFmtId="0" fontId="6" fillId="29" borderId="0" xfId="73" applyFont="1" applyFill="1" applyAlignment="1">
      <alignment horizontal="center"/>
      <protection/>
    </xf>
    <xf numFmtId="10" fontId="6" fillId="29" borderId="0" xfId="78" applyFont="1" applyAlignment="1">
      <alignment horizontal="center"/>
    </xf>
    <xf numFmtId="3" fontId="6" fillId="29" borderId="0" xfId="73" applyNumberFormat="1" applyFont="1" applyFill="1">
      <alignment/>
      <protection/>
    </xf>
    <xf numFmtId="192" fontId="6" fillId="0" borderId="0" xfId="49" applyNumberFormat="1" applyFont="1" applyFill="1" applyAlignment="1">
      <alignment/>
    </xf>
    <xf numFmtId="192" fontId="6" fillId="29" borderId="0" xfId="49" applyNumberFormat="1" applyFont="1" applyAlignment="1">
      <alignment/>
    </xf>
    <xf numFmtId="0" fontId="6" fillId="29" borderId="18" xfId="73" applyFont="1" applyFill="1" applyBorder="1">
      <alignment/>
      <protection/>
    </xf>
    <xf numFmtId="192" fontId="6" fillId="0" borderId="18" xfId="49" applyNumberFormat="1" applyFont="1" applyFill="1" applyBorder="1" applyAlignment="1">
      <alignment/>
    </xf>
    <xf numFmtId="192" fontId="6" fillId="29" borderId="18" xfId="49" applyNumberFormat="1" applyFont="1" applyBorder="1" applyAlignment="1">
      <alignment/>
    </xf>
    <xf numFmtId="9" fontId="10" fillId="0" borderId="0" xfId="73" applyNumberFormat="1" applyFont="1">
      <alignment/>
      <protection/>
    </xf>
    <xf numFmtId="9" fontId="10" fillId="0" borderId="18" xfId="73" applyNumberFormat="1" applyFont="1" applyBorder="1">
      <alignment/>
      <protection/>
    </xf>
    <xf numFmtId="10" fontId="6" fillId="29" borderId="18" xfId="78" applyFont="1" applyBorder="1" applyAlignment="1">
      <alignment/>
    </xf>
    <xf numFmtId="10" fontId="6" fillId="49" borderId="0" xfId="78" applyFont="1" applyFill="1" applyAlignment="1">
      <alignment/>
    </xf>
    <xf numFmtId="192" fontId="6" fillId="49" borderId="0" xfId="49" applyNumberFormat="1" applyFont="1" applyFill="1" applyAlignment="1">
      <alignment/>
    </xf>
    <xf numFmtId="10" fontId="6" fillId="49" borderId="18" xfId="78" applyFont="1" applyFill="1" applyBorder="1" applyAlignment="1">
      <alignment/>
    </xf>
    <xf numFmtId="192" fontId="6" fillId="49" borderId="18" xfId="49" applyNumberFormat="1" applyFont="1" applyFill="1" applyBorder="1" applyAlignment="1">
      <alignment/>
    </xf>
    <xf numFmtId="0" fontId="6" fillId="29" borderId="33" xfId="73" applyFont="1" applyFill="1" applyBorder="1">
      <alignment/>
      <protection/>
    </xf>
    <xf numFmtId="10" fontId="6" fillId="29" borderId="33" xfId="78" applyFont="1" applyBorder="1" applyAlignment="1">
      <alignment/>
    </xf>
    <xf numFmtId="0" fontId="31" fillId="29" borderId="0" xfId="73" applyFont="1" applyFill="1">
      <alignment/>
      <protection/>
    </xf>
    <xf numFmtId="10" fontId="31" fillId="29" borderId="0" xfId="78" applyFont="1" applyAlignment="1">
      <alignment/>
    </xf>
    <xf numFmtId="0" fontId="41" fillId="29" borderId="0" xfId="73" applyFont="1" applyFill="1">
      <alignment/>
      <protection/>
    </xf>
    <xf numFmtId="0" fontId="41" fillId="29" borderId="0" xfId="73" applyFont="1" applyFill="1" applyAlignment="1">
      <alignment horizontal="center"/>
      <protection/>
    </xf>
    <xf numFmtId="10" fontId="41" fillId="29" borderId="0" xfId="78" applyFont="1" applyAlignment="1">
      <alignment horizontal="center"/>
    </xf>
    <xf numFmtId="179" fontId="6" fillId="29" borderId="0" xfId="49" applyFont="1" applyAlignment="1">
      <alignment horizontal="center"/>
    </xf>
    <xf numFmtId="10" fontId="10" fillId="0" borderId="0" xfId="78" applyFont="1" applyFill="1" applyAlignment="1" applyProtection="1">
      <alignment horizontal="center"/>
      <protection locked="0"/>
    </xf>
    <xf numFmtId="10" fontId="6" fillId="44" borderId="0" xfId="78" applyFont="1" applyFill="1" applyAlignment="1" applyProtection="1">
      <alignment horizontal="center"/>
      <protection locked="0"/>
    </xf>
    <xf numFmtId="192" fontId="6" fillId="0" borderId="0" xfId="49" applyNumberFormat="1" applyFont="1" applyFill="1" applyAlignment="1" applyProtection="1">
      <alignment horizontal="right"/>
      <protection locked="0"/>
    </xf>
    <xf numFmtId="192" fontId="6" fillId="29" borderId="0" xfId="73" applyNumberFormat="1" applyFont="1" applyFill="1">
      <alignment/>
      <protection/>
    </xf>
    <xf numFmtId="0" fontId="31" fillId="29" borderId="18" xfId="73" applyFont="1" applyFill="1" applyBorder="1">
      <alignment/>
      <protection/>
    </xf>
    <xf numFmtId="179" fontId="6" fillId="29" borderId="18" xfId="49" applyFont="1" applyBorder="1" applyAlignment="1">
      <alignment horizontal="center"/>
    </xf>
    <xf numFmtId="10" fontId="6" fillId="44" borderId="18" xfId="78" applyFont="1" applyFill="1" applyBorder="1" applyAlignment="1" applyProtection="1">
      <alignment horizontal="center"/>
      <protection locked="0"/>
    </xf>
    <xf numFmtId="192" fontId="6" fillId="0" borderId="18" xfId="49" applyNumberFormat="1" applyFont="1" applyFill="1" applyBorder="1" applyAlignment="1" applyProtection="1">
      <alignment horizontal="right"/>
      <protection locked="0"/>
    </xf>
    <xf numFmtId="192" fontId="6" fillId="29" borderId="18" xfId="73" applyNumberFormat="1" applyFont="1" applyFill="1" applyBorder="1">
      <alignment/>
      <protection/>
    </xf>
    <xf numFmtId="192" fontId="6" fillId="0" borderId="0" xfId="85" applyNumberFormat="1" applyFont="1" applyFill="1" applyBorder="1">
      <alignment horizontal="right"/>
      <protection locked="0"/>
    </xf>
    <xf numFmtId="10" fontId="6" fillId="0" borderId="0" xfId="78" applyFont="1" applyFill="1" applyAlignment="1" applyProtection="1">
      <alignment horizontal="center"/>
      <protection locked="0"/>
    </xf>
    <xf numFmtId="177" fontId="27" fillId="50" borderId="8" xfId="85" applyFont="1" applyFill="1">
      <alignment horizontal="right"/>
      <protection locked="0"/>
    </xf>
    <xf numFmtId="192" fontId="6" fillId="50" borderId="0" xfId="85" applyNumberFormat="1" applyFont="1" applyFill="1" applyBorder="1">
      <alignment horizontal="right"/>
      <protection locked="0"/>
    </xf>
    <xf numFmtId="177" fontId="27" fillId="50" borderId="18" xfId="85" applyFont="1" applyFill="1" applyBorder="1">
      <alignment horizontal="right"/>
      <protection locked="0"/>
    </xf>
    <xf numFmtId="192" fontId="6" fillId="50" borderId="18" xfId="85" applyNumberFormat="1" applyFont="1" applyFill="1" applyBorder="1">
      <alignment horizontal="right"/>
      <protection locked="0"/>
    </xf>
    <xf numFmtId="0" fontId="31" fillId="29" borderId="33" xfId="73" applyFont="1" applyFill="1" applyBorder="1">
      <alignment/>
      <protection/>
    </xf>
    <xf numFmtId="0" fontId="36" fillId="29" borderId="0" xfId="73" applyFont="1" applyFill="1">
      <alignment/>
      <protection/>
    </xf>
    <xf numFmtId="10" fontId="41" fillId="29" borderId="0" xfId="78" applyFont="1" applyAlignment="1">
      <alignment/>
    </xf>
    <xf numFmtId="4" fontId="10" fillId="50" borderId="0" xfId="85" applyNumberFormat="1" applyFont="1" applyFill="1" applyBorder="1" applyAlignment="1">
      <alignment horizontal="center"/>
      <protection locked="0"/>
    </xf>
    <xf numFmtId="10" fontId="41" fillId="29" borderId="0" xfId="78" applyFont="1" applyAlignment="1">
      <alignment horizontal="left"/>
    </xf>
    <xf numFmtId="0" fontId="31" fillId="0" borderId="0" xfId="0" applyFont="1" applyAlignment="1">
      <alignment vertical="top"/>
    </xf>
    <xf numFmtId="10" fontId="31" fillId="29" borderId="0" xfId="76" applyFont="1" applyFill="1" applyAlignment="1">
      <alignment/>
    </xf>
    <xf numFmtId="6" fontId="6" fillId="0" borderId="0" xfId="0" applyNumberFormat="1" applyFont="1" applyAlignment="1">
      <alignment horizontal="right"/>
    </xf>
    <xf numFmtId="10" fontId="10" fillId="50" borderId="0" xfId="78" applyFont="1" applyFill="1" applyAlignment="1" applyProtection="1">
      <alignment horizontal="right"/>
      <protection locked="0"/>
    </xf>
    <xf numFmtId="0" fontId="31" fillId="29" borderId="0" xfId="73" applyFont="1" applyFill="1" applyAlignment="1">
      <alignment horizontal="right"/>
      <protection/>
    </xf>
    <xf numFmtId="192" fontId="10" fillId="0" borderId="0" xfId="78" applyNumberFormat="1" applyFont="1" applyFill="1" applyAlignment="1" applyProtection="1">
      <alignment horizontal="right"/>
      <protection locked="0"/>
    </xf>
    <xf numFmtId="0" fontId="6" fillId="29" borderId="65" xfId="73" applyFont="1" applyFill="1" applyBorder="1">
      <alignment/>
      <protection/>
    </xf>
    <xf numFmtId="0" fontId="6" fillId="29" borderId="0" xfId="73" applyFont="1" applyFill="1" applyAlignment="1">
      <alignment horizontal="left"/>
      <protection/>
    </xf>
    <xf numFmtId="192" fontId="10" fillId="63" borderId="8" xfId="84" applyNumberFormat="1" applyFont="1" applyFill="1" applyProtection="1">
      <alignment horizontal="right"/>
      <protection/>
    </xf>
    <xf numFmtId="177" fontId="10" fillId="29" borderId="17" xfId="51" applyFont="1" applyBorder="1" applyAlignment="1">
      <alignment/>
    </xf>
    <xf numFmtId="192" fontId="6" fillId="65" borderId="63" xfId="0" applyNumberFormat="1" applyFont="1" applyFill="1" applyBorder="1" applyAlignment="1" applyProtection="1">
      <alignment horizontal="right"/>
      <protection/>
    </xf>
    <xf numFmtId="192" fontId="10" fillId="0" borderId="0" xfId="72" applyNumberFormat="1" applyFont="1" applyFill="1" applyProtection="1">
      <alignment/>
      <protection locked="0"/>
    </xf>
    <xf numFmtId="192" fontId="27" fillId="0" borderId="145" xfId="51" applyNumberFormat="1" applyFont="1" applyFill="1" applyBorder="1" applyAlignment="1">
      <alignment horizontal="center"/>
    </xf>
    <xf numFmtId="192" fontId="10" fillId="0" borderId="0" xfId="51" applyNumberFormat="1" applyFont="1" applyFill="1" applyBorder="1" applyAlignment="1" applyProtection="1">
      <alignment/>
      <protection locked="0"/>
    </xf>
    <xf numFmtId="37" fontId="41" fillId="0" borderId="0" xfId="0" applyNumberFormat="1" applyFont="1" applyAlignment="1">
      <alignment horizontal="left"/>
    </xf>
    <xf numFmtId="37" fontId="41" fillId="0" borderId="0" xfId="0" applyNumberFormat="1" applyFont="1" applyAlignment="1">
      <alignment/>
    </xf>
    <xf numFmtId="37" fontId="41" fillId="39" borderId="0" xfId="0" applyNumberFormat="1" applyFont="1" applyFill="1" applyAlignment="1">
      <alignment horizontal="right"/>
    </xf>
    <xf numFmtId="37" fontId="41" fillId="0" borderId="0" xfId="0" applyNumberFormat="1" applyFont="1" applyAlignment="1">
      <alignment horizontal="center"/>
    </xf>
    <xf numFmtId="0" fontId="77" fillId="0" borderId="0" xfId="0" applyFont="1" applyAlignment="1" applyProtection="1">
      <alignment vertical="top"/>
      <protection locked="0"/>
    </xf>
    <xf numFmtId="0" fontId="0" fillId="0" borderId="0" xfId="0" applyAlignment="1" applyProtection="1">
      <alignment vertical="top"/>
      <protection locked="0"/>
    </xf>
    <xf numFmtId="0" fontId="7" fillId="0" borderId="30" xfId="0" applyFont="1" applyBorder="1" applyAlignment="1">
      <alignment horizontal="right"/>
    </xf>
    <xf numFmtId="0" fontId="91" fillId="0" borderId="0" xfId="0" applyFont="1" applyAlignment="1">
      <alignment vertical="top"/>
    </xf>
    <xf numFmtId="0" fontId="91" fillId="44" borderId="0" xfId="0" applyFont="1" applyFill="1" applyAlignment="1" applyProtection="1">
      <alignment vertical="top"/>
      <protection locked="0"/>
    </xf>
    <xf numFmtId="0" fontId="0" fillId="0" borderId="37" xfId="0" applyBorder="1" applyAlignment="1">
      <alignment vertical="top"/>
    </xf>
    <xf numFmtId="0" fontId="77" fillId="44" borderId="0" xfId="0" applyFont="1" applyFill="1" applyAlignment="1" applyProtection="1">
      <alignment vertical="top"/>
      <protection locked="0"/>
    </xf>
    <xf numFmtId="37" fontId="6" fillId="0" borderId="19" xfId="0" applyNumberFormat="1" applyFont="1" applyFill="1" applyBorder="1" applyAlignment="1" applyProtection="1">
      <alignment/>
      <protection locked="0"/>
    </xf>
    <xf numFmtId="37" fontId="60" fillId="0" borderId="0" xfId="0" applyNumberFormat="1" applyFont="1" applyAlignment="1">
      <alignment horizontal="center"/>
    </xf>
    <xf numFmtId="37" fontId="12" fillId="0" borderId="0" xfId="0" applyNumberFormat="1" applyFont="1" applyBorder="1" applyAlignment="1">
      <alignment/>
    </xf>
    <xf numFmtId="37" fontId="161" fillId="0" borderId="0" xfId="0" applyNumberFormat="1" applyFont="1" applyAlignment="1">
      <alignment horizontal="center"/>
    </xf>
    <xf numFmtId="37" fontId="162" fillId="0" borderId="0" xfId="0" applyNumberFormat="1" applyFont="1" applyAlignment="1" applyProtection="1">
      <alignment horizontal="center"/>
      <protection locked="0"/>
    </xf>
    <xf numFmtId="37" fontId="163" fillId="0" borderId="0" xfId="0" applyNumberFormat="1" applyFont="1" applyAlignment="1">
      <alignment horizontal="centerContinuous"/>
    </xf>
    <xf numFmtId="192" fontId="10" fillId="0" borderId="20" xfId="84" applyNumberFormat="1" applyFont="1" applyFill="1" applyBorder="1" applyProtection="1">
      <alignment horizontal="right"/>
      <protection/>
    </xf>
    <xf numFmtId="177" fontId="22" fillId="0" borderId="0" xfId="84" applyFont="1" applyFill="1" applyBorder="1" applyAlignment="1">
      <alignment horizontal="center"/>
      <protection locked="0"/>
    </xf>
    <xf numFmtId="0" fontId="22" fillId="0" borderId="45" xfId="73" applyFont="1" applyBorder="1" applyAlignment="1" applyProtection="1">
      <alignment horizontal="center" vertical="center"/>
      <protection locked="0"/>
    </xf>
    <xf numFmtId="0" fontId="22" fillId="0" borderId="45" xfId="73" applyFont="1" applyBorder="1" applyAlignment="1">
      <alignment horizontal="center" vertical="center"/>
      <protection/>
    </xf>
    <xf numFmtId="0" fontId="22" fillId="0" borderId="45" xfId="73" applyFont="1" applyBorder="1" applyAlignment="1">
      <alignment horizontal="center" wrapText="1"/>
      <protection/>
    </xf>
    <xf numFmtId="0" fontId="22" fillId="0" borderId="65" xfId="72" applyFont="1" applyBorder="1" applyAlignment="1">
      <alignment horizontal="right"/>
      <protection/>
    </xf>
    <xf numFmtId="177" fontId="22" fillId="0" borderId="65" xfId="84" applyFont="1" applyFill="1" applyBorder="1" applyAlignment="1">
      <alignment horizontal="center"/>
      <protection locked="0"/>
    </xf>
    <xf numFmtId="0" fontId="55" fillId="0" borderId="45" xfId="73" applyFont="1" applyBorder="1" applyAlignment="1" applyProtection="1">
      <alignment horizontal="left"/>
      <protection locked="0"/>
    </xf>
    <xf numFmtId="0" fontId="22" fillId="0" borderId="45" xfId="73" applyFont="1" applyBorder="1">
      <alignment/>
      <protection/>
    </xf>
    <xf numFmtId="0" fontId="22" fillId="0" borderId="45" xfId="73" applyFont="1" applyBorder="1" applyAlignment="1">
      <alignment horizontal="center"/>
      <protection/>
    </xf>
    <xf numFmtId="0" fontId="54" fillId="0" borderId="18" xfId="73" applyFont="1" applyBorder="1">
      <alignment/>
      <protection/>
    </xf>
    <xf numFmtId="0" fontId="54" fillId="65" borderId="29" xfId="73" applyFont="1" applyFill="1" applyBorder="1" applyAlignment="1" applyProtection="1">
      <alignment horizontal="left"/>
      <protection locked="0"/>
    </xf>
    <xf numFmtId="0" fontId="54" fillId="65" borderId="26" xfId="73" applyFont="1" applyFill="1" applyBorder="1" applyAlignment="1" applyProtection="1">
      <alignment horizontal="left"/>
      <protection locked="0"/>
    </xf>
    <xf numFmtId="0" fontId="65" fillId="0" borderId="0" xfId="72" applyFont="1" applyAlignment="1">
      <alignment horizontal="left"/>
      <protection/>
    </xf>
    <xf numFmtId="0" fontId="107" fillId="0" borderId="0" xfId="72" applyFont="1">
      <alignment/>
      <protection/>
    </xf>
    <xf numFmtId="0" fontId="22" fillId="0" borderId="59" xfId="73" applyFont="1" applyBorder="1">
      <alignment/>
      <protection/>
    </xf>
    <xf numFmtId="0" fontId="52" fillId="0" borderId="60" xfId="73" applyFont="1" applyBorder="1" applyProtection="1">
      <alignment/>
      <protection locked="0"/>
    </xf>
    <xf numFmtId="0" fontId="22" fillId="0" borderId="60" xfId="73" applyFont="1" applyBorder="1">
      <alignment/>
      <protection/>
    </xf>
    <xf numFmtId="0" fontId="22" fillId="0" borderId="60" xfId="73" applyFont="1" applyBorder="1" applyAlignment="1">
      <alignment horizontal="center"/>
      <protection/>
    </xf>
    <xf numFmtId="0" fontId="53" fillId="0" borderId="60" xfId="73" applyFont="1" applyBorder="1">
      <alignment/>
      <protection/>
    </xf>
    <xf numFmtId="0" fontId="22" fillId="0" borderId="61" xfId="73" applyFont="1" applyBorder="1">
      <alignment/>
      <protection/>
    </xf>
    <xf numFmtId="0" fontId="22" fillId="0" borderId="62" xfId="73" applyFont="1" applyBorder="1">
      <alignment/>
      <protection/>
    </xf>
    <xf numFmtId="0" fontId="54" fillId="0" borderId="0" xfId="73" applyFont="1" applyBorder="1">
      <alignment/>
      <protection/>
    </xf>
    <xf numFmtId="0" fontId="22" fillId="0" borderId="0" xfId="73" applyFont="1" applyBorder="1">
      <alignment/>
      <protection/>
    </xf>
    <xf numFmtId="0" fontId="22" fillId="0" borderId="0" xfId="73" applyFont="1" applyBorder="1" applyAlignment="1">
      <alignment horizontal="center"/>
      <protection/>
    </xf>
    <xf numFmtId="0" fontId="53" fillId="0" borderId="0" xfId="73" applyFont="1" applyBorder="1">
      <alignment/>
      <protection/>
    </xf>
    <xf numFmtId="0" fontId="22" fillId="0" borderId="63" xfId="73" applyFont="1" applyBorder="1">
      <alignment/>
      <protection/>
    </xf>
    <xf numFmtId="0" fontId="50" fillId="0" borderId="0" xfId="73" applyFont="1" applyBorder="1" applyAlignment="1">
      <alignment horizontal="center"/>
      <protection/>
    </xf>
    <xf numFmtId="0" fontId="50" fillId="0" borderId="0" xfId="73" applyFont="1" applyBorder="1">
      <alignment/>
      <protection/>
    </xf>
    <xf numFmtId="0" fontId="22" fillId="0" borderId="146" xfId="73" applyFont="1" applyBorder="1">
      <alignment/>
      <protection/>
    </xf>
    <xf numFmtId="0" fontId="22" fillId="0" borderId="147" xfId="73" applyFont="1" applyBorder="1">
      <alignment/>
      <protection/>
    </xf>
    <xf numFmtId="0" fontId="54" fillId="0" borderId="62" xfId="73" applyFont="1" applyBorder="1">
      <alignment/>
      <protection/>
    </xf>
    <xf numFmtId="3" fontId="0" fillId="0" borderId="0" xfId="0" applyNumberFormat="1" applyFont="1" applyBorder="1" applyAlignment="1">
      <alignment/>
    </xf>
    <xf numFmtId="0" fontId="54" fillId="0" borderId="0" xfId="73" applyFont="1" applyBorder="1" applyAlignment="1">
      <alignment horizontal="center"/>
      <protection/>
    </xf>
    <xf numFmtId="0" fontId="95" fillId="0" borderId="0" xfId="73" applyFont="1" applyBorder="1">
      <alignment/>
      <protection/>
    </xf>
    <xf numFmtId="0" fontId="22" fillId="0" borderId="0" xfId="72" applyFont="1" applyBorder="1" applyAlignment="1">
      <alignment horizontal="right"/>
      <protection/>
    </xf>
    <xf numFmtId="0" fontId="22" fillId="0" borderId="0" xfId="72" applyFont="1" applyBorder="1" applyAlignment="1" applyProtection="1">
      <alignment horizontal="left"/>
      <protection locked="0"/>
    </xf>
    <xf numFmtId="0" fontId="54" fillId="0" borderId="63" xfId="73" applyFont="1" applyBorder="1">
      <alignment/>
      <protection/>
    </xf>
    <xf numFmtId="0" fontId="51" fillId="0" borderId="0" xfId="73" applyFont="1" applyBorder="1" applyAlignment="1" applyProtection="1">
      <alignment horizontal="right"/>
      <protection locked="0"/>
    </xf>
    <xf numFmtId="0" fontId="106" fillId="0" borderId="0" xfId="73" applyFont="1" applyBorder="1" applyAlignment="1" applyProtection="1">
      <alignment horizontal="right"/>
      <protection locked="0"/>
    </xf>
    <xf numFmtId="0" fontId="164" fillId="0" borderId="0" xfId="73" applyFont="1" applyBorder="1">
      <alignment/>
      <protection/>
    </xf>
    <xf numFmtId="0" fontId="53" fillId="29" borderId="0" xfId="73" applyFont="1" applyFill="1" applyBorder="1">
      <alignment/>
      <protection/>
    </xf>
    <xf numFmtId="0" fontId="95" fillId="29" borderId="0" xfId="73" applyFont="1" applyFill="1" applyBorder="1">
      <alignment/>
      <protection/>
    </xf>
    <xf numFmtId="0" fontId="22" fillId="0" borderId="0" xfId="73" applyFont="1" applyBorder="1" applyAlignment="1">
      <alignment horizontal="right" wrapText="1"/>
      <protection/>
    </xf>
    <xf numFmtId="0" fontId="55" fillId="0" borderId="0" xfId="73" applyFont="1" applyBorder="1" applyAlignment="1" applyProtection="1">
      <alignment horizontal="left"/>
      <protection locked="0"/>
    </xf>
    <xf numFmtId="0" fontId="22" fillId="34" borderId="0" xfId="73" applyFont="1" applyFill="1" applyBorder="1">
      <alignment/>
      <protection/>
    </xf>
    <xf numFmtId="177" fontId="22" fillId="63" borderId="8" xfId="84" applyFont="1" applyFill="1" applyBorder="1" applyAlignment="1">
      <alignment horizontal="center"/>
      <protection locked="0"/>
    </xf>
    <xf numFmtId="0" fontId="50" fillId="0" borderId="62" xfId="73" applyFont="1" applyBorder="1">
      <alignment/>
      <protection/>
    </xf>
    <xf numFmtId="7" fontId="0" fillId="0" borderId="148" xfId="45" applyFill="1" applyBorder="1" applyAlignment="1">
      <alignment/>
    </xf>
    <xf numFmtId="0" fontId="55" fillId="0" borderId="0" xfId="73" applyFont="1" applyBorder="1" applyProtection="1">
      <alignment/>
      <protection locked="0"/>
    </xf>
    <xf numFmtId="1" fontId="22" fillId="0" borderId="0" xfId="73" applyNumberFormat="1" applyFont="1" applyBorder="1">
      <alignment/>
      <protection/>
    </xf>
    <xf numFmtId="0" fontId="50" fillId="0" borderId="63" xfId="73" applyFont="1" applyBorder="1">
      <alignment/>
      <protection/>
    </xf>
    <xf numFmtId="0" fontId="50" fillId="0" borderId="64" xfId="73" applyFont="1" applyBorder="1">
      <alignment/>
      <protection/>
    </xf>
    <xf numFmtId="0" fontId="50" fillId="0" borderId="65" xfId="73" applyFont="1" applyBorder="1">
      <alignment/>
      <protection/>
    </xf>
    <xf numFmtId="0" fontId="50" fillId="0" borderId="65" xfId="73" applyFont="1" applyBorder="1" applyAlignment="1">
      <alignment horizontal="center"/>
      <protection/>
    </xf>
    <xf numFmtId="0" fontId="50" fillId="0" borderId="66" xfId="73" applyFont="1" applyBorder="1">
      <alignment/>
      <protection/>
    </xf>
    <xf numFmtId="0" fontId="44" fillId="0" borderId="0" xfId="73" applyFont="1" applyBorder="1">
      <alignment/>
      <protection/>
    </xf>
    <xf numFmtId="0" fontId="44" fillId="0" borderId="0" xfId="73" applyFont="1" applyBorder="1" applyAlignment="1">
      <alignment horizontal="right"/>
      <protection/>
    </xf>
    <xf numFmtId="0" fontId="44" fillId="0" borderId="62" xfId="73" applyFont="1" applyBorder="1">
      <alignment/>
      <protection/>
    </xf>
    <xf numFmtId="0" fontId="44" fillId="0" borderId="16" xfId="73" applyFont="1" applyBorder="1">
      <alignment/>
      <protection/>
    </xf>
    <xf numFmtId="0" fontId="44" fillId="0" borderId="0" xfId="73" applyFont="1" applyBorder="1" applyAlignment="1">
      <alignment horizontal="center"/>
      <protection/>
    </xf>
    <xf numFmtId="1" fontId="44" fillId="0" borderId="8" xfId="85" applyNumberFormat="1" applyFont="1" applyFill="1" applyBorder="1" applyAlignment="1">
      <alignment horizontal="center"/>
      <protection locked="0"/>
    </xf>
    <xf numFmtId="1" fontId="44" fillId="0" borderId="0" xfId="73" applyNumberFormat="1" applyFont="1" applyBorder="1" applyAlignment="1">
      <alignment horizontal="center"/>
      <protection/>
    </xf>
    <xf numFmtId="2" fontId="44" fillId="0" borderId="8" xfId="73" applyNumberFormat="1" applyFont="1" applyBorder="1" applyAlignment="1">
      <alignment horizontal="center"/>
      <protection/>
    </xf>
    <xf numFmtId="2" fontId="44" fillId="0" borderId="11" xfId="73" applyNumberFormat="1" applyFont="1" applyBorder="1" applyAlignment="1">
      <alignment horizontal="center"/>
      <protection/>
    </xf>
    <xf numFmtId="0" fontId="44" fillId="0" borderId="12" xfId="73" applyFont="1" applyBorder="1">
      <alignment/>
      <protection/>
    </xf>
    <xf numFmtId="0" fontId="44" fillId="0" borderId="12" xfId="73" applyFont="1" applyBorder="1" applyAlignment="1">
      <alignment horizontal="center"/>
      <protection/>
    </xf>
    <xf numFmtId="2" fontId="44" fillId="0" borderId="12" xfId="73" applyNumberFormat="1" applyFont="1" applyBorder="1" applyAlignment="1">
      <alignment horizontal="center"/>
      <protection/>
    </xf>
    <xf numFmtId="2" fontId="44" fillId="0" borderId="16" xfId="73" applyNumberFormat="1" applyFont="1" applyBorder="1" applyAlignment="1">
      <alignment horizontal="center"/>
      <protection/>
    </xf>
    <xf numFmtId="0" fontId="14" fillId="0" borderId="62" xfId="73" applyFont="1" applyBorder="1">
      <alignment/>
      <protection/>
    </xf>
    <xf numFmtId="0" fontId="44" fillId="0" borderId="16" xfId="73" applyFont="1" applyBorder="1" applyAlignment="1">
      <alignment horizontal="left"/>
      <protection/>
    </xf>
    <xf numFmtId="0" fontId="14" fillId="0" borderId="16" xfId="73" applyFont="1" applyBorder="1">
      <alignment/>
      <protection/>
    </xf>
    <xf numFmtId="0" fontId="1" fillId="29" borderId="0" xfId="73" applyFont="1" applyFill="1" applyBorder="1">
      <alignment/>
      <protection/>
    </xf>
    <xf numFmtId="0" fontId="1" fillId="29" borderId="63" xfId="73" applyFont="1" applyFill="1" applyBorder="1">
      <alignment/>
      <protection/>
    </xf>
    <xf numFmtId="1" fontId="44" fillId="0" borderId="8" xfId="85" applyNumberFormat="1" applyFont="1" applyFill="1" applyBorder="1" applyAlignment="1" applyProtection="1">
      <alignment horizontal="center"/>
      <protection/>
    </xf>
    <xf numFmtId="1" fontId="44" fillId="0" borderId="8" xfId="73" applyNumberFormat="1" applyFont="1" applyBorder="1" applyAlignment="1">
      <alignment horizontal="center"/>
      <protection/>
    </xf>
    <xf numFmtId="1" fontId="44" fillId="0" borderId="11" xfId="73" applyNumberFormat="1" applyFont="1" applyBorder="1" applyAlignment="1">
      <alignment horizontal="center"/>
      <protection/>
    </xf>
    <xf numFmtId="0" fontId="44" fillId="0" borderId="0" xfId="73" applyFont="1" applyBorder="1" quotePrefix="1">
      <alignment/>
      <protection/>
    </xf>
    <xf numFmtId="177" fontId="44" fillId="0" borderId="63" xfId="73" applyNumberFormat="1" applyFont="1" applyBorder="1">
      <alignment/>
      <protection/>
    </xf>
    <xf numFmtId="0" fontId="44" fillId="29" borderId="0" xfId="73" applyFont="1" applyFill="1" applyBorder="1">
      <alignment/>
      <protection/>
    </xf>
    <xf numFmtId="0" fontId="44" fillId="29" borderId="63" xfId="73" applyFont="1" applyFill="1" applyBorder="1">
      <alignment/>
      <protection/>
    </xf>
    <xf numFmtId="0" fontId="44" fillId="29" borderId="0" xfId="73" applyFont="1" applyFill="1" applyBorder="1" applyAlignment="1">
      <alignment horizontal="right"/>
      <protection/>
    </xf>
    <xf numFmtId="4" fontId="44" fillId="29" borderId="0" xfId="73" applyNumberFormat="1" applyFont="1" applyFill="1" applyBorder="1">
      <alignment/>
      <protection/>
    </xf>
    <xf numFmtId="4" fontId="1" fillId="29" borderId="0" xfId="73" applyNumberFormat="1" applyFont="1" applyFill="1" applyBorder="1">
      <alignment/>
      <protection/>
    </xf>
    <xf numFmtId="4" fontId="44" fillId="29" borderId="63" xfId="73" applyNumberFormat="1" applyFont="1" applyFill="1" applyBorder="1">
      <alignment/>
      <protection/>
    </xf>
    <xf numFmtId="4" fontId="44" fillId="0" borderId="0" xfId="73" applyNumberFormat="1" applyFont="1" applyBorder="1">
      <alignment/>
      <protection/>
    </xf>
    <xf numFmtId="4" fontId="1" fillId="0" borderId="63" xfId="73" applyNumberFormat="1" applyFont="1" applyBorder="1">
      <alignment/>
      <protection/>
    </xf>
    <xf numFmtId="1" fontId="44" fillId="0" borderId="16" xfId="73" applyNumberFormat="1" applyFont="1" applyBorder="1" applyAlignment="1">
      <alignment horizontal="center"/>
      <protection/>
    </xf>
    <xf numFmtId="9" fontId="44" fillId="0" borderId="63" xfId="73" applyNumberFormat="1" applyFont="1" applyBorder="1" applyAlignment="1">
      <alignment horizontal="center"/>
      <protection/>
    </xf>
    <xf numFmtId="0" fontId="44" fillId="0" borderId="63" xfId="73" applyFont="1" applyBorder="1">
      <alignment/>
      <protection/>
    </xf>
    <xf numFmtId="7" fontId="1" fillId="29" borderId="16" xfId="45" applyFont="1" applyFill="1" applyBorder="1" applyAlignment="1">
      <alignment/>
    </xf>
    <xf numFmtId="7" fontId="1" fillId="29" borderId="16" xfId="45" applyFont="1" applyFill="1" applyBorder="1" applyAlignment="1">
      <alignment/>
    </xf>
    <xf numFmtId="7" fontId="1" fillId="0" borderId="16" xfId="45" applyFont="1" applyFill="1" applyBorder="1" applyAlignment="1">
      <alignment horizontal="center"/>
    </xf>
    <xf numFmtId="7" fontId="1" fillId="0" borderId="16" xfId="45" applyFont="1" applyFill="1" applyBorder="1" applyAlignment="1">
      <alignment/>
    </xf>
    <xf numFmtId="7" fontId="1" fillId="0" borderId="149" xfId="45" applyFont="1" applyFill="1" applyBorder="1" applyAlignment="1">
      <alignment/>
    </xf>
    <xf numFmtId="0" fontId="108" fillId="0" borderId="0" xfId="73" applyFont="1" applyBorder="1" applyAlignment="1" applyProtection="1">
      <alignment horizontal="left"/>
      <protection locked="0"/>
    </xf>
    <xf numFmtId="0" fontId="69" fillId="0" borderId="150" xfId="71" applyFont="1" applyBorder="1" applyAlignment="1">
      <alignment horizontal="left"/>
      <protection/>
    </xf>
    <xf numFmtId="37" fontId="69" fillId="0" borderId="151" xfId="71" applyNumberFormat="1" applyFont="1" applyBorder="1" applyAlignment="1">
      <alignment horizontal="center"/>
      <protection/>
    </xf>
    <xf numFmtId="177" fontId="27" fillId="63" borderId="119" xfId="84" applyFont="1" applyFill="1" applyBorder="1" applyAlignment="1">
      <alignment horizontal="left"/>
      <protection locked="0"/>
    </xf>
    <xf numFmtId="0" fontId="36" fillId="63" borderId="11" xfId="72" applyFont="1" applyFill="1" applyBorder="1">
      <alignment/>
      <protection/>
    </xf>
    <xf numFmtId="177" fontId="28" fillId="0" borderId="0" xfId="51" applyFont="1" applyFill="1" applyBorder="1" applyAlignment="1">
      <alignment horizontal="right"/>
    </xf>
    <xf numFmtId="37" fontId="10" fillId="0" borderId="28" xfId="0" applyNumberFormat="1" applyFont="1" applyFill="1" applyBorder="1" applyAlignment="1">
      <alignment horizontal="center"/>
    </xf>
    <xf numFmtId="37" fontId="102" fillId="0" borderId="0" xfId="0" applyNumberFormat="1" applyFont="1" applyBorder="1" applyAlignment="1" applyProtection="1">
      <alignment horizontal="right"/>
      <protection/>
    </xf>
    <xf numFmtId="37" fontId="10" fillId="0" borderId="0" xfId="0" applyNumberFormat="1" applyFont="1" applyFill="1" applyAlignment="1">
      <alignment horizontal="center"/>
    </xf>
    <xf numFmtId="37" fontId="6" fillId="48" borderId="11" xfId="0" applyNumberFormat="1" applyFont="1" applyFill="1" applyBorder="1" applyAlignment="1" applyProtection="1">
      <alignment horizontal="left"/>
      <protection locked="0"/>
    </xf>
    <xf numFmtId="3" fontId="6" fillId="49" borderId="11" xfId="0" applyNumberFormat="1" applyFont="1" applyFill="1" applyBorder="1" applyAlignment="1" applyProtection="1">
      <alignment horizontal="left"/>
      <protection locked="0"/>
    </xf>
    <xf numFmtId="3" fontId="6" fillId="49" borderId="11" xfId="0" applyNumberFormat="1" applyFont="1" applyFill="1" applyBorder="1" applyAlignment="1" applyProtection="1">
      <alignment/>
      <protection locked="0"/>
    </xf>
    <xf numFmtId="3" fontId="5" fillId="65" borderId="59" xfId="0" applyNumberFormat="1" applyFont="1" applyFill="1" applyBorder="1" applyAlignment="1" applyProtection="1">
      <alignment horizontal="left"/>
      <protection locked="0"/>
    </xf>
    <xf numFmtId="3" fontId="5" fillId="65" borderId="60" xfId="0" applyNumberFormat="1" applyFont="1" applyFill="1" applyBorder="1" applyAlignment="1" applyProtection="1">
      <alignment horizontal="left"/>
      <protection locked="0"/>
    </xf>
    <xf numFmtId="3" fontId="5" fillId="65" borderId="62" xfId="0" applyNumberFormat="1" applyFont="1" applyFill="1" applyBorder="1" applyAlignment="1" applyProtection="1">
      <alignment horizontal="left"/>
      <protection locked="0"/>
    </xf>
    <xf numFmtId="3" fontId="5" fillId="65" borderId="0" xfId="0" applyNumberFormat="1" applyFont="1" applyFill="1" applyBorder="1" applyAlignment="1" applyProtection="1">
      <alignment horizontal="left"/>
      <protection locked="0"/>
    </xf>
    <xf numFmtId="3" fontId="0" fillId="65" borderId="62" xfId="0" applyNumberFormat="1" applyFont="1" applyFill="1" applyBorder="1" applyAlignment="1" applyProtection="1">
      <alignment horizontal="left"/>
      <protection locked="0"/>
    </xf>
    <xf numFmtId="3" fontId="0" fillId="65" borderId="0" xfId="0" applyNumberFormat="1" applyFont="1" applyFill="1" applyBorder="1" applyAlignment="1" applyProtection="1">
      <alignment horizontal="left"/>
      <protection locked="0"/>
    </xf>
    <xf numFmtId="3" fontId="5" fillId="65" borderId="64" xfId="0" applyNumberFormat="1" applyFont="1" applyFill="1" applyBorder="1" applyAlignment="1" applyProtection="1">
      <alignment horizontal="left"/>
      <protection locked="0"/>
    </xf>
    <xf numFmtId="3" fontId="5" fillId="65" borderId="65" xfId="0" applyNumberFormat="1" applyFont="1" applyFill="1" applyBorder="1" applyAlignment="1" applyProtection="1">
      <alignment horizontal="left"/>
      <protection locked="0"/>
    </xf>
    <xf numFmtId="37" fontId="6" fillId="48" borderId="8" xfId="0" applyNumberFormat="1" applyFont="1" applyFill="1" applyBorder="1" applyAlignment="1" applyProtection="1">
      <alignment horizontal="left"/>
      <protection locked="0"/>
    </xf>
    <xf numFmtId="3" fontId="6" fillId="49" borderId="8" xfId="0" applyNumberFormat="1" applyFont="1" applyFill="1" applyBorder="1" applyAlignment="1" applyProtection="1">
      <alignment horizontal="left"/>
      <protection locked="0"/>
    </xf>
    <xf numFmtId="37" fontId="24" fillId="0" borderId="0" xfId="0" applyNumberFormat="1" applyFont="1" applyAlignment="1">
      <alignment horizontal="center"/>
    </xf>
    <xf numFmtId="3" fontId="0" fillId="0" borderId="0" xfId="0" applyNumberFormat="1" applyAlignment="1">
      <alignment/>
    </xf>
    <xf numFmtId="37" fontId="58" fillId="0" borderId="0" xfId="0" applyNumberFormat="1" applyFont="1" applyAlignment="1">
      <alignment horizontal="center"/>
    </xf>
    <xf numFmtId="37" fontId="6" fillId="48" borderId="11" xfId="0" applyNumberFormat="1" applyFont="1" applyFill="1" applyBorder="1" applyAlignment="1" applyProtection="1">
      <alignment horizontal="left"/>
      <protection locked="0"/>
    </xf>
    <xf numFmtId="186" fontId="6" fillId="48" borderId="8" xfId="0" applyNumberFormat="1" applyFont="1" applyFill="1" applyBorder="1" applyAlignment="1" applyProtection="1">
      <alignment horizontal="center"/>
      <protection locked="0"/>
    </xf>
    <xf numFmtId="49" fontId="10" fillId="48" borderId="8" xfId="0" applyNumberFormat="1" applyFont="1" applyFill="1" applyBorder="1" applyAlignment="1" applyProtection="1">
      <alignment horizontal="center"/>
      <protection locked="0"/>
    </xf>
    <xf numFmtId="49" fontId="10" fillId="49" borderId="8" xfId="0" applyNumberFormat="1" applyFont="1" applyFill="1" applyBorder="1" applyAlignment="1" applyProtection="1">
      <alignment horizontal="center"/>
      <protection locked="0"/>
    </xf>
    <xf numFmtId="37" fontId="6" fillId="48" borderId="8" xfId="0" applyNumberFormat="1" applyFont="1" applyFill="1" applyBorder="1" applyAlignment="1" applyProtection="1">
      <alignment horizontal="center"/>
      <protection locked="0"/>
    </xf>
    <xf numFmtId="3" fontId="6" fillId="49" borderId="8" xfId="0" applyNumberFormat="1" applyFont="1" applyFill="1" applyBorder="1" applyAlignment="1" applyProtection="1">
      <alignment horizontal="center"/>
      <protection locked="0"/>
    </xf>
    <xf numFmtId="37" fontId="6" fillId="48" borderId="8" xfId="0" applyNumberFormat="1" applyFont="1" applyFill="1" applyBorder="1" applyAlignment="1" applyProtection="1">
      <alignment horizontal="center"/>
      <protection locked="0"/>
    </xf>
    <xf numFmtId="37" fontId="6" fillId="0" borderId="0" xfId="0" applyNumberFormat="1" applyFont="1" applyFill="1" applyBorder="1" applyAlignment="1" applyProtection="1">
      <alignment/>
      <protection locked="0"/>
    </xf>
    <xf numFmtId="182" fontId="6" fillId="48" borderId="8" xfId="0" applyNumberFormat="1" applyFont="1" applyFill="1" applyBorder="1" applyAlignment="1" applyProtection="1">
      <alignment horizontal="center"/>
      <protection locked="0"/>
    </xf>
    <xf numFmtId="37" fontId="10" fillId="48" borderId="8" xfId="0" applyNumberFormat="1" applyFont="1" applyFill="1" applyBorder="1" applyAlignment="1" applyProtection="1">
      <alignment horizontal="center"/>
      <protection locked="0"/>
    </xf>
    <xf numFmtId="187" fontId="6" fillId="48" borderId="8" xfId="0" applyNumberFormat="1" applyFont="1" applyFill="1" applyBorder="1" applyAlignment="1" applyProtection="1">
      <alignment horizontal="center"/>
      <protection locked="0"/>
    </xf>
    <xf numFmtId="37" fontId="6" fillId="0" borderId="9" xfId="0" applyNumberFormat="1" applyFont="1" applyBorder="1" applyAlignment="1">
      <alignment horizontal="center"/>
    </xf>
    <xf numFmtId="3" fontId="0" fillId="0" borderId="9" xfId="0" applyNumberFormat="1" applyBorder="1" applyAlignment="1">
      <alignment horizontal="center"/>
    </xf>
    <xf numFmtId="37" fontId="24" fillId="0" borderId="0" xfId="0" applyNumberFormat="1" applyFont="1" applyAlignment="1">
      <alignment horizontal="left"/>
    </xf>
    <xf numFmtId="37" fontId="6" fillId="48" borderId="8" xfId="0" applyNumberFormat="1" applyFont="1" applyFill="1" applyBorder="1" applyAlignment="1" applyProtection="1">
      <alignment horizontal="left"/>
      <protection locked="0"/>
    </xf>
    <xf numFmtId="3" fontId="6" fillId="49" borderId="8" xfId="0" applyNumberFormat="1" applyFont="1" applyFill="1" applyBorder="1" applyAlignment="1">
      <alignment/>
    </xf>
    <xf numFmtId="37" fontId="6" fillId="48" borderId="8" xfId="0" applyNumberFormat="1" applyFont="1" applyFill="1" applyBorder="1" applyAlignment="1" applyProtection="1">
      <alignment/>
      <protection locked="0"/>
    </xf>
    <xf numFmtId="37" fontId="10" fillId="0" borderId="17" xfId="0" applyNumberFormat="1" applyFont="1" applyFill="1" applyBorder="1" applyAlignment="1" applyProtection="1">
      <alignment horizontal="left"/>
      <protection/>
    </xf>
    <xf numFmtId="3" fontId="10" fillId="0" borderId="17" xfId="0" applyNumberFormat="1" applyFont="1" applyFill="1" applyBorder="1" applyAlignment="1" applyProtection="1">
      <alignment horizontal="left"/>
      <protection/>
    </xf>
    <xf numFmtId="3" fontId="10" fillId="0" borderId="17" xfId="0" applyNumberFormat="1" applyFont="1" applyFill="1" applyBorder="1" applyAlignment="1" applyProtection="1">
      <alignment/>
      <protection/>
    </xf>
    <xf numFmtId="37" fontId="6" fillId="0" borderId="8" xfId="0" applyNumberFormat="1" applyFont="1" applyFill="1" applyBorder="1" applyAlignment="1" applyProtection="1">
      <alignment horizontal="left"/>
      <protection/>
    </xf>
    <xf numFmtId="3" fontId="6" fillId="0" borderId="8" xfId="0" applyNumberFormat="1" applyFont="1" applyFill="1" applyBorder="1" applyAlignment="1" applyProtection="1">
      <alignment horizontal="left"/>
      <protection/>
    </xf>
    <xf numFmtId="37" fontId="6" fillId="0" borderId="8" xfId="0" applyNumberFormat="1" applyFont="1" applyFill="1" applyBorder="1" applyAlignment="1" applyProtection="1">
      <alignment horizontal="left"/>
      <protection/>
    </xf>
    <xf numFmtId="37" fontId="6" fillId="0" borderId="0" xfId="0" applyNumberFormat="1" applyFont="1" applyFill="1" applyAlignment="1">
      <alignment/>
    </xf>
    <xf numFmtId="166" fontId="6" fillId="49" borderId="18" xfId="0" applyNumberFormat="1" applyFont="1" applyFill="1" applyBorder="1" applyAlignment="1" applyProtection="1">
      <alignment horizontal="center"/>
      <protection locked="0"/>
    </xf>
    <xf numFmtId="37" fontId="41" fillId="71" borderId="0" xfId="0" applyNumberFormat="1" applyFont="1" applyFill="1" applyBorder="1" applyAlignment="1">
      <alignment horizontal="center" wrapText="1"/>
    </xf>
    <xf numFmtId="37" fontId="41" fillId="71" borderId="33" xfId="0" applyNumberFormat="1" applyFont="1" applyFill="1" applyBorder="1" applyAlignment="1">
      <alignment horizontal="center" wrapText="1"/>
    </xf>
    <xf numFmtId="37" fontId="10" fillId="0" borderId="0" xfId="0" applyNumberFormat="1" applyFont="1" applyBorder="1" applyAlignment="1">
      <alignment horizontal="center" vertical="justify"/>
    </xf>
    <xf numFmtId="3" fontId="0" fillId="0" borderId="0" xfId="0" applyNumberFormat="1" applyFont="1" applyBorder="1" applyAlignment="1">
      <alignment horizontal="center" vertical="justify"/>
    </xf>
    <xf numFmtId="9" fontId="150" fillId="68" borderId="18" xfId="76" applyNumberFormat="1" applyFont="1" applyFill="1" applyBorder="1" applyAlignment="1">
      <alignment horizontal="center"/>
    </xf>
    <xf numFmtId="0" fontId="150" fillId="63" borderId="18" xfId="0" applyFont="1" applyFill="1" applyBorder="1" applyAlignment="1" applyProtection="1">
      <alignment horizontal="left"/>
      <protection locked="0"/>
    </xf>
    <xf numFmtId="0" fontId="150" fillId="63" borderId="18" xfId="0" applyFont="1" applyFill="1" applyBorder="1" applyAlignment="1" applyProtection="1">
      <alignment/>
      <protection locked="0"/>
    </xf>
    <xf numFmtId="5" fontId="150" fillId="68" borderId="18" xfId="45" applyNumberFormat="1" applyFont="1" applyFill="1" applyBorder="1" applyAlignment="1" applyProtection="1">
      <alignment horizontal="center"/>
      <protection locked="0"/>
    </xf>
    <xf numFmtId="0" fontId="150" fillId="0" borderId="0" xfId="0" applyFont="1" applyAlignment="1" applyProtection="1">
      <alignment/>
      <protection locked="0"/>
    </xf>
    <xf numFmtId="0" fontId="151" fillId="0" borderId="0" xfId="0" applyFont="1" applyAlignment="1">
      <alignment horizontal="center" vertical="center" wrapText="1"/>
    </xf>
    <xf numFmtId="192" fontId="150" fillId="68" borderId="18" xfId="76" applyNumberFormat="1" applyFont="1" applyFill="1" applyBorder="1" applyAlignment="1">
      <alignment horizontal="center"/>
    </xf>
    <xf numFmtId="5" fontId="150" fillId="63" borderId="18" xfId="45" applyNumberFormat="1" applyFont="1" applyFill="1" applyBorder="1" applyAlignment="1" applyProtection="1">
      <alignment horizontal="center"/>
      <protection locked="0"/>
    </xf>
    <xf numFmtId="9" fontId="150" fillId="0" borderId="0" xfId="76" applyNumberFormat="1" applyFont="1" applyBorder="1" applyAlignment="1">
      <alignment horizontal="center"/>
    </xf>
    <xf numFmtId="0" fontId="36" fillId="0" borderId="24" xfId="0" applyFont="1" applyBorder="1" applyAlignment="1">
      <alignment horizontal="center" vertical="top"/>
    </xf>
    <xf numFmtId="0" fontId="36" fillId="0" borderId="19" xfId="0" applyFont="1" applyBorder="1" applyAlignment="1">
      <alignment horizontal="center" vertical="top"/>
    </xf>
    <xf numFmtId="0" fontId="36" fillId="0" borderId="25" xfId="0" applyFont="1" applyBorder="1" applyAlignment="1">
      <alignment horizontal="center" vertical="top"/>
    </xf>
    <xf numFmtId="0" fontId="2" fillId="0" borderId="30" xfId="0" applyFont="1" applyBorder="1" applyAlignment="1">
      <alignment vertical="top"/>
    </xf>
    <xf numFmtId="0" fontId="2" fillId="0" borderId="0" xfId="0" applyFont="1" applyBorder="1" applyAlignment="1">
      <alignment vertical="top"/>
    </xf>
    <xf numFmtId="0" fontId="2" fillId="0" borderId="29" xfId="0" applyFont="1" applyBorder="1" applyAlignment="1">
      <alignment vertical="top"/>
    </xf>
    <xf numFmtId="0" fontId="2" fillId="0" borderId="18" xfId="0" applyFont="1" applyBorder="1" applyAlignment="1">
      <alignment vertical="top"/>
    </xf>
    <xf numFmtId="177" fontId="27" fillId="63" borderId="119" xfId="84" applyFont="1" applyFill="1" applyBorder="1" applyAlignment="1">
      <alignment horizontal="left"/>
      <protection locked="0"/>
    </xf>
    <xf numFmtId="177" fontId="27" fillId="63" borderId="11" xfId="84" applyFont="1" applyFill="1" applyBorder="1" applyAlignment="1">
      <alignment horizontal="left"/>
      <protection locked="0"/>
    </xf>
    <xf numFmtId="177" fontId="28" fillId="50" borderId="18" xfId="84" applyFont="1" applyFill="1" applyBorder="1" applyAlignment="1">
      <alignment horizontal="left"/>
      <protection locked="0"/>
    </xf>
    <xf numFmtId="49" fontId="27" fillId="0" borderId="65" xfId="72" applyNumberFormat="1" applyFont="1" applyBorder="1">
      <alignment/>
      <protection/>
    </xf>
    <xf numFmtId="0" fontId="30" fillId="0" borderId="65" xfId="72" applyFont="1" applyBorder="1">
      <alignment/>
      <protection/>
    </xf>
    <xf numFmtId="177" fontId="27" fillId="0" borderId="134" xfId="84" applyFont="1" applyFill="1" applyBorder="1" applyAlignment="1" applyProtection="1">
      <alignment horizontal="left"/>
      <protection/>
    </xf>
    <xf numFmtId="0" fontId="36" fillId="0" borderId="8" xfId="72" applyFont="1" applyBorder="1">
      <alignment/>
      <protection/>
    </xf>
    <xf numFmtId="0" fontId="36" fillId="63" borderId="11" xfId="72" applyFont="1" applyFill="1" applyBorder="1">
      <alignment/>
      <protection/>
    </xf>
    <xf numFmtId="0" fontId="61" fillId="0" borderId="59" xfId="69" applyFont="1" applyBorder="1" applyAlignment="1">
      <alignment horizontal="center" wrapText="1"/>
      <protection/>
    </xf>
    <xf numFmtId="0" fontId="61" fillId="0" borderId="60" xfId="69" applyFont="1" applyBorder="1" applyAlignment="1">
      <alignment horizontal="center"/>
      <protection/>
    </xf>
    <xf numFmtId="0" fontId="61" fillId="0" borderId="61" xfId="69" applyFont="1" applyBorder="1" applyAlignment="1">
      <alignment horizontal="center"/>
      <protection/>
    </xf>
    <xf numFmtId="0" fontId="61" fillId="0" borderId="64" xfId="69" applyFont="1" applyBorder="1" applyAlignment="1">
      <alignment horizontal="center"/>
      <protection/>
    </xf>
    <xf numFmtId="0" fontId="61" fillId="0" borderId="65" xfId="69" applyFont="1" applyBorder="1" applyAlignment="1">
      <alignment horizontal="center"/>
      <protection/>
    </xf>
    <xf numFmtId="0" fontId="61" fillId="0" borderId="66" xfId="69" applyFont="1" applyBorder="1" applyAlignment="1">
      <alignment horizontal="center"/>
      <protection/>
    </xf>
    <xf numFmtId="0" fontId="61" fillId="0" borderId="59" xfId="69" applyFont="1" applyBorder="1" applyAlignment="1">
      <alignment horizontal="center"/>
      <protection/>
    </xf>
    <xf numFmtId="0" fontId="2" fillId="0" borderId="62" xfId="69" applyBorder="1" applyAlignment="1">
      <alignment horizontal="left" wrapText="1"/>
      <protection/>
    </xf>
    <xf numFmtId="0" fontId="2" fillId="0" borderId="0" xfId="69" applyAlignment="1">
      <alignment horizontal="left" wrapText="1"/>
      <protection/>
    </xf>
    <xf numFmtId="0" fontId="66" fillId="0" borderId="0" xfId="71" applyFont="1" applyAlignment="1">
      <alignment horizontal="center"/>
      <protection/>
    </xf>
    <xf numFmtId="0" fontId="43" fillId="0" borderId="0" xfId="72" applyFont="1" applyAlignment="1">
      <alignment horizontal="center" wrapText="1"/>
      <protection/>
    </xf>
    <xf numFmtId="0" fontId="56" fillId="0" borderId="65" xfId="72" applyFont="1" applyBorder="1" applyAlignment="1">
      <alignment horizontal="right"/>
      <protection/>
    </xf>
    <xf numFmtId="37" fontId="56" fillId="0" borderId="152" xfId="0" applyNumberFormat="1" applyFont="1" applyBorder="1" applyAlignment="1">
      <alignment horizontal="right" vertical="top"/>
    </xf>
    <xf numFmtId="0" fontId="56" fillId="0" borderId="152" xfId="0" applyFont="1" applyBorder="1" applyAlignment="1">
      <alignment horizontal="right" vertical="top"/>
    </xf>
    <xf numFmtId="4" fontId="44" fillId="65" borderId="53" xfId="73" applyNumberFormat="1" applyFont="1" applyFill="1" applyBorder="1" applyAlignment="1">
      <alignment horizontal="center"/>
      <protection/>
    </xf>
    <xf numFmtId="4" fontId="44" fillId="65" borderId="153" xfId="73" applyNumberFormat="1" applyFont="1" applyFill="1" applyBorder="1" applyAlignment="1">
      <alignment horizontal="center"/>
      <protection/>
    </xf>
    <xf numFmtId="192" fontId="22" fillId="65" borderId="53" xfId="73" applyNumberFormat="1" applyFont="1" applyFill="1" applyBorder="1" applyAlignment="1">
      <alignment horizontal="center"/>
      <protection/>
    </xf>
    <xf numFmtId="192" fontId="22" fillId="65" borderId="153" xfId="73" applyNumberFormat="1" applyFont="1" applyFill="1" applyBorder="1" applyAlignment="1">
      <alignment horizontal="center"/>
      <protection/>
    </xf>
    <xf numFmtId="0" fontId="22" fillId="65" borderId="16" xfId="73" applyFont="1" applyFill="1" applyBorder="1" applyAlignment="1">
      <alignment horizontal="center"/>
      <protection/>
    </xf>
    <xf numFmtId="0" fontId="54" fillId="65" borderId="29" xfId="73" applyFont="1" applyFill="1" applyBorder="1" applyAlignment="1" applyProtection="1">
      <alignment horizontal="left"/>
      <protection locked="0"/>
    </xf>
    <xf numFmtId="0" fontId="54" fillId="65" borderId="18" xfId="73" applyFont="1" applyFill="1" applyBorder="1" applyAlignment="1" applyProtection="1">
      <alignment horizontal="left"/>
      <protection locked="0"/>
    </xf>
    <xf numFmtId="0" fontId="54" fillId="65" borderId="37" xfId="73" applyFont="1" applyFill="1" applyBorder="1" applyAlignment="1" applyProtection="1">
      <alignment horizontal="left"/>
      <protection locked="0"/>
    </xf>
    <xf numFmtId="0" fontId="54" fillId="65" borderId="26" xfId="73" applyFont="1" applyFill="1" applyBorder="1" applyAlignment="1" applyProtection="1">
      <alignment horizontal="left"/>
      <protection locked="0"/>
    </xf>
    <xf numFmtId="0" fontId="54" fillId="65" borderId="28" xfId="73" applyFont="1" applyFill="1" applyBorder="1" applyAlignment="1" applyProtection="1">
      <alignment horizontal="left"/>
      <protection locked="0"/>
    </xf>
    <xf numFmtId="0" fontId="54" fillId="65" borderId="57" xfId="73" applyFont="1" applyFill="1" applyBorder="1" applyAlignment="1" applyProtection="1">
      <alignment horizontal="left"/>
      <protection locked="0"/>
    </xf>
    <xf numFmtId="3" fontId="44" fillId="65" borderId="53" xfId="73" applyNumberFormat="1" applyFont="1" applyFill="1" applyBorder="1" applyAlignment="1">
      <alignment horizontal="center"/>
      <protection/>
    </xf>
    <xf numFmtId="3" fontId="44" fillId="65" borderId="153" xfId="73" applyNumberFormat="1" applyFont="1" applyFill="1" applyBorder="1" applyAlignment="1">
      <alignment horizontal="center"/>
      <protection/>
    </xf>
    <xf numFmtId="192" fontId="6" fillId="49" borderId="0" xfId="49" applyNumberFormat="1" applyFont="1" applyFill="1" applyAlignment="1">
      <alignment/>
    </xf>
    <xf numFmtId="0" fontId="6" fillId="49" borderId="18" xfId="49" applyNumberFormat="1" applyFont="1" applyFill="1" applyBorder="1" applyAlignment="1">
      <alignment horizontal="left"/>
    </xf>
    <xf numFmtId="0" fontId="7" fillId="29" borderId="18" xfId="73" applyFill="1" applyBorder="1">
      <alignment/>
      <protection/>
    </xf>
    <xf numFmtId="0" fontId="27" fillId="29" borderId="0" xfId="73" applyFont="1" applyFill="1" applyAlignment="1">
      <alignment horizontal="center"/>
      <protection/>
    </xf>
    <xf numFmtId="0" fontId="7" fillId="29" borderId="0" xfId="73" applyFill="1" applyAlignment="1">
      <alignment horizontal="center"/>
      <protection/>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_PART IV - PROJECT COSTS" xfId="47"/>
    <cellStyle name="Currency_t2" xfId="48"/>
    <cellStyle name="Currency_t2t" xfId="49"/>
    <cellStyle name="Currency0" xfId="50"/>
    <cellStyle name="Currency0_t2" xfId="51"/>
    <cellStyle name="Currency0_t2t" xfId="52"/>
    <cellStyle name="Date" xfId="53"/>
    <cellStyle name="Explanatory Text" xfId="54"/>
    <cellStyle name="Fixed" xfId="55"/>
    <cellStyle name="Followed Hyperlink" xfId="56"/>
    <cellStyle name="Good" xfId="57"/>
    <cellStyle name="Heading 1" xfId="58"/>
    <cellStyle name="Heading 2" xfId="59"/>
    <cellStyle name="Heading 3" xfId="60"/>
    <cellStyle name="Heading 4" xfId="61"/>
    <cellStyle name="HEADING1" xfId="62"/>
    <cellStyle name="HEADING2" xfId="63"/>
    <cellStyle name="Hyperlink" xfId="64"/>
    <cellStyle name="Input" xfId="65"/>
    <cellStyle name="Linked Cell" xfId="66"/>
    <cellStyle name="Neutral" xfId="67"/>
    <cellStyle name="Normal 2" xfId="68"/>
    <cellStyle name="Normal_Book1" xfId="69"/>
    <cellStyle name="Normal_PART II - ELIGIBILITY" xfId="70"/>
    <cellStyle name="Normal_PG 21 RENT CHART" xfId="71"/>
    <cellStyle name="Normal_t2" xfId="72"/>
    <cellStyle name="Normal_t2t" xfId="73"/>
    <cellStyle name="Note" xfId="74"/>
    <cellStyle name="Output" xfId="75"/>
    <cellStyle name="Percent" xfId="76"/>
    <cellStyle name="Percent_t2" xfId="77"/>
    <cellStyle name="Percent_t2t" xfId="78"/>
    <cellStyle name="Title" xfId="79"/>
    <cellStyle name="Total" xfId="80"/>
    <cellStyle name="Warning Text" xfId="81"/>
    <cellStyle name="white" xfId="82"/>
    <cellStyle name="Yellow" xfId="83"/>
    <cellStyle name="Yellow_t2" xfId="84"/>
    <cellStyle name="Yellow_t2t"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0.emf" /><Relationship Id="rId2" Type="http://schemas.openxmlformats.org/officeDocument/2006/relationships/image" Target="../media/image41.emf" /><Relationship Id="rId3" Type="http://schemas.openxmlformats.org/officeDocument/2006/relationships/image" Target="../media/image42.emf" /><Relationship Id="rId4" Type="http://schemas.openxmlformats.org/officeDocument/2006/relationships/image" Target="../media/image43.emf" /><Relationship Id="rId5" Type="http://schemas.openxmlformats.org/officeDocument/2006/relationships/image" Target="../media/image44.emf" /><Relationship Id="rId6" Type="http://schemas.openxmlformats.org/officeDocument/2006/relationships/image" Target="../media/image24.emf" /><Relationship Id="rId7" Type="http://schemas.openxmlformats.org/officeDocument/2006/relationships/image" Target="../media/image26.emf" /><Relationship Id="rId8" Type="http://schemas.openxmlformats.org/officeDocument/2006/relationships/image" Target="../media/image27.emf" /><Relationship Id="rId9" Type="http://schemas.openxmlformats.org/officeDocument/2006/relationships/image" Target="../media/image28.emf" /><Relationship Id="rId10" Type="http://schemas.openxmlformats.org/officeDocument/2006/relationships/image" Target="../media/image29.emf" /><Relationship Id="rId11" Type="http://schemas.openxmlformats.org/officeDocument/2006/relationships/image" Target="../media/image33.emf" /></Relationships>
</file>

<file path=xl/drawings/_rels/drawing4.xml.rels><?xml version="1.0" encoding="utf-8" standalone="yes"?><Relationships xmlns="http://schemas.openxmlformats.org/package/2006/relationships"><Relationship Id="rId1" Type="http://schemas.openxmlformats.org/officeDocument/2006/relationships/image" Target="../media/image34.emf" /><Relationship Id="rId2" Type="http://schemas.openxmlformats.org/officeDocument/2006/relationships/image" Target="../media/image45.emf" /><Relationship Id="rId3" Type="http://schemas.openxmlformats.org/officeDocument/2006/relationships/image" Target="../media/image23.emf" /><Relationship Id="rId4" Type="http://schemas.openxmlformats.org/officeDocument/2006/relationships/image" Target="../media/image46.emf" /><Relationship Id="rId5" Type="http://schemas.openxmlformats.org/officeDocument/2006/relationships/image" Target="../media/image35.emf" /><Relationship Id="rId6" Type="http://schemas.openxmlformats.org/officeDocument/2006/relationships/image" Target="../media/image36.emf" /><Relationship Id="rId7" Type="http://schemas.openxmlformats.org/officeDocument/2006/relationships/image" Target="../media/image37.emf" /><Relationship Id="rId8" Type="http://schemas.openxmlformats.org/officeDocument/2006/relationships/image" Target="../media/image38.emf" /><Relationship Id="rId9" Type="http://schemas.openxmlformats.org/officeDocument/2006/relationships/image" Target="../media/image39.emf" /><Relationship Id="rId10" Type="http://schemas.openxmlformats.org/officeDocument/2006/relationships/image" Target="../media/image31.emf" /><Relationship Id="rId11" Type="http://schemas.openxmlformats.org/officeDocument/2006/relationships/image" Target="../media/image30.emf" /><Relationship Id="rId12" Type="http://schemas.openxmlformats.org/officeDocument/2006/relationships/image" Target="../media/image3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590550</xdr:colOff>
      <xdr:row>0</xdr:row>
      <xdr:rowOff>171450</xdr:rowOff>
    </xdr:from>
    <xdr:to>
      <xdr:col>8</xdr:col>
      <xdr:colOff>609600</xdr:colOff>
      <xdr:row>2</xdr:row>
      <xdr:rowOff>95250</xdr:rowOff>
    </xdr:to>
    <xdr:pic>
      <xdr:nvPicPr>
        <xdr:cNvPr id="1" name="Label1"/>
        <xdr:cNvPicPr preferRelativeResize="1">
          <a:picLocks noChangeAspect="1"/>
        </xdr:cNvPicPr>
      </xdr:nvPicPr>
      <xdr:blipFill>
        <a:blip r:embed="rId1"/>
        <a:stretch>
          <a:fillRect/>
        </a:stretch>
      </xdr:blipFill>
      <xdr:spPr>
        <a:xfrm>
          <a:off x="590550" y="142875"/>
          <a:ext cx="4657725" cy="295275"/>
        </a:xfrm>
        <a:prstGeom prst="rect">
          <a:avLst/>
        </a:prstGeom>
        <a:noFill/>
        <a:ln w="9525" cmpd="sng">
          <a:noFill/>
        </a:ln>
      </xdr:spPr>
    </xdr:pic>
    <xdr:clientData/>
  </xdr:twoCellAnchor>
  <xdr:twoCellAnchor>
    <xdr:from>
      <xdr:col>0</xdr:col>
      <xdr:colOff>590550</xdr:colOff>
      <xdr:row>4</xdr:row>
      <xdr:rowOff>123825</xdr:rowOff>
    </xdr:from>
    <xdr:to>
      <xdr:col>8</xdr:col>
      <xdr:colOff>609600</xdr:colOff>
      <xdr:row>5</xdr:row>
      <xdr:rowOff>190500</xdr:rowOff>
    </xdr:to>
    <xdr:pic>
      <xdr:nvPicPr>
        <xdr:cNvPr id="2" name="Sched_A"/>
        <xdr:cNvPicPr preferRelativeResize="1">
          <a:picLocks noChangeAspect="1"/>
        </xdr:cNvPicPr>
      </xdr:nvPicPr>
      <xdr:blipFill>
        <a:blip r:embed="rId2"/>
        <a:stretch>
          <a:fillRect/>
        </a:stretch>
      </xdr:blipFill>
      <xdr:spPr>
        <a:xfrm>
          <a:off x="590550" y="809625"/>
          <a:ext cx="4657725" cy="219075"/>
        </a:xfrm>
        <a:prstGeom prst="rect">
          <a:avLst/>
        </a:prstGeom>
        <a:noFill/>
        <a:ln w="9525" cmpd="sng">
          <a:noFill/>
        </a:ln>
      </xdr:spPr>
    </xdr:pic>
    <xdr:clientData/>
  </xdr:twoCellAnchor>
  <xdr:twoCellAnchor>
    <xdr:from>
      <xdr:col>0</xdr:col>
      <xdr:colOff>590550</xdr:colOff>
      <xdr:row>6</xdr:row>
      <xdr:rowOff>0</xdr:rowOff>
    </xdr:from>
    <xdr:to>
      <xdr:col>8</xdr:col>
      <xdr:colOff>609600</xdr:colOff>
      <xdr:row>7</xdr:row>
      <xdr:rowOff>76200</xdr:rowOff>
    </xdr:to>
    <xdr:pic>
      <xdr:nvPicPr>
        <xdr:cNvPr id="3" name="Sched_B"/>
        <xdr:cNvPicPr preferRelativeResize="1">
          <a:picLocks noChangeAspect="1"/>
        </xdr:cNvPicPr>
      </xdr:nvPicPr>
      <xdr:blipFill>
        <a:blip r:embed="rId3"/>
        <a:stretch>
          <a:fillRect/>
        </a:stretch>
      </xdr:blipFill>
      <xdr:spPr>
        <a:xfrm>
          <a:off x="590550" y="1028700"/>
          <a:ext cx="4657725" cy="228600"/>
        </a:xfrm>
        <a:prstGeom prst="rect">
          <a:avLst/>
        </a:prstGeom>
        <a:noFill/>
        <a:ln w="9525" cmpd="sng">
          <a:noFill/>
        </a:ln>
      </xdr:spPr>
    </xdr:pic>
    <xdr:clientData/>
  </xdr:twoCellAnchor>
  <xdr:twoCellAnchor>
    <xdr:from>
      <xdr:col>0</xdr:col>
      <xdr:colOff>590550</xdr:colOff>
      <xdr:row>7</xdr:row>
      <xdr:rowOff>161925</xdr:rowOff>
    </xdr:from>
    <xdr:to>
      <xdr:col>8</xdr:col>
      <xdr:colOff>609600</xdr:colOff>
      <xdr:row>8</xdr:row>
      <xdr:rowOff>190500</xdr:rowOff>
    </xdr:to>
    <xdr:pic>
      <xdr:nvPicPr>
        <xdr:cNvPr id="4" name="Sched_C"/>
        <xdr:cNvPicPr preferRelativeResize="1">
          <a:picLocks noChangeAspect="1"/>
        </xdr:cNvPicPr>
      </xdr:nvPicPr>
      <xdr:blipFill>
        <a:blip r:embed="rId4"/>
        <a:stretch>
          <a:fillRect/>
        </a:stretch>
      </xdr:blipFill>
      <xdr:spPr>
        <a:xfrm>
          <a:off x="590550" y="1352550"/>
          <a:ext cx="4657725" cy="161925"/>
        </a:xfrm>
        <a:prstGeom prst="rect">
          <a:avLst/>
        </a:prstGeom>
        <a:noFill/>
        <a:ln w="9525" cmpd="sng">
          <a:noFill/>
        </a:ln>
      </xdr:spPr>
    </xdr:pic>
    <xdr:clientData/>
  </xdr:twoCellAnchor>
  <xdr:twoCellAnchor>
    <xdr:from>
      <xdr:col>0</xdr:col>
      <xdr:colOff>571500</xdr:colOff>
      <xdr:row>9</xdr:row>
      <xdr:rowOff>66675</xdr:rowOff>
    </xdr:from>
    <xdr:to>
      <xdr:col>8</xdr:col>
      <xdr:colOff>609600</xdr:colOff>
      <xdr:row>10</xdr:row>
      <xdr:rowOff>123825</xdr:rowOff>
    </xdr:to>
    <xdr:pic>
      <xdr:nvPicPr>
        <xdr:cNvPr id="5" name="Sched_D"/>
        <xdr:cNvPicPr preferRelativeResize="1">
          <a:picLocks noChangeAspect="1"/>
        </xdr:cNvPicPr>
      </xdr:nvPicPr>
      <xdr:blipFill>
        <a:blip r:embed="rId5"/>
        <a:stretch>
          <a:fillRect/>
        </a:stretch>
      </xdr:blipFill>
      <xdr:spPr>
        <a:xfrm>
          <a:off x="571500" y="1571625"/>
          <a:ext cx="4676775" cy="209550"/>
        </a:xfrm>
        <a:prstGeom prst="rect">
          <a:avLst/>
        </a:prstGeom>
        <a:noFill/>
        <a:ln w="9525" cmpd="sng">
          <a:noFill/>
        </a:ln>
      </xdr:spPr>
    </xdr:pic>
    <xdr:clientData/>
  </xdr:twoCellAnchor>
  <xdr:twoCellAnchor>
    <xdr:from>
      <xdr:col>0</xdr:col>
      <xdr:colOff>571500</xdr:colOff>
      <xdr:row>10</xdr:row>
      <xdr:rowOff>161925</xdr:rowOff>
    </xdr:from>
    <xdr:to>
      <xdr:col>8</xdr:col>
      <xdr:colOff>609600</xdr:colOff>
      <xdr:row>12</xdr:row>
      <xdr:rowOff>0</xdr:rowOff>
    </xdr:to>
    <xdr:pic>
      <xdr:nvPicPr>
        <xdr:cNvPr id="6" name="Sched_E"/>
        <xdr:cNvPicPr preferRelativeResize="1">
          <a:picLocks noChangeAspect="1"/>
        </xdr:cNvPicPr>
      </xdr:nvPicPr>
      <xdr:blipFill>
        <a:blip r:embed="rId6"/>
        <a:stretch>
          <a:fillRect/>
        </a:stretch>
      </xdr:blipFill>
      <xdr:spPr>
        <a:xfrm>
          <a:off x="571500" y="1838325"/>
          <a:ext cx="4676775" cy="190500"/>
        </a:xfrm>
        <a:prstGeom prst="rect">
          <a:avLst/>
        </a:prstGeom>
        <a:noFill/>
        <a:ln w="9525" cmpd="sng">
          <a:noFill/>
        </a:ln>
      </xdr:spPr>
    </xdr:pic>
    <xdr:clientData/>
  </xdr:twoCellAnchor>
  <xdr:twoCellAnchor>
    <xdr:from>
      <xdr:col>0</xdr:col>
      <xdr:colOff>590550</xdr:colOff>
      <xdr:row>3</xdr:row>
      <xdr:rowOff>19050</xdr:rowOff>
    </xdr:from>
    <xdr:to>
      <xdr:col>5</xdr:col>
      <xdr:colOff>609600</xdr:colOff>
      <xdr:row>4</xdr:row>
      <xdr:rowOff>161925</xdr:rowOff>
    </xdr:to>
    <xdr:pic>
      <xdr:nvPicPr>
        <xdr:cNvPr id="7" name="Label8"/>
        <xdr:cNvPicPr preferRelativeResize="1">
          <a:picLocks noChangeAspect="1"/>
        </xdr:cNvPicPr>
      </xdr:nvPicPr>
      <xdr:blipFill>
        <a:blip r:embed="rId7"/>
        <a:stretch>
          <a:fillRect/>
        </a:stretch>
      </xdr:blipFill>
      <xdr:spPr>
        <a:xfrm>
          <a:off x="590550" y="533400"/>
          <a:ext cx="2828925" cy="304800"/>
        </a:xfrm>
        <a:prstGeom prst="rect">
          <a:avLst/>
        </a:prstGeom>
        <a:noFill/>
        <a:ln w="9525" cmpd="sng">
          <a:noFill/>
        </a:ln>
      </xdr:spPr>
    </xdr:pic>
    <xdr:clientData/>
  </xdr:twoCellAnchor>
  <xdr:twoCellAnchor>
    <xdr:from>
      <xdr:col>0</xdr:col>
      <xdr:colOff>609600</xdr:colOff>
      <xdr:row>16</xdr:row>
      <xdr:rowOff>0</xdr:rowOff>
    </xdr:from>
    <xdr:to>
      <xdr:col>5</xdr:col>
      <xdr:colOff>342900</xdr:colOff>
      <xdr:row>17</xdr:row>
      <xdr:rowOff>190500</xdr:rowOff>
    </xdr:to>
    <xdr:pic>
      <xdr:nvPicPr>
        <xdr:cNvPr id="8" name="MortgageCalculation"/>
        <xdr:cNvPicPr preferRelativeResize="1">
          <a:picLocks noChangeAspect="1"/>
        </xdr:cNvPicPr>
      </xdr:nvPicPr>
      <xdr:blipFill>
        <a:blip r:embed="rId8"/>
        <a:stretch>
          <a:fillRect/>
        </a:stretch>
      </xdr:blipFill>
      <xdr:spPr>
        <a:xfrm>
          <a:off x="609600" y="2733675"/>
          <a:ext cx="2543175" cy="323850"/>
        </a:xfrm>
        <a:prstGeom prst="rect">
          <a:avLst/>
        </a:prstGeom>
        <a:noFill/>
        <a:ln w="9525" cmpd="sng">
          <a:noFill/>
        </a:ln>
      </xdr:spPr>
    </xdr:pic>
    <xdr:clientData/>
  </xdr:twoCellAnchor>
  <xdr:twoCellAnchor>
    <xdr:from>
      <xdr:col>0</xdr:col>
      <xdr:colOff>571500</xdr:colOff>
      <xdr:row>12</xdr:row>
      <xdr:rowOff>123825</xdr:rowOff>
    </xdr:from>
    <xdr:to>
      <xdr:col>8</xdr:col>
      <xdr:colOff>609600</xdr:colOff>
      <xdr:row>13</xdr:row>
      <xdr:rowOff>190500</xdr:rowOff>
    </xdr:to>
    <xdr:pic>
      <xdr:nvPicPr>
        <xdr:cNvPr id="9" name="Cash_Flow"/>
        <xdr:cNvPicPr preferRelativeResize="1">
          <a:picLocks noChangeAspect="1"/>
        </xdr:cNvPicPr>
      </xdr:nvPicPr>
      <xdr:blipFill>
        <a:blip r:embed="rId9"/>
        <a:stretch>
          <a:fillRect/>
        </a:stretch>
      </xdr:blipFill>
      <xdr:spPr>
        <a:xfrm>
          <a:off x="571500" y="2124075"/>
          <a:ext cx="4676775" cy="200025"/>
        </a:xfrm>
        <a:prstGeom prst="rect">
          <a:avLst/>
        </a:prstGeom>
        <a:noFill/>
        <a:ln w="9525" cmpd="sng">
          <a:noFill/>
        </a:ln>
      </xdr:spPr>
    </xdr:pic>
    <xdr:clientData/>
  </xdr:twoCellAnchor>
  <xdr:twoCellAnchor>
    <xdr:from>
      <xdr:col>5</xdr:col>
      <xdr:colOff>552450</xdr:colOff>
      <xdr:row>16</xdr:row>
      <xdr:rowOff>142875</xdr:rowOff>
    </xdr:from>
    <xdr:to>
      <xdr:col>8</xdr:col>
      <xdr:colOff>609600</xdr:colOff>
      <xdr:row>20</xdr:row>
      <xdr:rowOff>19050</xdr:rowOff>
    </xdr:to>
    <xdr:pic>
      <xdr:nvPicPr>
        <xdr:cNvPr id="10" name="GoToTaxCredits"/>
        <xdr:cNvPicPr preferRelativeResize="1">
          <a:picLocks noChangeAspect="1"/>
        </xdr:cNvPicPr>
      </xdr:nvPicPr>
      <xdr:blipFill>
        <a:blip r:embed="rId10"/>
        <a:stretch>
          <a:fillRect/>
        </a:stretch>
      </xdr:blipFill>
      <xdr:spPr>
        <a:xfrm>
          <a:off x="3362325" y="2847975"/>
          <a:ext cx="1885950" cy="581025"/>
        </a:xfrm>
        <a:prstGeom prst="rect">
          <a:avLst/>
        </a:prstGeom>
        <a:noFill/>
        <a:ln w="9525" cmpd="sng">
          <a:noFill/>
        </a:ln>
      </xdr:spPr>
    </xdr:pic>
    <xdr:clientData/>
  </xdr:twoCellAnchor>
  <xdr:twoCellAnchor>
    <xdr:from>
      <xdr:col>0</xdr:col>
      <xdr:colOff>609600</xdr:colOff>
      <xdr:row>18</xdr:row>
      <xdr:rowOff>171450</xdr:rowOff>
    </xdr:from>
    <xdr:to>
      <xdr:col>5</xdr:col>
      <xdr:colOff>361950</xdr:colOff>
      <xdr:row>20</xdr:row>
      <xdr:rowOff>19050</xdr:rowOff>
    </xdr:to>
    <xdr:pic>
      <xdr:nvPicPr>
        <xdr:cNvPr id="11" name="Print_Menu"/>
        <xdr:cNvPicPr preferRelativeResize="1">
          <a:picLocks noChangeAspect="1"/>
        </xdr:cNvPicPr>
      </xdr:nvPicPr>
      <xdr:blipFill>
        <a:blip r:embed="rId11"/>
        <a:stretch>
          <a:fillRect/>
        </a:stretch>
      </xdr:blipFill>
      <xdr:spPr>
        <a:xfrm>
          <a:off x="609600" y="3171825"/>
          <a:ext cx="2562225"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847725</xdr:colOff>
      <xdr:row>172</xdr:row>
      <xdr:rowOff>190500</xdr:rowOff>
    </xdr:from>
    <xdr:to>
      <xdr:col>4</xdr:col>
      <xdr:colOff>923925</xdr:colOff>
      <xdr:row>173</xdr:row>
      <xdr:rowOff>190500</xdr:rowOff>
    </xdr:to>
    <xdr:sp>
      <xdr:nvSpPr>
        <xdr:cNvPr id="1" name="AutoShape 70"/>
        <xdr:cNvSpPr>
          <a:spLocks/>
        </xdr:cNvSpPr>
      </xdr:nvSpPr>
      <xdr:spPr>
        <a:xfrm>
          <a:off x="1743075" y="33804225"/>
          <a:ext cx="3381375" cy="1905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1085850</xdr:colOff>
      <xdr:row>173</xdr:row>
      <xdr:rowOff>190500</xdr:rowOff>
    </xdr:from>
    <xdr:to>
      <xdr:col>4</xdr:col>
      <xdr:colOff>923925</xdr:colOff>
      <xdr:row>174</xdr:row>
      <xdr:rowOff>190500</xdr:rowOff>
    </xdr:to>
    <xdr:sp>
      <xdr:nvSpPr>
        <xdr:cNvPr id="2" name="Line 71"/>
        <xdr:cNvSpPr>
          <a:spLocks/>
        </xdr:cNvSpPr>
      </xdr:nvSpPr>
      <xdr:spPr>
        <a:xfrm flipV="1">
          <a:off x="4200525" y="33994725"/>
          <a:ext cx="923925"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923925</xdr:colOff>
      <xdr:row>70</xdr:row>
      <xdr:rowOff>123825</xdr:rowOff>
    </xdr:from>
    <xdr:to>
      <xdr:col>0</xdr:col>
      <xdr:colOff>923925</xdr:colOff>
      <xdr:row>70</xdr:row>
      <xdr:rowOff>123825</xdr:rowOff>
    </xdr:to>
    <xdr:sp>
      <xdr:nvSpPr>
        <xdr:cNvPr id="1" name="Line 12"/>
        <xdr:cNvSpPr>
          <a:spLocks/>
        </xdr:cNvSpPr>
      </xdr:nvSpPr>
      <xdr:spPr>
        <a:xfrm>
          <a:off x="923925" y="11477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923925</xdr:colOff>
      <xdr:row>70</xdr:row>
      <xdr:rowOff>133350</xdr:rowOff>
    </xdr:from>
    <xdr:to>
      <xdr:col>0</xdr:col>
      <xdr:colOff>923925</xdr:colOff>
      <xdr:row>71</xdr:row>
      <xdr:rowOff>123825</xdr:rowOff>
    </xdr:to>
    <xdr:sp>
      <xdr:nvSpPr>
        <xdr:cNvPr id="2" name="Line 13"/>
        <xdr:cNvSpPr>
          <a:spLocks/>
        </xdr:cNvSpPr>
      </xdr:nvSpPr>
      <xdr:spPr>
        <a:xfrm>
          <a:off x="923925" y="114871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190500</xdr:rowOff>
    </xdr:from>
    <xdr:to>
      <xdr:col>7</xdr:col>
      <xdr:colOff>609600</xdr:colOff>
      <xdr:row>2</xdr:row>
      <xdr:rowOff>190500</xdr:rowOff>
    </xdr:to>
    <xdr:pic>
      <xdr:nvPicPr>
        <xdr:cNvPr id="1" name="Label1"/>
        <xdr:cNvPicPr preferRelativeResize="1">
          <a:picLocks noChangeAspect="0"/>
        </xdr:cNvPicPr>
      </xdr:nvPicPr>
      <xdr:blipFill>
        <a:blip r:embed="rId1"/>
        <a:stretch>
          <a:fillRect/>
        </a:stretch>
      </xdr:blipFill>
      <xdr:spPr>
        <a:xfrm>
          <a:off x="609600" y="161925"/>
          <a:ext cx="4029075" cy="352425"/>
        </a:xfrm>
        <a:prstGeom prst="rect">
          <a:avLst/>
        </a:prstGeom>
        <a:noFill/>
        <a:ln w="9525" cmpd="sng">
          <a:noFill/>
        </a:ln>
      </xdr:spPr>
    </xdr:pic>
    <xdr:clientData/>
  </xdr:twoCellAnchor>
  <xdr:twoCellAnchor>
    <xdr:from>
      <xdr:col>0</xdr:col>
      <xdr:colOff>609600</xdr:colOff>
      <xdr:row>7</xdr:row>
      <xdr:rowOff>190500</xdr:rowOff>
    </xdr:from>
    <xdr:to>
      <xdr:col>8</xdr:col>
      <xdr:colOff>0</xdr:colOff>
      <xdr:row>8</xdr:row>
      <xdr:rowOff>190500</xdr:rowOff>
    </xdr:to>
    <xdr:pic>
      <xdr:nvPicPr>
        <xdr:cNvPr id="2" name="Label2"/>
        <xdr:cNvPicPr preferRelativeResize="1">
          <a:picLocks noChangeAspect="0"/>
        </xdr:cNvPicPr>
      </xdr:nvPicPr>
      <xdr:blipFill>
        <a:blip r:embed="rId2"/>
        <a:stretch>
          <a:fillRect/>
        </a:stretch>
      </xdr:blipFill>
      <xdr:spPr>
        <a:xfrm>
          <a:off x="609600" y="1438275"/>
          <a:ext cx="4029075" cy="161925"/>
        </a:xfrm>
        <a:prstGeom prst="rect">
          <a:avLst/>
        </a:prstGeom>
        <a:noFill/>
        <a:ln w="9525" cmpd="sng">
          <a:noFill/>
        </a:ln>
      </xdr:spPr>
    </xdr:pic>
    <xdr:clientData/>
  </xdr:twoCellAnchor>
  <xdr:twoCellAnchor>
    <xdr:from>
      <xdr:col>0</xdr:col>
      <xdr:colOff>609600</xdr:colOff>
      <xdr:row>9</xdr:row>
      <xdr:rowOff>66675</xdr:rowOff>
    </xdr:from>
    <xdr:to>
      <xdr:col>8</xdr:col>
      <xdr:colOff>0</xdr:colOff>
      <xdr:row>10</xdr:row>
      <xdr:rowOff>142875</xdr:rowOff>
    </xdr:to>
    <xdr:pic>
      <xdr:nvPicPr>
        <xdr:cNvPr id="3" name="Label3"/>
        <xdr:cNvPicPr preferRelativeResize="1">
          <a:picLocks noChangeAspect="0"/>
        </xdr:cNvPicPr>
      </xdr:nvPicPr>
      <xdr:blipFill>
        <a:blip r:embed="rId3"/>
        <a:stretch>
          <a:fillRect/>
        </a:stretch>
      </xdr:blipFill>
      <xdr:spPr>
        <a:xfrm>
          <a:off x="609600" y="1657350"/>
          <a:ext cx="4029075" cy="228600"/>
        </a:xfrm>
        <a:prstGeom prst="rect">
          <a:avLst/>
        </a:prstGeom>
        <a:noFill/>
        <a:ln w="9525" cmpd="sng">
          <a:noFill/>
        </a:ln>
      </xdr:spPr>
    </xdr:pic>
    <xdr:clientData/>
  </xdr:twoCellAnchor>
  <xdr:twoCellAnchor>
    <xdr:from>
      <xdr:col>0</xdr:col>
      <xdr:colOff>609600</xdr:colOff>
      <xdr:row>12</xdr:row>
      <xdr:rowOff>142875</xdr:rowOff>
    </xdr:from>
    <xdr:to>
      <xdr:col>7</xdr:col>
      <xdr:colOff>609600</xdr:colOff>
      <xdr:row>13</xdr:row>
      <xdr:rowOff>190500</xdr:rowOff>
    </xdr:to>
    <xdr:pic>
      <xdr:nvPicPr>
        <xdr:cNvPr id="4" name="Label4"/>
        <xdr:cNvPicPr preferRelativeResize="1">
          <a:picLocks noChangeAspect="0"/>
        </xdr:cNvPicPr>
      </xdr:nvPicPr>
      <xdr:blipFill>
        <a:blip r:embed="rId4"/>
        <a:stretch>
          <a:fillRect/>
        </a:stretch>
      </xdr:blipFill>
      <xdr:spPr>
        <a:xfrm>
          <a:off x="609600" y="2238375"/>
          <a:ext cx="4029075" cy="200025"/>
        </a:xfrm>
        <a:prstGeom prst="rect">
          <a:avLst/>
        </a:prstGeom>
        <a:noFill/>
        <a:ln w="9525" cmpd="sng">
          <a:noFill/>
        </a:ln>
      </xdr:spPr>
    </xdr:pic>
    <xdr:clientData/>
  </xdr:twoCellAnchor>
  <xdr:twoCellAnchor>
    <xdr:from>
      <xdr:col>0</xdr:col>
      <xdr:colOff>609600</xdr:colOff>
      <xdr:row>14</xdr:row>
      <xdr:rowOff>28575</xdr:rowOff>
    </xdr:from>
    <xdr:to>
      <xdr:col>7</xdr:col>
      <xdr:colOff>609600</xdr:colOff>
      <xdr:row>15</xdr:row>
      <xdr:rowOff>142875</xdr:rowOff>
    </xdr:to>
    <xdr:pic>
      <xdr:nvPicPr>
        <xdr:cNvPr id="5" name="Label5"/>
        <xdr:cNvPicPr preferRelativeResize="1">
          <a:picLocks noChangeAspect="0"/>
        </xdr:cNvPicPr>
      </xdr:nvPicPr>
      <xdr:blipFill>
        <a:blip r:embed="rId5"/>
        <a:stretch>
          <a:fillRect/>
        </a:stretch>
      </xdr:blipFill>
      <xdr:spPr>
        <a:xfrm>
          <a:off x="609600" y="2457450"/>
          <a:ext cx="4029075" cy="266700"/>
        </a:xfrm>
        <a:prstGeom prst="rect">
          <a:avLst/>
        </a:prstGeom>
        <a:noFill/>
        <a:ln w="9525" cmpd="sng">
          <a:noFill/>
        </a:ln>
      </xdr:spPr>
    </xdr:pic>
    <xdr:clientData/>
  </xdr:twoCellAnchor>
  <xdr:twoCellAnchor>
    <xdr:from>
      <xdr:col>0</xdr:col>
      <xdr:colOff>609600</xdr:colOff>
      <xdr:row>3</xdr:row>
      <xdr:rowOff>0</xdr:rowOff>
    </xdr:from>
    <xdr:to>
      <xdr:col>6</xdr:col>
      <xdr:colOff>95250</xdr:colOff>
      <xdr:row>4</xdr:row>
      <xdr:rowOff>142875</xdr:rowOff>
    </xdr:to>
    <xdr:pic>
      <xdr:nvPicPr>
        <xdr:cNvPr id="6" name="Label8"/>
        <xdr:cNvPicPr preferRelativeResize="1">
          <a:picLocks noChangeAspect="1"/>
        </xdr:cNvPicPr>
      </xdr:nvPicPr>
      <xdr:blipFill>
        <a:blip r:embed="rId6"/>
        <a:stretch>
          <a:fillRect/>
        </a:stretch>
      </xdr:blipFill>
      <xdr:spPr>
        <a:xfrm>
          <a:off x="609600" y="514350"/>
          <a:ext cx="2905125" cy="285750"/>
        </a:xfrm>
        <a:prstGeom prst="rect">
          <a:avLst/>
        </a:prstGeom>
        <a:noFill/>
        <a:ln w="9525" cmpd="sng">
          <a:noFill/>
        </a:ln>
      </xdr:spPr>
    </xdr:pic>
    <xdr:clientData/>
  </xdr:twoCellAnchor>
  <xdr:twoCellAnchor>
    <xdr:from>
      <xdr:col>0</xdr:col>
      <xdr:colOff>609600</xdr:colOff>
      <xdr:row>19</xdr:row>
      <xdr:rowOff>171450</xdr:rowOff>
    </xdr:from>
    <xdr:to>
      <xdr:col>7</xdr:col>
      <xdr:colOff>609600</xdr:colOff>
      <xdr:row>21</xdr:row>
      <xdr:rowOff>66675</xdr:rowOff>
    </xdr:to>
    <xdr:pic>
      <xdr:nvPicPr>
        <xdr:cNvPr id="7" name="CommandButton1"/>
        <xdr:cNvPicPr preferRelativeResize="1">
          <a:picLocks noChangeAspect="1"/>
        </xdr:cNvPicPr>
      </xdr:nvPicPr>
      <xdr:blipFill>
        <a:blip r:embed="rId7"/>
        <a:stretch>
          <a:fillRect/>
        </a:stretch>
      </xdr:blipFill>
      <xdr:spPr>
        <a:xfrm>
          <a:off x="609600" y="3419475"/>
          <a:ext cx="4029075" cy="266700"/>
        </a:xfrm>
        <a:prstGeom prst="rect">
          <a:avLst/>
        </a:prstGeom>
        <a:noFill/>
        <a:ln w="9525" cmpd="sng">
          <a:noFill/>
        </a:ln>
      </xdr:spPr>
    </xdr:pic>
    <xdr:clientData/>
  </xdr:twoCellAnchor>
  <xdr:twoCellAnchor>
    <xdr:from>
      <xdr:col>0</xdr:col>
      <xdr:colOff>609600</xdr:colOff>
      <xdr:row>10</xdr:row>
      <xdr:rowOff>161925</xdr:rowOff>
    </xdr:from>
    <xdr:to>
      <xdr:col>8</xdr:col>
      <xdr:colOff>0</xdr:colOff>
      <xdr:row>12</xdr:row>
      <xdr:rowOff>0</xdr:rowOff>
    </xdr:to>
    <xdr:pic>
      <xdr:nvPicPr>
        <xdr:cNvPr id="8" name="Label6"/>
        <xdr:cNvPicPr preferRelativeResize="1">
          <a:picLocks noChangeAspect="0"/>
        </xdr:cNvPicPr>
      </xdr:nvPicPr>
      <xdr:blipFill>
        <a:blip r:embed="rId8"/>
        <a:stretch>
          <a:fillRect/>
        </a:stretch>
      </xdr:blipFill>
      <xdr:spPr>
        <a:xfrm>
          <a:off x="609600" y="1866900"/>
          <a:ext cx="4029075" cy="190500"/>
        </a:xfrm>
        <a:prstGeom prst="rect">
          <a:avLst/>
        </a:prstGeom>
        <a:noFill/>
        <a:ln w="9525" cmpd="sng">
          <a:noFill/>
        </a:ln>
      </xdr:spPr>
    </xdr:pic>
    <xdr:clientData/>
  </xdr:twoCellAnchor>
  <xdr:twoCellAnchor>
    <xdr:from>
      <xdr:col>0</xdr:col>
      <xdr:colOff>609600</xdr:colOff>
      <xdr:row>15</xdr:row>
      <xdr:rowOff>161925</xdr:rowOff>
    </xdr:from>
    <xdr:to>
      <xdr:col>7</xdr:col>
      <xdr:colOff>609600</xdr:colOff>
      <xdr:row>17</xdr:row>
      <xdr:rowOff>28575</xdr:rowOff>
    </xdr:to>
    <xdr:pic>
      <xdr:nvPicPr>
        <xdr:cNvPr id="9" name="Label7"/>
        <xdr:cNvPicPr preferRelativeResize="1">
          <a:picLocks noChangeAspect="0"/>
        </xdr:cNvPicPr>
      </xdr:nvPicPr>
      <xdr:blipFill>
        <a:blip r:embed="rId9"/>
        <a:stretch>
          <a:fillRect/>
        </a:stretch>
      </xdr:blipFill>
      <xdr:spPr>
        <a:xfrm>
          <a:off x="609600" y="2705100"/>
          <a:ext cx="4029075" cy="209550"/>
        </a:xfrm>
        <a:prstGeom prst="rect">
          <a:avLst/>
        </a:prstGeom>
        <a:noFill/>
        <a:ln w="9525" cmpd="sng">
          <a:noFill/>
        </a:ln>
      </xdr:spPr>
    </xdr:pic>
    <xdr:clientData/>
  </xdr:twoCellAnchor>
  <xdr:twoCellAnchor>
    <xdr:from>
      <xdr:col>0</xdr:col>
      <xdr:colOff>609600</xdr:colOff>
      <xdr:row>17</xdr:row>
      <xdr:rowOff>161925</xdr:rowOff>
    </xdr:from>
    <xdr:to>
      <xdr:col>7</xdr:col>
      <xdr:colOff>609600</xdr:colOff>
      <xdr:row>18</xdr:row>
      <xdr:rowOff>190500</xdr:rowOff>
    </xdr:to>
    <xdr:pic>
      <xdr:nvPicPr>
        <xdr:cNvPr id="10" name="Label9"/>
        <xdr:cNvPicPr preferRelativeResize="1">
          <a:picLocks noChangeAspect="0"/>
        </xdr:cNvPicPr>
      </xdr:nvPicPr>
      <xdr:blipFill>
        <a:blip r:embed="rId10"/>
        <a:stretch>
          <a:fillRect/>
        </a:stretch>
      </xdr:blipFill>
      <xdr:spPr>
        <a:xfrm>
          <a:off x="609600" y="3057525"/>
          <a:ext cx="4029075" cy="161925"/>
        </a:xfrm>
        <a:prstGeom prst="rect">
          <a:avLst/>
        </a:prstGeom>
        <a:noFill/>
        <a:ln w="9525" cmpd="sng">
          <a:noFill/>
        </a:ln>
      </xdr:spPr>
    </xdr:pic>
    <xdr:clientData/>
  </xdr:twoCellAnchor>
  <xdr:twoCellAnchor>
    <xdr:from>
      <xdr:col>0</xdr:col>
      <xdr:colOff>609600</xdr:colOff>
      <xdr:row>4</xdr:row>
      <xdr:rowOff>104775</xdr:rowOff>
    </xdr:from>
    <xdr:to>
      <xdr:col>8</xdr:col>
      <xdr:colOff>0</xdr:colOff>
      <xdr:row>5</xdr:row>
      <xdr:rowOff>190500</xdr:rowOff>
    </xdr:to>
    <xdr:pic>
      <xdr:nvPicPr>
        <xdr:cNvPr id="11" name="Label11"/>
        <xdr:cNvPicPr preferRelativeResize="1">
          <a:picLocks noChangeAspect="0"/>
        </xdr:cNvPicPr>
      </xdr:nvPicPr>
      <xdr:blipFill>
        <a:blip r:embed="rId11"/>
        <a:stretch>
          <a:fillRect/>
        </a:stretch>
      </xdr:blipFill>
      <xdr:spPr>
        <a:xfrm>
          <a:off x="609600" y="781050"/>
          <a:ext cx="4029075" cy="219075"/>
        </a:xfrm>
        <a:prstGeom prst="rect">
          <a:avLst/>
        </a:prstGeom>
        <a:noFill/>
        <a:ln w="9525" cmpd="sng">
          <a:noFill/>
        </a:ln>
      </xdr:spPr>
    </xdr:pic>
    <xdr:clientData/>
  </xdr:twoCellAnchor>
  <xdr:twoCellAnchor>
    <xdr:from>
      <xdr:col>0</xdr:col>
      <xdr:colOff>609600</xdr:colOff>
      <xdr:row>5</xdr:row>
      <xdr:rowOff>161925</xdr:rowOff>
    </xdr:from>
    <xdr:to>
      <xdr:col>8</xdr:col>
      <xdr:colOff>0</xdr:colOff>
      <xdr:row>7</xdr:row>
      <xdr:rowOff>57150</xdr:rowOff>
    </xdr:to>
    <xdr:pic>
      <xdr:nvPicPr>
        <xdr:cNvPr id="12" name="Label12"/>
        <xdr:cNvPicPr preferRelativeResize="1">
          <a:picLocks noChangeAspect="0"/>
        </xdr:cNvPicPr>
      </xdr:nvPicPr>
      <xdr:blipFill>
        <a:blip r:embed="rId12"/>
        <a:stretch>
          <a:fillRect/>
        </a:stretch>
      </xdr:blipFill>
      <xdr:spPr>
        <a:xfrm>
          <a:off x="609600" y="1000125"/>
          <a:ext cx="402907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2kcluster\aeustice$\DOCUME~1\AAUERB~1\LOCALS~1\Temp\macro%20PART%20IV%20-%20PROJECT%20COS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NIAP\UNIAP%202020\12.%20%20PART_IV_PROJECT_COST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NIAP\UNIAP%202020\8.%20%202020_MF_UNIAP_PERM.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AAUERBACH\Local%20Settings\Temp\Form10ccp_LIHT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Signature Page"/>
      <sheetName val="EligBasisLimits"/>
      <sheetName val="Breakdown"/>
      <sheetName val="Carryover"/>
      <sheetName val="Ties"/>
      <sheetName val="Percentage_Limits"/>
      <sheetName val="OPER INCOME"/>
      <sheetName val="NOI"/>
    </sheetNames>
    <sheetDataSet>
      <sheetData sheetId="3">
        <row r="81">
          <cell r="B81" t="str">
            <v>FUNDING SOURCE</v>
          </cell>
          <cell r="D81" t="str">
            <v>INTEREST</v>
          </cell>
          <cell r="F81" t="str">
            <v>    AMORTIZATION</v>
          </cell>
          <cell r="H81" t="str">
            <v>AMOUNT</v>
          </cell>
        </row>
        <row r="82">
          <cell r="D82" t="str">
            <v>RATE</v>
          </cell>
        </row>
        <row r="83">
          <cell r="B83" t="str">
            <v>&lt;&lt; First Mortgage &gt;&gt;</v>
          </cell>
        </row>
      </sheetData>
      <sheetData sheetId="5">
        <row r="43">
          <cell r="C43">
            <v>0</v>
          </cell>
        </row>
        <row r="44">
          <cell r="C44">
            <v>0</v>
          </cell>
        </row>
        <row r="45">
          <cell r="C45">
            <v>0</v>
          </cell>
        </row>
        <row r="46">
          <cell r="C46">
            <v>0</v>
          </cell>
        </row>
        <row r="47">
          <cell r="C47">
            <v>0</v>
          </cell>
        </row>
        <row r="48">
          <cell r="C48">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CROS"/>
      <sheetName val="CONTENTS TC"/>
      <sheetName val="Signature Page"/>
      <sheetName val="Rent Qual. Chart"/>
      <sheetName val="EligBasisLimits"/>
      <sheetName val="Breakdown"/>
      <sheetName val="Carryover"/>
      <sheetName val="Ties"/>
      <sheetName val="Percentage_Limits"/>
      <sheetName val="OPER INCOME"/>
      <sheetName val="NOI"/>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CROS"/>
      <sheetName val="CONTENTS"/>
      <sheetName val="FORM-10 (A-F)"/>
      <sheetName val="RFA Sheet"/>
      <sheetName val="Project Presentation "/>
      <sheetName val="SandU"/>
      <sheetName val="Cash Flow"/>
      <sheetName val="Closing Statement"/>
      <sheetName val="CONTENTS TC"/>
      <sheetName val="Signature Page"/>
      <sheetName val="Rent Qual. Chart"/>
      <sheetName val="EligBasisLimits"/>
      <sheetName val="Breakdown"/>
      <sheetName val="Carryover"/>
      <sheetName val="Ties"/>
      <sheetName val="Percentage_Limits"/>
      <sheetName val="OPER INCOME"/>
      <sheetName val="NOI"/>
    </sheetNames>
    <sheetDataSet>
      <sheetData sheetId="2">
        <row r="136">
          <cell r="J136">
            <v>0</v>
          </cell>
        </row>
        <row r="173">
          <cell r="J173">
            <v>0</v>
          </cell>
        </row>
        <row r="491">
          <cell r="M491">
            <v>0</v>
          </cell>
        </row>
        <row r="498">
          <cell r="M498">
            <v>1.149999976158142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ACROS"/>
      <sheetName val="FORM-10 (A-F)"/>
      <sheetName val="RFA Sheet"/>
      <sheetName val="S &amp; U"/>
      <sheetName val="Cash Flow"/>
      <sheetName val="CONTENTS TC"/>
      <sheetName val="Signature Page"/>
      <sheetName val="Rent Qual. Chart"/>
      <sheetName val="EligBasisLimits"/>
      <sheetName val="Breakdown"/>
      <sheetName val="Carryover"/>
      <sheetName val="Ties"/>
      <sheetName val="Percentage_Limits"/>
      <sheetName val="OPER INCOME"/>
      <sheetName val="NO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51"/>
  <dimension ref="B3:L25"/>
  <sheetViews>
    <sheetView zoomScalePageLayoutView="0" workbookViewId="0" topLeftCell="A1">
      <selection activeCell="C5" sqref="C5:D5"/>
    </sheetView>
  </sheetViews>
  <sheetFormatPr defaultColWidth="9.77734375" defaultRowHeight="15"/>
  <cols>
    <col min="1" max="14" width="9.6640625" style="1" customWidth="1"/>
  </cols>
  <sheetData>
    <row r="3" spans="2:4" ht="15">
      <c r="B3" s="1" t="s">
        <v>606</v>
      </c>
      <c r="C3" s="1" t="s">
        <v>607</v>
      </c>
      <c r="D3" s="1" t="s">
        <v>608</v>
      </c>
    </row>
    <row r="4" spans="2:4" ht="15">
      <c r="B4" s="1">
        <f>7/2/93</f>
        <v>0.03763440860215054</v>
      </c>
      <c r="C4" s="1" t="s">
        <v>609</v>
      </c>
      <c r="D4" s="1" t="s">
        <v>610</v>
      </c>
    </row>
    <row r="5" ht="15">
      <c r="D5" s="1" t="s">
        <v>611</v>
      </c>
    </row>
    <row r="6" ht="15">
      <c r="D6" s="1" t="s">
        <v>612</v>
      </c>
    </row>
    <row r="8" spans="2:4" ht="15">
      <c r="B8" s="1" t="s">
        <v>613</v>
      </c>
      <c r="C8" s="1" t="s">
        <v>614</v>
      </c>
      <c r="D8" s="1" t="s">
        <v>628</v>
      </c>
    </row>
    <row r="9" ht="15">
      <c r="D9" s="1" t="s">
        <v>629</v>
      </c>
    </row>
    <row r="10" ht="15">
      <c r="D10" s="1" t="s">
        <v>630</v>
      </c>
    </row>
    <row r="12" spans="2:4" ht="15">
      <c r="B12" s="1">
        <f>7/15/93</f>
        <v>0.005017921146953405</v>
      </c>
      <c r="C12" s="1" t="s">
        <v>614</v>
      </c>
      <c r="D12" s="1" t="s">
        <v>631</v>
      </c>
    </row>
    <row r="14" spans="2:4" ht="15">
      <c r="B14" s="1">
        <f>8/10/93</f>
        <v>0.008602150537634409</v>
      </c>
      <c r="C14" s="1" t="s">
        <v>614</v>
      </c>
      <c r="D14" s="1" t="s">
        <v>632</v>
      </c>
    </row>
    <row r="15" spans="2:12" ht="15">
      <c r="B15" s="2"/>
      <c r="C15" s="2"/>
      <c r="D15" s="2" t="s">
        <v>633</v>
      </c>
      <c r="E15" s="2"/>
      <c r="F15" s="2"/>
      <c r="G15" s="2"/>
      <c r="H15" s="2"/>
      <c r="I15" s="2"/>
      <c r="J15" s="2"/>
      <c r="K15" s="2"/>
      <c r="L15" s="2"/>
    </row>
    <row r="16" spans="4:12" ht="15">
      <c r="D16" s="2" t="s">
        <v>634</v>
      </c>
      <c r="E16" s="2"/>
      <c r="F16" s="2"/>
      <c r="G16" s="2"/>
      <c r="H16" s="2"/>
      <c r="I16" s="2"/>
      <c r="J16" s="2"/>
      <c r="K16" s="2"/>
      <c r="L16" s="2"/>
    </row>
    <row r="17" spans="2:12" ht="15">
      <c r="B17" s="2"/>
      <c r="C17" s="2"/>
      <c r="D17" s="2"/>
      <c r="E17" s="2"/>
      <c r="F17" s="2"/>
      <c r="G17" s="2"/>
      <c r="H17" s="2"/>
      <c r="I17" s="2"/>
      <c r="J17" s="2"/>
      <c r="K17" s="2"/>
      <c r="L17" s="2"/>
    </row>
    <row r="18" spans="2:12" ht="15">
      <c r="B18" s="2">
        <f>9/20/93</f>
        <v>0.004838709677419355</v>
      </c>
      <c r="C18" s="2" t="s">
        <v>614</v>
      </c>
      <c r="D18" s="2" t="s">
        <v>635</v>
      </c>
      <c r="E18" s="2"/>
      <c r="F18" s="2"/>
      <c r="G18" s="2"/>
      <c r="H18" s="2"/>
      <c r="I18" s="2"/>
      <c r="J18" s="2"/>
      <c r="K18" s="2"/>
      <c r="L18" s="2"/>
    </row>
    <row r="19" spans="2:12" ht="15">
      <c r="B19" s="2"/>
      <c r="C19" s="2"/>
      <c r="D19" s="2" t="s">
        <v>636</v>
      </c>
      <c r="E19" s="2"/>
      <c r="F19" s="2"/>
      <c r="G19" s="2"/>
      <c r="H19" s="2"/>
      <c r="I19" s="2"/>
      <c r="J19" s="2"/>
      <c r="K19" s="2"/>
      <c r="L19" s="2"/>
    </row>
    <row r="20" spans="2:12" ht="15">
      <c r="B20" s="2"/>
      <c r="C20" s="2"/>
      <c r="D20" s="2" t="s">
        <v>638</v>
      </c>
      <c r="E20" s="2"/>
      <c r="F20" s="2"/>
      <c r="G20" s="2"/>
      <c r="H20" s="2"/>
      <c r="I20" s="2"/>
      <c r="J20" s="2"/>
      <c r="K20" s="2"/>
      <c r="L20" s="2"/>
    </row>
    <row r="21" spans="2:12" ht="15">
      <c r="B21" s="2"/>
      <c r="C21" s="2"/>
      <c r="D21" s="2" t="s">
        <v>642</v>
      </c>
      <c r="E21" s="2"/>
      <c r="F21" s="2"/>
      <c r="G21" s="2"/>
      <c r="H21" s="2"/>
      <c r="I21" s="2"/>
      <c r="J21" s="2"/>
      <c r="K21" s="2"/>
      <c r="L21" s="2"/>
    </row>
    <row r="22" spans="2:12" ht="15">
      <c r="B22" s="2"/>
      <c r="C22" s="2"/>
      <c r="D22" s="2" t="s">
        <v>643</v>
      </c>
      <c r="E22" s="2"/>
      <c r="F22" s="2"/>
      <c r="G22" s="2"/>
      <c r="H22" s="2"/>
      <c r="I22" s="2"/>
      <c r="J22" s="2"/>
      <c r="K22" s="2"/>
      <c r="L22" s="2"/>
    </row>
    <row r="23" spans="2:12" ht="15">
      <c r="B23" s="2"/>
      <c r="C23" s="2"/>
      <c r="D23" s="2"/>
      <c r="E23" s="2"/>
      <c r="F23" s="2"/>
      <c r="G23" s="2"/>
      <c r="H23" s="2"/>
      <c r="I23" s="2"/>
      <c r="J23" s="2"/>
      <c r="K23" s="2"/>
      <c r="L23" s="2"/>
    </row>
    <row r="24" spans="2:4" ht="15">
      <c r="B24" s="1" t="s">
        <v>644</v>
      </c>
      <c r="C24" s="1" t="s">
        <v>614</v>
      </c>
      <c r="D24" s="1" t="s">
        <v>645</v>
      </c>
    </row>
    <row r="25" ht="15">
      <c r="D25" s="1" t="s">
        <v>646</v>
      </c>
    </row>
  </sheetData>
  <sheetProtection/>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Sheet6"/>
  <dimension ref="A1:L53"/>
  <sheetViews>
    <sheetView showGridLines="0" zoomScaleSheetLayoutView="100" workbookViewId="0" topLeftCell="A1">
      <selection activeCell="O59" sqref="O59"/>
    </sheetView>
  </sheetViews>
  <sheetFormatPr defaultColWidth="6.21484375" defaultRowHeight="15"/>
  <cols>
    <col min="1" max="1" width="2.4453125" style="465" customWidth="1"/>
    <col min="2" max="2" width="9.5546875" style="465" bestFit="1" customWidth="1"/>
    <col min="3" max="3" width="6.21484375" style="465" customWidth="1"/>
    <col min="4" max="4" width="1.88671875" style="465" customWidth="1"/>
    <col min="5" max="5" width="9.5546875" style="465" bestFit="1" customWidth="1"/>
    <col min="6" max="16384" width="6.21484375" style="465" customWidth="1"/>
  </cols>
  <sheetData>
    <row r="1" spans="1:12" ht="9.75">
      <c r="A1" s="1588" t="s">
        <v>1163</v>
      </c>
      <c r="B1" s="1589"/>
      <c r="C1" s="1589"/>
      <c r="D1" s="1589"/>
      <c r="E1" s="1589"/>
      <c r="F1" s="1589"/>
      <c r="G1" s="1589"/>
      <c r="H1" s="1589"/>
      <c r="I1" s="1589"/>
      <c r="J1" s="1589"/>
      <c r="K1" s="1589"/>
      <c r="L1" s="1590"/>
    </row>
    <row r="2" spans="1:12" ht="10.5" thickBot="1">
      <c r="A2" s="1591"/>
      <c r="B2" s="1592"/>
      <c r="C2" s="1592"/>
      <c r="D2" s="1592"/>
      <c r="E2" s="1592"/>
      <c r="F2" s="1592"/>
      <c r="G2" s="1592"/>
      <c r="H2" s="1592"/>
      <c r="I2" s="1592"/>
      <c r="J2" s="1592"/>
      <c r="K2" s="1592"/>
      <c r="L2" s="1593"/>
    </row>
    <row r="3" spans="1:12" ht="9.75">
      <c r="A3" s="467"/>
      <c r="B3" s="467"/>
      <c r="C3" s="467"/>
      <c r="D3" s="467"/>
      <c r="E3" s="467"/>
      <c r="F3" s="467"/>
      <c r="G3" s="467"/>
      <c r="H3" s="467"/>
      <c r="I3" s="467"/>
      <c r="J3" s="467"/>
      <c r="K3" s="467"/>
      <c r="L3" s="467"/>
    </row>
    <row r="4" spans="1:12" ht="9.75">
      <c r="A4" s="467"/>
      <c r="B4" s="467"/>
      <c r="C4" s="467"/>
      <c r="D4" s="467"/>
      <c r="E4" s="467"/>
      <c r="F4" s="467"/>
      <c r="G4" s="467"/>
      <c r="H4" s="467"/>
      <c r="I4" s="467"/>
      <c r="J4" s="467"/>
      <c r="K4" s="467"/>
      <c r="L4" s="467"/>
    </row>
    <row r="5" spans="1:12" ht="9.75">
      <c r="A5" s="467"/>
      <c r="B5" s="467"/>
      <c r="C5" s="467"/>
      <c r="D5" s="467"/>
      <c r="E5" s="467"/>
      <c r="F5" s="467"/>
      <c r="G5" s="467"/>
      <c r="H5" s="467"/>
      <c r="I5" s="467"/>
      <c r="J5" s="467"/>
      <c r="K5" s="467"/>
      <c r="L5" s="467"/>
    </row>
    <row r="8" ht="9.75">
      <c r="A8" s="465" t="s">
        <v>1164</v>
      </c>
    </row>
    <row r="10" spans="1:3" ht="9.75">
      <c r="A10" s="465" t="s">
        <v>1165</v>
      </c>
      <c r="C10" s="465" t="s">
        <v>1166</v>
      </c>
    </row>
    <row r="12" ht="9.75">
      <c r="B12" s="466" t="s">
        <v>1167</v>
      </c>
    </row>
    <row r="14" spans="1:3" ht="9.75">
      <c r="A14" s="465" t="s">
        <v>1168</v>
      </c>
      <c r="C14" s="465" t="s">
        <v>1166</v>
      </c>
    </row>
    <row r="15" ht="9.75">
      <c r="A15" s="465" t="s">
        <v>1169</v>
      </c>
    </row>
    <row r="17" ht="10.5" thickBot="1"/>
    <row r="18" spans="1:12" ht="9.75">
      <c r="A18" s="1594" t="s">
        <v>1377</v>
      </c>
      <c r="B18" s="1589"/>
      <c r="C18" s="1589"/>
      <c r="D18" s="1589"/>
      <c r="E18" s="1589"/>
      <c r="F18" s="1589"/>
      <c r="G18" s="1589"/>
      <c r="H18" s="1589"/>
      <c r="I18" s="1589"/>
      <c r="J18" s="1589"/>
      <c r="K18" s="1589"/>
      <c r="L18" s="1590"/>
    </row>
    <row r="19" spans="1:12" ht="10.5" thickBot="1">
      <c r="A19" s="1591" t="s">
        <v>1378</v>
      </c>
      <c r="B19" s="1592"/>
      <c r="C19" s="1592"/>
      <c r="D19" s="1592"/>
      <c r="E19" s="1592"/>
      <c r="F19" s="1592"/>
      <c r="G19" s="1592"/>
      <c r="H19" s="1592"/>
      <c r="I19" s="1592"/>
      <c r="J19" s="1592"/>
      <c r="K19" s="1592"/>
      <c r="L19" s="1593"/>
    </row>
    <row r="22" ht="9.75">
      <c r="A22" s="465" t="s">
        <v>1379</v>
      </c>
    </row>
    <row r="24" ht="10.5" thickBot="1"/>
    <row r="25" spans="1:2" ht="10.5" thickBot="1">
      <c r="A25" s="839"/>
      <c r="B25" s="465" t="s">
        <v>1380</v>
      </c>
    </row>
    <row r="28" spans="1:4" ht="9.75">
      <c r="A28" s="465" t="s">
        <v>1165</v>
      </c>
      <c r="D28" s="465" t="s">
        <v>1166</v>
      </c>
    </row>
    <row r="30" spans="1:4" ht="9.75">
      <c r="A30" s="465" t="s">
        <v>1168</v>
      </c>
      <c r="D30" s="465" t="s">
        <v>1166</v>
      </c>
    </row>
    <row r="32" ht="10.5" thickBot="1"/>
    <row r="33" spans="1:5" ht="10.5" thickBot="1">
      <c r="A33" s="839"/>
      <c r="B33" s="465" t="s">
        <v>1381</v>
      </c>
      <c r="C33" s="467" t="s">
        <v>1167</v>
      </c>
      <c r="D33" s="839"/>
      <c r="E33" s="468">
        <v>8609</v>
      </c>
    </row>
    <row r="36" spans="1:4" ht="9.75">
      <c r="A36" s="465" t="s">
        <v>1165</v>
      </c>
      <c r="D36" s="465" t="s">
        <v>1166</v>
      </c>
    </row>
    <row r="38" spans="1:4" ht="9.75">
      <c r="A38" s="465" t="s">
        <v>1168</v>
      </c>
      <c r="D38" s="465" t="s">
        <v>1166</v>
      </c>
    </row>
    <row r="39" ht="9.75">
      <c r="A39" s="465" t="s">
        <v>1319</v>
      </c>
    </row>
    <row r="40" spans="1:4" ht="9.75">
      <c r="A40" s="465" t="s">
        <v>1382</v>
      </c>
      <c r="D40" s="465" t="s">
        <v>1166</v>
      </c>
    </row>
    <row r="41" spans="1:7" ht="15">
      <c r="A41"/>
      <c r="B41"/>
      <c r="C41"/>
      <c r="D41"/>
      <c r="E41"/>
      <c r="F41"/>
      <c r="G41"/>
    </row>
    <row r="42" spans="1:7" ht="15">
      <c r="A42"/>
      <c r="B42"/>
      <c r="C42"/>
      <c r="D42"/>
      <c r="E42"/>
      <c r="F42"/>
      <c r="G42"/>
    </row>
    <row r="45" ht="10.5" thickBot="1">
      <c r="A45" s="465" t="s">
        <v>1170</v>
      </c>
    </row>
    <row r="46" spans="2:6" ht="9.75">
      <c r="B46" s="469" t="s">
        <v>1161</v>
      </c>
      <c r="C46" s="470"/>
      <c r="D46" s="470"/>
      <c r="E46" s="471">
        <f ca="1">+NOW()</f>
        <v>45378.384223263885</v>
      </c>
      <c r="F46" s="472"/>
    </row>
    <row r="47" spans="2:6" ht="9.75">
      <c r="B47" s="473"/>
      <c r="F47" s="474"/>
    </row>
    <row r="48" spans="2:6" ht="9.75">
      <c r="B48" s="473" t="s">
        <v>1171</v>
      </c>
      <c r="E48" s="1011">
        <f>+'OPER INCOME'!J58</f>
        <v>0</v>
      </c>
      <c r="F48" s="474"/>
    </row>
    <row r="49" spans="2:6" ht="9.75">
      <c r="B49" s="473" t="s">
        <v>1172</v>
      </c>
      <c r="E49" s="1011">
        <f>+NOI!J36</f>
        <v>0</v>
      </c>
      <c r="F49" s="474"/>
    </row>
    <row r="50" spans="2:6" ht="9.75">
      <c r="B50" s="473"/>
      <c r="F50" s="474"/>
    </row>
    <row r="51" spans="2:6" ht="9.75">
      <c r="B51" s="473" t="s">
        <v>988</v>
      </c>
      <c r="E51" s="1011">
        <f>+Breakdown!L89</f>
        <v>0</v>
      </c>
      <c r="F51" s="474"/>
    </row>
    <row r="52" spans="2:6" ht="9.75">
      <c r="B52" s="1595" t="s">
        <v>1173</v>
      </c>
      <c r="C52" s="1596"/>
      <c r="D52" s="1596"/>
      <c r="E52" s="1011">
        <f>+Breakdown!H101</f>
      </c>
      <c r="F52" s="474"/>
    </row>
    <row r="53" spans="2:6" ht="10.5" thickBot="1">
      <c r="B53" s="475"/>
      <c r="C53" s="476"/>
      <c r="D53" s="476"/>
      <c r="E53" s="476"/>
      <c r="F53" s="477"/>
    </row>
  </sheetData>
  <sheetProtection password="EE60" sheet="1"/>
  <mergeCells count="4">
    <mergeCell ref="A1:L2"/>
    <mergeCell ref="A18:L18"/>
    <mergeCell ref="A19:L19"/>
    <mergeCell ref="B52:D52"/>
  </mergeCells>
  <printOptions/>
  <pageMargins left="0.75" right="0.75" top="1" bottom="1" header="0.5" footer="0.5"/>
  <pageSetup horizontalDpi="600" verticalDpi="600" orientation="portrait" scale="94" r:id="rId1"/>
</worksheet>
</file>

<file path=xl/worksheets/sheet11.xml><?xml version="1.0" encoding="utf-8"?>
<worksheet xmlns="http://schemas.openxmlformats.org/spreadsheetml/2006/main" xmlns:r="http://schemas.openxmlformats.org/officeDocument/2006/relationships">
  <sheetPr codeName="Sheet17">
    <pageSetUpPr fitToPage="1"/>
  </sheetPr>
  <dimension ref="B1:IV78"/>
  <sheetViews>
    <sheetView showGridLines="0" zoomScale="80" zoomScaleNormal="80" zoomScaleSheetLayoutView="80" workbookViewId="0" topLeftCell="A4">
      <selection activeCell="D34" sqref="D34"/>
    </sheetView>
  </sheetViews>
  <sheetFormatPr defaultColWidth="8.5546875" defaultRowHeight="15"/>
  <cols>
    <col min="1" max="1" width="3.3359375" style="1014" customWidth="1"/>
    <col min="2" max="2" width="10.6640625" style="1014" customWidth="1"/>
    <col min="3" max="3" width="14.99609375" style="1014" customWidth="1"/>
    <col min="4" max="4" width="13.3359375" style="1014" customWidth="1"/>
    <col min="5" max="5" width="12.5546875" style="1014" customWidth="1"/>
    <col min="6" max="6" width="12.3359375" style="1014" customWidth="1"/>
    <col min="7" max="7" width="17.21484375" style="1014" customWidth="1"/>
    <col min="8" max="8" width="13.6640625" style="1014" customWidth="1"/>
    <col min="9" max="9" width="16.4453125" style="1014" customWidth="1"/>
    <col min="10" max="10" width="21.3359375" style="1014" customWidth="1"/>
    <col min="11" max="11" width="17.10546875" style="1014" customWidth="1"/>
    <col min="12" max="12" width="19.21484375" style="1014" customWidth="1"/>
    <col min="13" max="13" width="2.4453125" style="1013" customWidth="1"/>
    <col min="14" max="14" width="12.3359375" style="1014" customWidth="1"/>
    <col min="15" max="15" width="8.5546875" style="1014" customWidth="1"/>
    <col min="16" max="16" width="8.99609375" style="1014" bestFit="1" customWidth="1"/>
    <col min="17" max="16384" width="8.5546875" style="1014" customWidth="1"/>
  </cols>
  <sheetData>
    <row r="1" spans="2:12" ht="22.5">
      <c r="B1" s="1597" t="s">
        <v>5</v>
      </c>
      <c r="C1" s="1597"/>
      <c r="D1" s="1597"/>
      <c r="E1" s="1597"/>
      <c r="F1" s="1597"/>
      <c r="G1" s="1597"/>
      <c r="H1" s="1597"/>
      <c r="I1" s="1597"/>
      <c r="J1" s="1597"/>
      <c r="K1" s="1597"/>
      <c r="L1" s="1597"/>
    </row>
    <row r="2" spans="2:12" ht="15" customHeight="1">
      <c r="B2" s="1012"/>
      <c r="C2" s="1012"/>
      <c r="D2" s="1012"/>
      <c r="E2" s="1012"/>
      <c r="F2" s="1012"/>
      <c r="G2" s="1012"/>
      <c r="H2" s="1012"/>
      <c r="I2" s="1012"/>
      <c r="J2" s="1012"/>
      <c r="K2" s="1012"/>
      <c r="L2" s="1012"/>
    </row>
    <row r="3" spans="2:7" ht="15">
      <c r="B3" s="1015" t="s">
        <v>1211</v>
      </c>
      <c r="F3" s="1015"/>
      <c r="G3" s="1015"/>
    </row>
    <row r="4" spans="2:7" ht="15">
      <c r="B4" s="1015"/>
      <c r="F4" s="1015"/>
      <c r="G4" s="1015"/>
    </row>
    <row r="5" spans="2:7" ht="6.75" customHeight="1" thickBot="1">
      <c r="B5" s="1015"/>
      <c r="F5" s="1015"/>
      <c r="G5" s="1015"/>
    </row>
    <row r="6" spans="2:13" ht="11.25" customHeight="1" thickTop="1">
      <c r="B6" s="1016" t="s">
        <v>1324</v>
      </c>
      <c r="C6" s="1017" t="s">
        <v>1325</v>
      </c>
      <c r="D6" s="1017" t="s">
        <v>1326</v>
      </c>
      <c r="E6" s="1017" t="s">
        <v>1327</v>
      </c>
      <c r="F6" s="1017" t="s">
        <v>1328</v>
      </c>
      <c r="G6" s="1017" t="s">
        <v>1329</v>
      </c>
      <c r="H6" s="1017" t="s">
        <v>1330</v>
      </c>
      <c r="I6" s="1017" t="s">
        <v>1331</v>
      </c>
      <c r="J6" s="1017" t="s">
        <v>1332</v>
      </c>
      <c r="K6" s="1017" t="s">
        <v>1333</v>
      </c>
      <c r="L6" s="1017" t="s">
        <v>1334</v>
      </c>
      <c r="M6" s="1018"/>
    </row>
    <row r="7" spans="2:13" ht="15">
      <c r="B7" s="1019"/>
      <c r="C7" s="1020"/>
      <c r="D7" s="1020"/>
      <c r="E7" s="1020"/>
      <c r="F7" s="1020"/>
      <c r="G7" s="1020"/>
      <c r="H7" s="1020" t="s">
        <v>1335</v>
      </c>
      <c r="I7" s="1020" t="s">
        <v>1336</v>
      </c>
      <c r="J7" s="1020"/>
      <c r="K7" s="1020" t="s">
        <v>1337</v>
      </c>
      <c r="L7" s="1020" t="s">
        <v>1338</v>
      </c>
      <c r="M7" s="1018"/>
    </row>
    <row r="8" spans="2:256" ht="15">
      <c r="B8" s="1021"/>
      <c r="C8" s="1022" t="s">
        <v>1210</v>
      </c>
      <c r="D8" s="1022" t="s">
        <v>1339</v>
      </c>
      <c r="E8" s="1022"/>
      <c r="F8" s="1022"/>
      <c r="G8" s="1022" t="s">
        <v>518</v>
      </c>
      <c r="H8" s="1022"/>
      <c r="I8" s="1022"/>
      <c r="J8" s="1022" t="s">
        <v>1340</v>
      </c>
      <c r="K8" s="1022" t="s">
        <v>1341</v>
      </c>
      <c r="L8" s="1023" t="s">
        <v>1342</v>
      </c>
      <c r="M8" s="1024"/>
      <c r="N8" s="1025"/>
      <c r="O8" s="1025"/>
      <c r="P8" s="1025"/>
      <c r="Q8" s="1025"/>
      <c r="R8" s="1025"/>
      <c r="S8" s="1025"/>
      <c r="T8" s="1025"/>
      <c r="U8" s="1025"/>
      <c r="V8" s="1025"/>
      <c r="W8" s="1025"/>
      <c r="X8" s="1025"/>
      <c r="Y8" s="1025"/>
      <c r="Z8" s="1025"/>
      <c r="AA8" s="1025"/>
      <c r="AB8" s="1025"/>
      <c r="AC8" s="1025"/>
      <c r="AD8" s="1025"/>
      <c r="AE8" s="1025"/>
      <c r="AF8" s="1025"/>
      <c r="AG8" s="1025"/>
      <c r="AH8" s="1025"/>
      <c r="AI8" s="1025"/>
      <c r="AJ8" s="1025"/>
      <c r="AK8" s="1025"/>
      <c r="AL8" s="1025"/>
      <c r="AM8" s="1025"/>
      <c r="AN8" s="1025"/>
      <c r="AO8" s="1025"/>
      <c r="AP8" s="1025"/>
      <c r="AQ8" s="1025"/>
      <c r="AR8" s="1025"/>
      <c r="AS8" s="1025"/>
      <c r="AT8" s="1025"/>
      <c r="AU8" s="1025"/>
      <c r="AV8" s="1025"/>
      <c r="AW8" s="1025"/>
      <c r="AX8" s="1025"/>
      <c r="AY8" s="1025"/>
      <c r="AZ8" s="1025"/>
      <c r="BA8" s="1025"/>
      <c r="BB8" s="1025"/>
      <c r="BC8" s="1025"/>
      <c r="BD8" s="1025"/>
      <c r="BE8" s="1025"/>
      <c r="BF8" s="1025"/>
      <c r="BG8" s="1025"/>
      <c r="BH8" s="1025"/>
      <c r="BI8" s="1025"/>
      <c r="BJ8" s="1025"/>
      <c r="BK8" s="1025"/>
      <c r="BL8" s="1025"/>
      <c r="BM8" s="1025"/>
      <c r="BN8" s="1025"/>
      <c r="BO8" s="1025"/>
      <c r="BP8" s="1025"/>
      <c r="BQ8" s="1025"/>
      <c r="BR8" s="1025"/>
      <c r="BS8" s="1025"/>
      <c r="BT8" s="1025"/>
      <c r="BU8" s="1025"/>
      <c r="BV8" s="1025"/>
      <c r="BW8" s="1025"/>
      <c r="BX8" s="1025"/>
      <c r="BY8" s="1025"/>
      <c r="BZ8" s="1025"/>
      <c r="CA8" s="1025"/>
      <c r="CB8" s="1025"/>
      <c r="CC8" s="1025"/>
      <c r="CD8" s="1025"/>
      <c r="CE8" s="1025"/>
      <c r="CF8" s="1025"/>
      <c r="CG8" s="1025"/>
      <c r="CH8" s="1025"/>
      <c r="CI8" s="1025"/>
      <c r="CJ8" s="1025"/>
      <c r="CK8" s="1025"/>
      <c r="CL8" s="1025"/>
      <c r="CM8" s="1025"/>
      <c r="CN8" s="1025"/>
      <c r="CO8" s="1025"/>
      <c r="CP8" s="1025"/>
      <c r="CQ8" s="1025"/>
      <c r="CR8" s="1025"/>
      <c r="CS8" s="1025"/>
      <c r="CT8" s="1025"/>
      <c r="CU8" s="1025"/>
      <c r="CV8" s="1025"/>
      <c r="CW8" s="1025"/>
      <c r="CX8" s="1025"/>
      <c r="CY8" s="1025"/>
      <c r="CZ8" s="1025"/>
      <c r="DA8" s="1025"/>
      <c r="DB8" s="1025"/>
      <c r="DC8" s="1025"/>
      <c r="DD8" s="1025"/>
      <c r="DE8" s="1025"/>
      <c r="DF8" s="1025"/>
      <c r="DG8" s="1025"/>
      <c r="DH8" s="1025"/>
      <c r="DI8" s="1025"/>
      <c r="DJ8" s="1025"/>
      <c r="DK8" s="1025"/>
      <c r="DL8" s="1025"/>
      <c r="DM8" s="1025"/>
      <c r="DN8" s="1025"/>
      <c r="DO8" s="1025"/>
      <c r="DP8" s="1025"/>
      <c r="DQ8" s="1025"/>
      <c r="DR8" s="1025"/>
      <c r="DS8" s="1025"/>
      <c r="DT8" s="1025"/>
      <c r="DU8" s="1025"/>
      <c r="DV8" s="1025"/>
      <c r="DW8" s="1025"/>
      <c r="DX8" s="1025"/>
      <c r="DY8" s="1025"/>
      <c r="DZ8" s="1025"/>
      <c r="EA8" s="1025"/>
      <c r="EB8" s="1025"/>
      <c r="EC8" s="1025"/>
      <c r="ED8" s="1025"/>
      <c r="EE8" s="1025"/>
      <c r="EF8" s="1025"/>
      <c r="EG8" s="1025"/>
      <c r="EH8" s="1025"/>
      <c r="EI8" s="1025"/>
      <c r="EJ8" s="1025"/>
      <c r="EK8" s="1025"/>
      <c r="EL8" s="1025"/>
      <c r="EM8" s="1025"/>
      <c r="EN8" s="1025"/>
      <c r="EO8" s="1025"/>
      <c r="EP8" s="1025"/>
      <c r="EQ8" s="1025"/>
      <c r="ER8" s="1025"/>
      <c r="ES8" s="1025"/>
      <c r="ET8" s="1025"/>
      <c r="EU8" s="1025"/>
      <c r="EV8" s="1025"/>
      <c r="EW8" s="1025"/>
      <c r="EX8" s="1025"/>
      <c r="EY8" s="1025"/>
      <c r="EZ8" s="1025"/>
      <c r="FA8" s="1025"/>
      <c r="FB8" s="1025"/>
      <c r="FC8" s="1025"/>
      <c r="FD8" s="1025"/>
      <c r="FE8" s="1025"/>
      <c r="FF8" s="1025"/>
      <c r="FG8" s="1025"/>
      <c r="FH8" s="1025"/>
      <c r="FI8" s="1025"/>
      <c r="FJ8" s="1025"/>
      <c r="FK8" s="1025"/>
      <c r="FL8" s="1025"/>
      <c r="FM8" s="1025"/>
      <c r="FN8" s="1025"/>
      <c r="FO8" s="1025"/>
      <c r="FP8" s="1025"/>
      <c r="FQ8" s="1025"/>
      <c r="FR8" s="1025"/>
      <c r="FS8" s="1025"/>
      <c r="FT8" s="1025"/>
      <c r="FU8" s="1025"/>
      <c r="FV8" s="1025"/>
      <c r="FW8" s="1025"/>
      <c r="FX8" s="1025"/>
      <c r="FY8" s="1025"/>
      <c r="FZ8" s="1025"/>
      <c r="GA8" s="1025"/>
      <c r="GB8" s="1025"/>
      <c r="GC8" s="1025"/>
      <c r="GD8" s="1025"/>
      <c r="GE8" s="1025"/>
      <c r="GF8" s="1025"/>
      <c r="GG8" s="1025"/>
      <c r="GH8" s="1025"/>
      <c r="GI8" s="1025"/>
      <c r="GJ8" s="1025"/>
      <c r="GK8" s="1025"/>
      <c r="GL8" s="1025"/>
      <c r="GM8" s="1025"/>
      <c r="GN8" s="1025"/>
      <c r="GO8" s="1025"/>
      <c r="GP8" s="1025"/>
      <c r="GQ8" s="1025"/>
      <c r="GR8" s="1025"/>
      <c r="GS8" s="1025"/>
      <c r="GT8" s="1025"/>
      <c r="GU8" s="1025"/>
      <c r="GV8" s="1025"/>
      <c r="GW8" s="1025"/>
      <c r="GX8" s="1025"/>
      <c r="GY8" s="1025"/>
      <c r="GZ8" s="1025"/>
      <c r="HA8" s="1025"/>
      <c r="HB8" s="1025"/>
      <c r="HC8" s="1025"/>
      <c r="HD8" s="1025"/>
      <c r="HE8" s="1025"/>
      <c r="HF8" s="1025"/>
      <c r="HG8" s="1025"/>
      <c r="HH8" s="1025"/>
      <c r="HI8" s="1025"/>
      <c r="HJ8" s="1025"/>
      <c r="HK8" s="1025"/>
      <c r="HL8" s="1025"/>
      <c r="HM8" s="1025"/>
      <c r="HN8" s="1025"/>
      <c r="HO8" s="1025"/>
      <c r="HP8" s="1025"/>
      <c r="HQ8" s="1025"/>
      <c r="HR8" s="1025"/>
      <c r="HS8" s="1025"/>
      <c r="HT8" s="1025"/>
      <c r="HU8" s="1025"/>
      <c r="HV8" s="1025"/>
      <c r="HW8" s="1025"/>
      <c r="HX8" s="1025"/>
      <c r="HY8" s="1025"/>
      <c r="HZ8" s="1025"/>
      <c r="IA8" s="1025"/>
      <c r="IB8" s="1025"/>
      <c r="IC8" s="1025"/>
      <c r="ID8" s="1025"/>
      <c r="IE8" s="1025"/>
      <c r="IF8" s="1025"/>
      <c r="IG8" s="1025"/>
      <c r="IH8" s="1025"/>
      <c r="II8" s="1025"/>
      <c r="IJ8" s="1025"/>
      <c r="IK8" s="1025"/>
      <c r="IL8" s="1025"/>
      <c r="IM8" s="1025"/>
      <c r="IN8" s="1025"/>
      <c r="IO8" s="1025"/>
      <c r="IP8" s="1025"/>
      <c r="IQ8" s="1025"/>
      <c r="IR8" s="1025"/>
      <c r="IS8" s="1025"/>
      <c r="IT8" s="1025"/>
      <c r="IU8" s="1025"/>
      <c r="IV8" s="1025"/>
    </row>
    <row r="9" spans="2:256" ht="15" thickBot="1">
      <c r="B9" s="1019" t="s">
        <v>902</v>
      </c>
      <c r="C9" s="1020" t="s">
        <v>1001</v>
      </c>
      <c r="D9" s="1020" t="s">
        <v>1343</v>
      </c>
      <c r="E9" s="1020" t="s">
        <v>1344</v>
      </c>
      <c r="F9" s="1020" t="s">
        <v>848</v>
      </c>
      <c r="G9" s="1020" t="s">
        <v>1345</v>
      </c>
      <c r="H9" s="1020" t="s">
        <v>1346</v>
      </c>
      <c r="I9" s="1020" t="s">
        <v>1347</v>
      </c>
      <c r="J9" s="1020" t="s">
        <v>1348</v>
      </c>
      <c r="K9" s="1020" t="s">
        <v>1349</v>
      </c>
      <c r="L9" s="1026" t="s">
        <v>1350</v>
      </c>
      <c r="M9" s="1024"/>
      <c r="N9" s="1025"/>
      <c r="O9" s="1025"/>
      <c r="P9" s="1025"/>
      <c r="Q9" s="1025"/>
      <c r="R9" s="1025"/>
      <c r="S9" s="1025"/>
      <c r="T9" s="1025"/>
      <c r="U9" s="1025"/>
      <c r="V9" s="1025"/>
      <c r="W9" s="1025"/>
      <c r="X9" s="1025"/>
      <c r="Y9" s="1025"/>
      <c r="Z9" s="1025"/>
      <c r="AA9" s="1025"/>
      <c r="AB9" s="1025"/>
      <c r="AC9" s="1025"/>
      <c r="AD9" s="1025"/>
      <c r="AE9" s="1025"/>
      <c r="AF9" s="1025"/>
      <c r="AG9" s="1025"/>
      <c r="AH9" s="1025"/>
      <c r="AI9" s="1025"/>
      <c r="AJ9" s="1025"/>
      <c r="AK9" s="1025"/>
      <c r="AL9" s="1025"/>
      <c r="AM9" s="1025"/>
      <c r="AN9" s="1025"/>
      <c r="AO9" s="1025"/>
      <c r="AP9" s="1025"/>
      <c r="AQ9" s="1025"/>
      <c r="AR9" s="1025"/>
      <c r="AS9" s="1025"/>
      <c r="AT9" s="1025"/>
      <c r="AU9" s="1025"/>
      <c r="AV9" s="1025"/>
      <c r="AW9" s="1025"/>
      <c r="AX9" s="1025"/>
      <c r="AY9" s="1025"/>
      <c r="AZ9" s="1025"/>
      <c r="BA9" s="1025"/>
      <c r="BB9" s="1025"/>
      <c r="BC9" s="1025"/>
      <c r="BD9" s="1025"/>
      <c r="BE9" s="1025"/>
      <c r="BF9" s="1025"/>
      <c r="BG9" s="1025"/>
      <c r="BH9" s="1025"/>
      <c r="BI9" s="1025"/>
      <c r="BJ9" s="1025"/>
      <c r="BK9" s="1025"/>
      <c r="BL9" s="1025"/>
      <c r="BM9" s="1025"/>
      <c r="BN9" s="1025"/>
      <c r="BO9" s="1025"/>
      <c r="BP9" s="1025"/>
      <c r="BQ9" s="1025"/>
      <c r="BR9" s="1025"/>
      <c r="BS9" s="1025"/>
      <c r="BT9" s="1025"/>
      <c r="BU9" s="1025"/>
      <c r="BV9" s="1025"/>
      <c r="BW9" s="1025"/>
      <c r="BX9" s="1025"/>
      <c r="BY9" s="1025"/>
      <c r="BZ9" s="1025"/>
      <c r="CA9" s="1025"/>
      <c r="CB9" s="1025"/>
      <c r="CC9" s="1025"/>
      <c r="CD9" s="1025"/>
      <c r="CE9" s="1025"/>
      <c r="CF9" s="1025"/>
      <c r="CG9" s="1025"/>
      <c r="CH9" s="1025"/>
      <c r="CI9" s="1025"/>
      <c r="CJ9" s="1025"/>
      <c r="CK9" s="1025"/>
      <c r="CL9" s="1025"/>
      <c r="CM9" s="1025"/>
      <c r="CN9" s="1025"/>
      <c r="CO9" s="1025"/>
      <c r="CP9" s="1025"/>
      <c r="CQ9" s="1025"/>
      <c r="CR9" s="1025"/>
      <c r="CS9" s="1025"/>
      <c r="CT9" s="1025"/>
      <c r="CU9" s="1025"/>
      <c r="CV9" s="1025"/>
      <c r="CW9" s="1025"/>
      <c r="CX9" s="1025"/>
      <c r="CY9" s="1025"/>
      <c r="CZ9" s="1025"/>
      <c r="DA9" s="1025"/>
      <c r="DB9" s="1025"/>
      <c r="DC9" s="1025"/>
      <c r="DD9" s="1025"/>
      <c r="DE9" s="1025"/>
      <c r="DF9" s="1025"/>
      <c r="DG9" s="1025"/>
      <c r="DH9" s="1025"/>
      <c r="DI9" s="1025"/>
      <c r="DJ9" s="1025"/>
      <c r="DK9" s="1025"/>
      <c r="DL9" s="1025"/>
      <c r="DM9" s="1025"/>
      <c r="DN9" s="1025"/>
      <c r="DO9" s="1025"/>
      <c r="DP9" s="1025"/>
      <c r="DQ9" s="1025"/>
      <c r="DR9" s="1025"/>
      <c r="DS9" s="1025"/>
      <c r="DT9" s="1025"/>
      <c r="DU9" s="1025"/>
      <c r="DV9" s="1025"/>
      <c r="DW9" s="1025"/>
      <c r="DX9" s="1025"/>
      <c r="DY9" s="1025"/>
      <c r="DZ9" s="1025"/>
      <c r="EA9" s="1025"/>
      <c r="EB9" s="1025"/>
      <c r="EC9" s="1025"/>
      <c r="ED9" s="1025"/>
      <c r="EE9" s="1025"/>
      <c r="EF9" s="1025"/>
      <c r="EG9" s="1025"/>
      <c r="EH9" s="1025"/>
      <c r="EI9" s="1025"/>
      <c r="EJ9" s="1025"/>
      <c r="EK9" s="1025"/>
      <c r="EL9" s="1025"/>
      <c r="EM9" s="1025"/>
      <c r="EN9" s="1025"/>
      <c r="EO9" s="1025"/>
      <c r="EP9" s="1025"/>
      <c r="EQ9" s="1025"/>
      <c r="ER9" s="1025"/>
      <c r="ES9" s="1025"/>
      <c r="ET9" s="1025"/>
      <c r="EU9" s="1025"/>
      <c r="EV9" s="1025"/>
      <c r="EW9" s="1025"/>
      <c r="EX9" s="1025"/>
      <c r="EY9" s="1025"/>
      <c r="EZ9" s="1025"/>
      <c r="FA9" s="1025"/>
      <c r="FB9" s="1025"/>
      <c r="FC9" s="1025"/>
      <c r="FD9" s="1025"/>
      <c r="FE9" s="1025"/>
      <c r="FF9" s="1025"/>
      <c r="FG9" s="1025"/>
      <c r="FH9" s="1025"/>
      <c r="FI9" s="1025"/>
      <c r="FJ9" s="1025"/>
      <c r="FK9" s="1025"/>
      <c r="FL9" s="1025"/>
      <c r="FM9" s="1025"/>
      <c r="FN9" s="1025"/>
      <c r="FO9" s="1025"/>
      <c r="FP9" s="1025"/>
      <c r="FQ9" s="1025"/>
      <c r="FR9" s="1025"/>
      <c r="FS9" s="1025"/>
      <c r="FT9" s="1025"/>
      <c r="FU9" s="1025"/>
      <c r="FV9" s="1025"/>
      <c r="FW9" s="1025"/>
      <c r="FX9" s="1025"/>
      <c r="FY9" s="1025"/>
      <c r="FZ9" s="1025"/>
      <c r="GA9" s="1025"/>
      <c r="GB9" s="1025"/>
      <c r="GC9" s="1025"/>
      <c r="GD9" s="1025"/>
      <c r="GE9" s="1025"/>
      <c r="GF9" s="1025"/>
      <c r="GG9" s="1025"/>
      <c r="GH9" s="1025"/>
      <c r="GI9" s="1025"/>
      <c r="GJ9" s="1025"/>
      <c r="GK9" s="1025"/>
      <c r="GL9" s="1025"/>
      <c r="GM9" s="1025"/>
      <c r="GN9" s="1025"/>
      <c r="GO9" s="1025"/>
      <c r="GP9" s="1025"/>
      <c r="GQ9" s="1025"/>
      <c r="GR9" s="1025"/>
      <c r="GS9" s="1025"/>
      <c r="GT9" s="1025"/>
      <c r="GU9" s="1025"/>
      <c r="GV9" s="1025"/>
      <c r="GW9" s="1025"/>
      <c r="GX9" s="1025"/>
      <c r="GY9" s="1025"/>
      <c r="GZ9" s="1025"/>
      <c r="HA9" s="1025"/>
      <c r="HB9" s="1025"/>
      <c r="HC9" s="1025"/>
      <c r="HD9" s="1025"/>
      <c r="HE9" s="1025"/>
      <c r="HF9" s="1025"/>
      <c r="HG9" s="1025"/>
      <c r="HH9" s="1025"/>
      <c r="HI9" s="1025"/>
      <c r="HJ9" s="1025"/>
      <c r="HK9" s="1025"/>
      <c r="HL9" s="1025"/>
      <c r="HM9" s="1025"/>
      <c r="HN9" s="1025"/>
      <c r="HO9" s="1025"/>
      <c r="HP9" s="1025"/>
      <c r="HQ9" s="1025"/>
      <c r="HR9" s="1025"/>
      <c r="HS9" s="1025"/>
      <c r="HT9" s="1025"/>
      <c r="HU9" s="1025"/>
      <c r="HV9" s="1025"/>
      <c r="HW9" s="1025"/>
      <c r="HX9" s="1025"/>
      <c r="HY9" s="1025"/>
      <c r="HZ9" s="1025"/>
      <c r="IA9" s="1025"/>
      <c r="IB9" s="1025"/>
      <c r="IC9" s="1025"/>
      <c r="ID9" s="1025"/>
      <c r="IE9" s="1025"/>
      <c r="IF9" s="1025"/>
      <c r="IG9" s="1025"/>
      <c r="IH9" s="1025"/>
      <c r="II9" s="1025"/>
      <c r="IJ9" s="1025"/>
      <c r="IK9" s="1025"/>
      <c r="IL9" s="1025"/>
      <c r="IM9" s="1025"/>
      <c r="IN9" s="1025"/>
      <c r="IO9" s="1025"/>
      <c r="IP9" s="1025"/>
      <c r="IQ9" s="1025"/>
      <c r="IR9" s="1025"/>
      <c r="IS9" s="1025"/>
      <c r="IT9" s="1025"/>
      <c r="IU9" s="1025"/>
      <c r="IV9" s="1025"/>
    </row>
    <row r="10" spans="2:16" ht="15.75" customHeight="1" thickBot="1" thickTop="1">
      <c r="B10" s="1027"/>
      <c r="C10" s="1028"/>
      <c r="D10" s="1028"/>
      <c r="E10" s="961"/>
      <c r="F10" s="1029"/>
      <c r="G10" s="1029"/>
      <c r="H10" s="1029">
        <f aca="true" t="shared" si="0" ref="H10:H28">+F10+G10</f>
        <v>0</v>
      </c>
      <c r="I10" s="1029">
        <f aca="true" t="shared" si="1" ref="I10:I28">+H10*12</f>
        <v>0</v>
      </c>
      <c r="J10" s="576"/>
      <c r="K10" s="1029">
        <f aca="true" t="shared" si="2" ref="K10:K28">+J10*0.3</f>
        <v>0</v>
      </c>
      <c r="L10" s="1030">
        <f>_xlfn.IFERROR(+I10/K10,"")</f>
      </c>
      <c r="M10" s="1018">
        <f aca="true" t="shared" si="3" ref="M10:M15">_xlfn.IFERROR(L10*B10,"")</f>
      </c>
      <c r="N10" s="1031">
        <f>+F10*B10*12</f>
        <v>0</v>
      </c>
      <c r="P10" s="1032"/>
    </row>
    <row r="11" spans="2:16" ht="15.75" customHeight="1" thickBot="1" thickTop="1">
      <c r="B11" s="1027"/>
      <c r="C11" s="1028"/>
      <c r="D11" s="1028"/>
      <c r="E11" s="965"/>
      <c r="F11" s="1029"/>
      <c r="G11" s="1029"/>
      <c r="H11" s="1033">
        <f t="shared" si="0"/>
        <v>0</v>
      </c>
      <c r="I11" s="1033">
        <f t="shared" si="1"/>
        <v>0</v>
      </c>
      <c r="J11" s="579"/>
      <c r="K11" s="1033">
        <f t="shared" si="2"/>
        <v>0</v>
      </c>
      <c r="L11" s="1030">
        <f aca="true" t="shared" si="4" ref="L11:L27">_xlfn.IFERROR(+I11/K11,"")</f>
      </c>
      <c r="M11" s="1018">
        <f t="shared" si="3"/>
      </c>
      <c r="N11" s="1034">
        <f aca="true" t="shared" si="5" ref="N11:N30">+F11*B11*12</f>
        <v>0</v>
      </c>
      <c r="P11" s="1032"/>
    </row>
    <row r="12" spans="2:16" ht="15.75" customHeight="1" thickBot="1" thickTop="1">
      <c r="B12" s="1027"/>
      <c r="C12" s="1028"/>
      <c r="D12" s="1028"/>
      <c r="E12" s="965"/>
      <c r="F12" s="1029"/>
      <c r="G12" s="1029"/>
      <c r="H12" s="1033">
        <f t="shared" si="0"/>
        <v>0</v>
      </c>
      <c r="I12" s="1033">
        <f t="shared" si="1"/>
        <v>0</v>
      </c>
      <c r="J12" s="579"/>
      <c r="K12" s="1033">
        <f t="shared" si="2"/>
        <v>0</v>
      </c>
      <c r="L12" s="1030">
        <f t="shared" si="4"/>
      </c>
      <c r="M12" s="1018">
        <f t="shared" si="3"/>
      </c>
      <c r="N12" s="1034">
        <f t="shared" si="5"/>
        <v>0</v>
      </c>
      <c r="P12" s="1032"/>
    </row>
    <row r="13" spans="2:16" ht="15.75" customHeight="1" thickBot="1" thickTop="1">
      <c r="B13" s="1027"/>
      <c r="C13" s="1028"/>
      <c r="D13" s="1028"/>
      <c r="E13" s="965"/>
      <c r="F13" s="1029"/>
      <c r="G13" s="1029"/>
      <c r="H13" s="1033">
        <f t="shared" si="0"/>
        <v>0</v>
      </c>
      <c r="I13" s="1033">
        <f t="shared" si="1"/>
        <v>0</v>
      </c>
      <c r="J13" s="579"/>
      <c r="K13" s="1033">
        <f t="shared" si="2"/>
        <v>0</v>
      </c>
      <c r="L13" s="1030">
        <f t="shared" si="4"/>
      </c>
      <c r="M13" s="1018">
        <f t="shared" si="3"/>
      </c>
      <c r="N13" s="1034">
        <f t="shared" si="5"/>
        <v>0</v>
      </c>
      <c r="P13" s="1032"/>
    </row>
    <row r="14" spans="2:16" ht="15.75" customHeight="1" thickBot="1" thickTop="1">
      <c r="B14" s="1027"/>
      <c r="C14" s="1028"/>
      <c r="D14" s="1028"/>
      <c r="E14" s="578"/>
      <c r="F14" s="1029"/>
      <c r="G14" s="1029"/>
      <c r="H14" s="1033">
        <f t="shared" si="0"/>
        <v>0</v>
      </c>
      <c r="I14" s="1033">
        <f t="shared" si="1"/>
        <v>0</v>
      </c>
      <c r="J14" s="579"/>
      <c r="K14" s="1033">
        <f t="shared" si="2"/>
        <v>0</v>
      </c>
      <c r="L14" s="1030">
        <f t="shared" si="4"/>
      </c>
      <c r="M14" s="1018">
        <f t="shared" si="3"/>
      </c>
      <c r="N14" s="1034">
        <f t="shared" si="5"/>
        <v>0</v>
      </c>
      <c r="P14" s="1032"/>
    </row>
    <row r="15" spans="2:16" ht="15.75" customHeight="1" thickBot="1" thickTop="1">
      <c r="B15" s="1027"/>
      <c r="C15" s="1028"/>
      <c r="D15" s="1028"/>
      <c r="E15" s="578"/>
      <c r="F15" s="1029"/>
      <c r="G15" s="1029"/>
      <c r="H15" s="1033">
        <f t="shared" si="0"/>
        <v>0</v>
      </c>
      <c r="I15" s="1033">
        <f t="shared" si="1"/>
        <v>0</v>
      </c>
      <c r="J15" s="579"/>
      <c r="K15" s="1033">
        <f t="shared" si="2"/>
        <v>0</v>
      </c>
      <c r="L15" s="1030">
        <f t="shared" si="4"/>
      </c>
      <c r="M15" s="1018">
        <f t="shared" si="3"/>
      </c>
      <c r="N15" s="1034">
        <f t="shared" si="5"/>
        <v>0</v>
      </c>
      <c r="P15" s="1032"/>
    </row>
    <row r="16" spans="2:16" ht="15.75" customHeight="1" thickBot="1" thickTop="1">
      <c r="B16" s="1027"/>
      <c r="C16" s="1028"/>
      <c r="D16" s="1028"/>
      <c r="E16" s="578"/>
      <c r="F16" s="1029"/>
      <c r="G16" s="1029"/>
      <c r="H16" s="1033">
        <f t="shared" si="0"/>
        <v>0</v>
      </c>
      <c r="I16" s="1033">
        <f t="shared" si="1"/>
        <v>0</v>
      </c>
      <c r="J16" s="579"/>
      <c r="K16" s="1033">
        <f t="shared" si="2"/>
        <v>0</v>
      </c>
      <c r="L16" s="1030">
        <f t="shared" si="4"/>
      </c>
      <c r="M16" s="1018">
        <f>_xlfn.IFERROR(L16*B16,"")</f>
      </c>
      <c r="N16" s="1034">
        <f t="shared" si="5"/>
        <v>0</v>
      </c>
      <c r="P16" s="1032"/>
    </row>
    <row r="17" spans="2:16" ht="15.75" customHeight="1" thickBot="1" thickTop="1">
      <c r="B17" s="1027"/>
      <c r="C17" s="1028"/>
      <c r="D17" s="1028"/>
      <c r="E17" s="578"/>
      <c r="F17" s="1029"/>
      <c r="G17" s="1029"/>
      <c r="H17" s="1033">
        <f t="shared" si="0"/>
        <v>0</v>
      </c>
      <c r="I17" s="1033">
        <f t="shared" si="1"/>
        <v>0</v>
      </c>
      <c r="J17" s="579"/>
      <c r="K17" s="1033">
        <f t="shared" si="2"/>
        <v>0</v>
      </c>
      <c r="L17" s="1030">
        <f t="shared" si="4"/>
      </c>
      <c r="M17" s="1018">
        <f aca="true" t="shared" si="6" ref="M17:M28">_xlfn.IFERROR(L17*B17,"")</f>
      </c>
      <c r="N17" s="1034">
        <f t="shared" si="5"/>
        <v>0</v>
      </c>
      <c r="P17" s="1032"/>
    </row>
    <row r="18" spans="2:16" ht="15.75" customHeight="1" thickBot="1" thickTop="1">
      <c r="B18" s="1027"/>
      <c r="C18" s="1028"/>
      <c r="D18" s="1028"/>
      <c r="E18" s="578"/>
      <c r="F18" s="1029"/>
      <c r="G18" s="1029"/>
      <c r="H18" s="1033">
        <f t="shared" si="0"/>
        <v>0</v>
      </c>
      <c r="I18" s="1033">
        <f t="shared" si="1"/>
        <v>0</v>
      </c>
      <c r="J18" s="579"/>
      <c r="K18" s="1033">
        <f t="shared" si="2"/>
        <v>0</v>
      </c>
      <c r="L18" s="1030">
        <f t="shared" si="4"/>
      </c>
      <c r="M18" s="1018">
        <f t="shared" si="6"/>
      </c>
      <c r="N18" s="1034">
        <f t="shared" si="5"/>
        <v>0</v>
      </c>
      <c r="P18" s="1032"/>
    </row>
    <row r="19" spans="2:16" ht="15.75" customHeight="1" thickBot="1" thickTop="1">
      <c r="B19" s="1027"/>
      <c r="C19" s="1028"/>
      <c r="D19" s="1028"/>
      <c r="E19" s="578"/>
      <c r="F19" s="1029"/>
      <c r="G19" s="1029"/>
      <c r="H19" s="1033">
        <f t="shared" si="0"/>
        <v>0</v>
      </c>
      <c r="I19" s="1033">
        <f t="shared" si="1"/>
        <v>0</v>
      </c>
      <c r="J19" s="579"/>
      <c r="K19" s="1033">
        <f t="shared" si="2"/>
        <v>0</v>
      </c>
      <c r="L19" s="1030">
        <f t="shared" si="4"/>
      </c>
      <c r="M19" s="1018">
        <f t="shared" si="6"/>
      </c>
      <c r="N19" s="1034">
        <f t="shared" si="5"/>
        <v>0</v>
      </c>
      <c r="P19" s="1032"/>
    </row>
    <row r="20" spans="2:16" ht="15.75" customHeight="1" thickBot="1" thickTop="1">
      <c r="B20" s="1027"/>
      <c r="C20" s="1028"/>
      <c r="D20" s="1028"/>
      <c r="E20" s="578"/>
      <c r="F20" s="1029"/>
      <c r="G20" s="1029"/>
      <c r="H20" s="1033">
        <f t="shared" si="0"/>
        <v>0</v>
      </c>
      <c r="I20" s="1033">
        <f t="shared" si="1"/>
        <v>0</v>
      </c>
      <c r="J20" s="579"/>
      <c r="K20" s="1033">
        <f t="shared" si="2"/>
        <v>0</v>
      </c>
      <c r="L20" s="1030">
        <f t="shared" si="4"/>
      </c>
      <c r="M20" s="1018">
        <f t="shared" si="6"/>
      </c>
      <c r="N20" s="1034">
        <f t="shared" si="5"/>
        <v>0</v>
      </c>
      <c r="P20" s="1032"/>
    </row>
    <row r="21" spans="2:16" ht="15.75" customHeight="1" thickBot="1" thickTop="1">
      <c r="B21" s="1027"/>
      <c r="C21" s="1028"/>
      <c r="D21" s="1028"/>
      <c r="E21" s="578"/>
      <c r="F21" s="1029"/>
      <c r="G21" s="1029"/>
      <c r="H21" s="1033">
        <f t="shared" si="0"/>
        <v>0</v>
      </c>
      <c r="I21" s="1033">
        <f t="shared" si="1"/>
        <v>0</v>
      </c>
      <c r="J21" s="579"/>
      <c r="K21" s="1033">
        <f t="shared" si="2"/>
        <v>0</v>
      </c>
      <c r="L21" s="1030">
        <f t="shared" si="4"/>
      </c>
      <c r="M21" s="1018">
        <f t="shared" si="6"/>
      </c>
      <c r="N21" s="1034">
        <f t="shared" si="5"/>
        <v>0</v>
      </c>
      <c r="P21" s="1032"/>
    </row>
    <row r="22" spans="2:16" ht="15.75" customHeight="1" thickBot="1" thickTop="1">
      <c r="B22" s="1027"/>
      <c r="C22" s="1028"/>
      <c r="D22" s="1028"/>
      <c r="E22" s="578"/>
      <c r="F22" s="1029"/>
      <c r="G22" s="1029"/>
      <c r="H22" s="1033">
        <f t="shared" si="0"/>
        <v>0</v>
      </c>
      <c r="I22" s="1033">
        <f t="shared" si="1"/>
        <v>0</v>
      </c>
      <c r="J22" s="579"/>
      <c r="K22" s="1033">
        <f t="shared" si="2"/>
        <v>0</v>
      </c>
      <c r="L22" s="1030">
        <f t="shared" si="4"/>
      </c>
      <c r="M22" s="1018">
        <f t="shared" si="6"/>
      </c>
      <c r="N22" s="1034">
        <f t="shared" si="5"/>
        <v>0</v>
      </c>
      <c r="P22" s="1032"/>
    </row>
    <row r="23" spans="2:16" ht="15.75" customHeight="1" thickBot="1" thickTop="1">
      <c r="B23" s="1027"/>
      <c r="C23" s="1028"/>
      <c r="D23" s="1028"/>
      <c r="E23" s="578"/>
      <c r="F23" s="1029"/>
      <c r="G23" s="1029"/>
      <c r="H23" s="1033">
        <f t="shared" si="0"/>
        <v>0</v>
      </c>
      <c r="I23" s="1033">
        <f t="shared" si="1"/>
        <v>0</v>
      </c>
      <c r="J23" s="579"/>
      <c r="K23" s="1033">
        <f t="shared" si="2"/>
        <v>0</v>
      </c>
      <c r="L23" s="1030">
        <f t="shared" si="4"/>
      </c>
      <c r="M23" s="1018">
        <f t="shared" si="6"/>
      </c>
      <c r="N23" s="1034">
        <f t="shared" si="5"/>
        <v>0</v>
      </c>
      <c r="P23" s="1032"/>
    </row>
    <row r="24" spans="2:16" ht="15.75" customHeight="1" thickBot="1" thickTop="1">
      <c r="B24" s="1027"/>
      <c r="C24" s="1028"/>
      <c r="D24" s="1028"/>
      <c r="E24" s="578"/>
      <c r="F24" s="1029"/>
      <c r="G24" s="1029"/>
      <c r="H24" s="1033">
        <f t="shared" si="0"/>
        <v>0</v>
      </c>
      <c r="I24" s="1033">
        <f t="shared" si="1"/>
        <v>0</v>
      </c>
      <c r="J24" s="579"/>
      <c r="K24" s="1033">
        <f t="shared" si="2"/>
        <v>0</v>
      </c>
      <c r="L24" s="1030">
        <f t="shared" si="4"/>
      </c>
      <c r="M24" s="1018">
        <f t="shared" si="6"/>
      </c>
      <c r="N24" s="1034">
        <f t="shared" si="5"/>
        <v>0</v>
      </c>
      <c r="P24" s="1032"/>
    </row>
    <row r="25" spans="2:16" ht="15.75" customHeight="1" thickBot="1" thickTop="1">
      <c r="B25" s="1027"/>
      <c r="C25" s="1028"/>
      <c r="D25" s="1028"/>
      <c r="E25" s="578"/>
      <c r="F25" s="1029"/>
      <c r="G25" s="1029"/>
      <c r="H25" s="1033">
        <f t="shared" si="0"/>
        <v>0</v>
      </c>
      <c r="I25" s="1033">
        <f t="shared" si="1"/>
        <v>0</v>
      </c>
      <c r="J25" s="579"/>
      <c r="K25" s="1033">
        <f t="shared" si="2"/>
        <v>0</v>
      </c>
      <c r="L25" s="1030">
        <f t="shared" si="4"/>
      </c>
      <c r="M25" s="1018">
        <f t="shared" si="6"/>
      </c>
      <c r="N25" s="1034">
        <f t="shared" si="5"/>
        <v>0</v>
      </c>
      <c r="P25" s="1032"/>
    </row>
    <row r="26" spans="2:16" ht="15.75" customHeight="1" thickBot="1" thickTop="1">
      <c r="B26" s="1027"/>
      <c r="C26" s="1028"/>
      <c r="D26" s="1028"/>
      <c r="E26" s="578"/>
      <c r="F26" s="1029"/>
      <c r="G26" s="1029"/>
      <c r="H26" s="1033">
        <f t="shared" si="0"/>
        <v>0</v>
      </c>
      <c r="I26" s="1033">
        <f t="shared" si="1"/>
        <v>0</v>
      </c>
      <c r="J26" s="579"/>
      <c r="K26" s="1033">
        <f t="shared" si="2"/>
        <v>0</v>
      </c>
      <c r="L26" s="1030">
        <f t="shared" si="4"/>
      </c>
      <c r="M26" s="1018">
        <f t="shared" si="6"/>
      </c>
      <c r="N26" s="1034">
        <f t="shared" si="5"/>
        <v>0</v>
      </c>
      <c r="P26" s="1032"/>
    </row>
    <row r="27" spans="2:16" ht="15.75" customHeight="1" thickBot="1" thickTop="1">
      <c r="B27" s="1027"/>
      <c r="C27" s="1028"/>
      <c r="D27" s="1028"/>
      <c r="E27" s="578"/>
      <c r="F27" s="1029"/>
      <c r="G27" s="1029"/>
      <c r="H27" s="1033">
        <f t="shared" si="0"/>
        <v>0</v>
      </c>
      <c r="I27" s="1033">
        <f t="shared" si="1"/>
        <v>0</v>
      </c>
      <c r="J27" s="579"/>
      <c r="K27" s="1033">
        <f t="shared" si="2"/>
        <v>0</v>
      </c>
      <c r="L27" s="1030">
        <f t="shared" si="4"/>
      </c>
      <c r="M27" s="1018">
        <f t="shared" si="6"/>
      </c>
      <c r="N27" s="1034">
        <f t="shared" si="5"/>
        <v>0</v>
      </c>
      <c r="P27" s="1032"/>
    </row>
    <row r="28" spans="2:16" ht="15.75" customHeight="1" thickBot="1" thickTop="1">
      <c r="B28" s="1027"/>
      <c r="C28" s="1028"/>
      <c r="D28" s="1028"/>
      <c r="E28" s="578"/>
      <c r="F28" s="1029"/>
      <c r="G28" s="1029"/>
      <c r="H28" s="1033">
        <f t="shared" si="0"/>
        <v>0</v>
      </c>
      <c r="I28" s="1033">
        <f t="shared" si="1"/>
        <v>0</v>
      </c>
      <c r="J28" s="579"/>
      <c r="K28" s="1033">
        <f t="shared" si="2"/>
        <v>0</v>
      </c>
      <c r="L28" s="1030">
        <f>_xlfn.IFERROR(+I28/K28,"")</f>
      </c>
      <c r="M28" s="1018">
        <f t="shared" si="6"/>
      </c>
      <c r="N28" s="1034">
        <f t="shared" si="5"/>
        <v>0</v>
      </c>
      <c r="P28" s="1032"/>
    </row>
    <row r="29" spans="2:16" ht="18.75" customHeight="1" thickTop="1">
      <c r="B29" s="1035" t="s">
        <v>1351</v>
      </c>
      <c r="C29" s="1036"/>
      <c r="D29" s="1036"/>
      <c r="E29" s="1036"/>
      <c r="F29" s="1036"/>
      <c r="G29" s="1036"/>
      <c r="H29" s="1036"/>
      <c r="I29" s="1036"/>
      <c r="J29" s="1036"/>
      <c r="K29" s="1036"/>
      <c r="L29" s="1036"/>
      <c r="M29" s="1018"/>
      <c r="N29" s="1034"/>
      <c r="P29" s="1037"/>
    </row>
    <row r="30" spans="2:14" ht="15.75" customHeight="1" thickBot="1">
      <c r="B30" s="577"/>
      <c r="C30" s="578"/>
      <c r="D30" s="578"/>
      <c r="E30" s="578"/>
      <c r="F30" s="578"/>
      <c r="G30" s="578"/>
      <c r="H30" s="1038"/>
      <c r="I30" s="1038"/>
      <c r="J30" s="578"/>
      <c r="K30" s="1038"/>
      <c r="L30" s="1038"/>
      <c r="M30" s="1018"/>
      <c r="N30" s="1034">
        <f t="shared" si="5"/>
        <v>0</v>
      </c>
    </row>
    <row r="31" spans="2:14" ht="15.75" thickBot="1" thickTop="1">
      <c r="B31" s="1512">
        <f>SUM(B10:B28)+B30</f>
        <v>0</v>
      </c>
      <c r="C31" s="1511" t="s">
        <v>1626</v>
      </c>
      <c r="D31" s="1039"/>
      <c r="E31" s="1039"/>
      <c r="F31" s="1039"/>
      <c r="G31" s="1039"/>
      <c r="H31" s="1039"/>
      <c r="I31" s="1039"/>
      <c r="J31" s="1039"/>
      <c r="K31" s="1039"/>
      <c r="L31" s="1039"/>
      <c r="N31" s="1031">
        <f>SUM(N10:N30)</f>
        <v>0</v>
      </c>
    </row>
    <row r="32" spans="2:12" ht="15">
      <c r="B32" s="1015" t="s">
        <v>1352</v>
      </c>
      <c r="C32" s="1015" t="s">
        <v>1353</v>
      </c>
      <c r="D32" s="1025"/>
      <c r="E32" s="1025"/>
      <c r="F32" s="1025"/>
      <c r="G32" s="1025"/>
      <c r="H32" s="1025"/>
      <c r="I32" s="1025"/>
      <c r="J32" s="1025"/>
      <c r="K32" s="1025"/>
      <c r="L32" s="1025"/>
    </row>
    <row r="33" spans="2:12" ht="3.75" customHeight="1" thickBot="1">
      <c r="B33" s="1015"/>
      <c r="C33" s="1015"/>
      <c r="D33" s="1025"/>
      <c r="E33" s="1025"/>
      <c r="F33" s="1025"/>
      <c r="G33" s="1025"/>
      <c r="H33" s="1025"/>
      <c r="I33" s="1025"/>
      <c r="J33" s="1025"/>
      <c r="K33" s="1025"/>
      <c r="L33" s="1025"/>
    </row>
    <row r="34" spans="2:12" ht="15">
      <c r="B34" s="1015" t="s">
        <v>1354</v>
      </c>
      <c r="C34" s="1015" t="s">
        <v>1355</v>
      </c>
      <c r="D34" s="1025"/>
      <c r="E34" s="1025"/>
      <c r="F34" s="1025"/>
      <c r="G34" s="1025"/>
      <c r="H34" s="1025"/>
      <c r="I34" s="1025"/>
      <c r="J34" s="1025"/>
      <c r="K34" s="1025"/>
      <c r="L34" s="1040" t="s">
        <v>1549</v>
      </c>
    </row>
    <row r="35" spans="2:12" ht="3.75" customHeight="1">
      <c r="B35" s="1015"/>
      <c r="C35" s="1015"/>
      <c r="D35" s="1025"/>
      <c r="E35" s="1025"/>
      <c r="F35" s="1025"/>
      <c r="G35" s="1025"/>
      <c r="H35" s="1025"/>
      <c r="I35" s="1025"/>
      <c r="J35" s="1025"/>
      <c r="K35" s="1025"/>
      <c r="L35" s="1041" t="s">
        <v>1550</v>
      </c>
    </row>
    <row r="36" spans="2:12" ht="15" thickBot="1">
      <c r="B36" s="1015" t="s">
        <v>1356</v>
      </c>
      <c r="C36" s="1015" t="s">
        <v>1357</v>
      </c>
      <c r="D36" s="1025"/>
      <c r="E36" s="1025"/>
      <c r="F36" s="1025"/>
      <c r="G36" s="1025"/>
      <c r="H36" s="1025"/>
      <c r="I36" s="1025"/>
      <c r="J36" s="1025"/>
      <c r="K36" s="1025"/>
      <c r="L36" s="1042" t="str">
        <f>_xlfn.IFERROR(SUM(M10:M28)/SUM(B10:B28),"%")</f>
        <v>%</v>
      </c>
    </row>
    <row r="37" spans="2:12" ht="3.75" customHeight="1">
      <c r="B37" s="1015"/>
      <c r="C37" s="1015"/>
      <c r="D37" s="1025"/>
      <c r="E37" s="1025"/>
      <c r="F37" s="1025"/>
      <c r="G37" s="1025"/>
      <c r="H37" s="1025"/>
      <c r="I37" s="1025"/>
      <c r="J37" s="1025"/>
      <c r="K37" s="1025"/>
      <c r="L37" s="1025"/>
    </row>
    <row r="38" spans="2:12" ht="15">
      <c r="B38" s="1015" t="s">
        <v>1358</v>
      </c>
      <c r="C38" s="1015" t="s">
        <v>1359</v>
      </c>
      <c r="D38" s="1025"/>
      <c r="E38" s="1025"/>
      <c r="F38" s="1025"/>
      <c r="G38" s="1025"/>
      <c r="H38" s="1025"/>
      <c r="I38" s="1025"/>
      <c r="J38" s="1025"/>
      <c r="K38" s="1025"/>
      <c r="L38" s="1025"/>
    </row>
    <row r="39" spans="2:12" ht="3.75" customHeight="1">
      <c r="B39" s="1015"/>
      <c r="C39" s="1015"/>
      <c r="D39" s="1025"/>
      <c r="E39" s="1025"/>
      <c r="F39" s="1025"/>
      <c r="G39" s="1025"/>
      <c r="H39" s="1025"/>
      <c r="I39" s="1025"/>
      <c r="J39" s="1025"/>
      <c r="K39" s="1025"/>
      <c r="L39" s="1025"/>
    </row>
    <row r="40" spans="2:12" ht="15">
      <c r="B40" s="1015" t="s">
        <v>1360</v>
      </c>
      <c r="C40" s="1015" t="s">
        <v>1361</v>
      </c>
      <c r="D40" s="1025"/>
      <c r="E40" s="1025"/>
      <c r="F40" s="1025"/>
      <c r="G40" s="1025"/>
      <c r="H40" s="1025"/>
      <c r="I40" s="1025"/>
      <c r="J40" s="1025"/>
      <c r="K40" s="1025"/>
      <c r="L40" s="1025"/>
    </row>
    <row r="41" spans="2:12" ht="15">
      <c r="B41" s="1025"/>
      <c r="C41" s="1015" t="s">
        <v>1362</v>
      </c>
      <c r="D41" s="1025"/>
      <c r="E41" s="1025"/>
      <c r="F41" s="1025"/>
      <c r="G41" s="1025"/>
      <c r="H41" s="1025"/>
      <c r="I41" s="1025"/>
      <c r="J41" s="1025"/>
      <c r="K41" s="1025"/>
      <c r="L41" s="1025"/>
    </row>
    <row r="42" spans="2:12" ht="3.75" customHeight="1">
      <c r="B42" s="1015"/>
      <c r="C42" s="1015"/>
      <c r="D42" s="1015"/>
      <c r="E42" s="1015"/>
      <c r="F42" s="1015"/>
      <c r="G42" s="1015"/>
      <c r="H42" s="1015"/>
      <c r="I42" s="1015"/>
      <c r="J42" s="1015"/>
      <c r="K42" s="1015"/>
      <c r="L42" s="1015"/>
    </row>
    <row r="43" spans="2:12" ht="15">
      <c r="B43" s="1015" t="s">
        <v>1363</v>
      </c>
      <c r="C43" s="1015" t="s">
        <v>1364</v>
      </c>
      <c r="D43" s="1015"/>
      <c r="E43" s="1015"/>
      <c r="F43" s="1015"/>
      <c r="G43" s="1015"/>
      <c r="H43" s="1015"/>
      <c r="I43" s="1015"/>
      <c r="J43" s="1015"/>
      <c r="K43" s="1015"/>
      <c r="L43" s="1015"/>
    </row>
    <row r="44" spans="2:12" ht="3.75" customHeight="1">
      <c r="B44" s="1015"/>
      <c r="C44" s="1015"/>
      <c r="D44" s="1015"/>
      <c r="E44" s="1015"/>
      <c r="F44" s="1015"/>
      <c r="G44" s="1015"/>
      <c r="H44" s="1015"/>
      <c r="I44" s="1015"/>
      <c r="J44" s="1015"/>
      <c r="K44" s="1015"/>
      <c r="L44" s="1015"/>
    </row>
    <row r="45" spans="2:12" ht="15">
      <c r="B45" s="1015" t="s">
        <v>1365</v>
      </c>
      <c r="C45" s="1015" t="s">
        <v>1366</v>
      </c>
      <c r="D45" s="1015"/>
      <c r="E45" s="1015"/>
      <c r="F45" s="1015"/>
      <c r="G45" s="1015"/>
      <c r="H45" s="1015"/>
      <c r="I45" s="1015"/>
      <c r="J45" s="1015"/>
      <c r="K45" s="1015"/>
      <c r="L45" s="1015"/>
    </row>
    <row r="46" spans="2:12" ht="3.75" customHeight="1">
      <c r="B46" s="1015"/>
      <c r="C46" s="1015"/>
      <c r="D46" s="1015"/>
      <c r="E46" s="1015"/>
      <c r="F46" s="1015"/>
      <c r="G46" s="1015"/>
      <c r="H46" s="1015"/>
      <c r="I46" s="1015"/>
      <c r="J46" s="1015"/>
      <c r="K46" s="1015"/>
      <c r="L46" s="1015"/>
    </row>
    <row r="47" spans="2:12" ht="15">
      <c r="B47" s="1015" t="s">
        <v>1367</v>
      </c>
      <c r="C47" s="1015" t="s">
        <v>1368</v>
      </c>
      <c r="D47" s="1015"/>
      <c r="E47" s="1015"/>
      <c r="F47" s="1015"/>
      <c r="G47" s="1015"/>
      <c r="H47" s="1015"/>
      <c r="I47" s="1015"/>
      <c r="J47" s="1015"/>
      <c r="K47" s="1015"/>
      <c r="L47" s="1015"/>
    </row>
    <row r="48" spans="2:12" ht="3.75" customHeight="1">
      <c r="B48" s="1015"/>
      <c r="C48" s="1015"/>
      <c r="D48" s="1015"/>
      <c r="E48" s="1015"/>
      <c r="F48" s="1015"/>
      <c r="G48" s="1015"/>
      <c r="H48" s="1015"/>
      <c r="I48" s="1015"/>
      <c r="J48" s="1015"/>
      <c r="K48" s="1015"/>
      <c r="L48" s="1015"/>
    </row>
    <row r="49" spans="2:12" ht="15">
      <c r="B49" s="1015" t="s">
        <v>1369</v>
      </c>
      <c r="C49" s="1015" t="s">
        <v>1370</v>
      </c>
      <c r="D49" s="1015"/>
      <c r="E49" s="1015"/>
      <c r="F49" s="1015"/>
      <c r="G49" s="1015"/>
      <c r="H49" s="1015"/>
      <c r="I49" s="1015"/>
      <c r="J49" s="1015"/>
      <c r="K49" s="1015"/>
      <c r="L49" s="1015"/>
    </row>
    <row r="50" spans="2:12" ht="3.75" customHeight="1">
      <c r="B50" s="1015"/>
      <c r="C50" s="1015"/>
      <c r="D50" s="1015"/>
      <c r="E50" s="1015"/>
      <c r="F50" s="1015"/>
      <c r="G50" s="1015"/>
      <c r="H50" s="1015"/>
      <c r="I50" s="1015"/>
      <c r="J50" s="1015"/>
      <c r="K50" s="1015"/>
      <c r="L50" s="1015"/>
    </row>
    <row r="51" spans="2:12" ht="15">
      <c r="B51" s="1015" t="s">
        <v>1371</v>
      </c>
      <c r="C51" s="1015" t="s">
        <v>1372</v>
      </c>
      <c r="D51" s="1015"/>
      <c r="E51" s="1015"/>
      <c r="F51" s="1015"/>
      <c r="G51" s="1015"/>
      <c r="H51" s="1015"/>
      <c r="I51" s="1015"/>
      <c r="J51" s="1015"/>
      <c r="K51" s="1015"/>
      <c r="L51" s="1015"/>
    </row>
    <row r="52" spans="2:12" ht="3.75" customHeight="1">
      <c r="B52" s="1015"/>
      <c r="C52" s="1015"/>
      <c r="D52" s="1015"/>
      <c r="E52" s="1015"/>
      <c r="F52" s="1015"/>
      <c r="G52" s="1015"/>
      <c r="H52" s="1015"/>
      <c r="I52" s="1015"/>
      <c r="J52" s="1015"/>
      <c r="K52" s="1015"/>
      <c r="L52" s="1015"/>
    </row>
    <row r="53" spans="2:12" ht="15">
      <c r="B53" s="1015" t="s">
        <v>1373</v>
      </c>
      <c r="C53" s="1015" t="s">
        <v>0</v>
      </c>
      <c r="D53" s="1015"/>
      <c r="E53" s="1015"/>
      <c r="F53" s="1015"/>
      <c r="G53" s="1015"/>
      <c r="H53" s="1015"/>
      <c r="I53" s="1015"/>
      <c r="J53" s="1015"/>
      <c r="K53" s="1015"/>
      <c r="L53" s="1015"/>
    </row>
    <row r="54" spans="2:12" ht="9.75" customHeight="1">
      <c r="B54" s="1015"/>
      <c r="C54" s="1015"/>
      <c r="D54" s="1015"/>
      <c r="E54" s="1015"/>
      <c r="F54" s="1015"/>
      <c r="G54" s="1015"/>
      <c r="H54" s="1015"/>
      <c r="I54" s="1015"/>
      <c r="J54" s="1015"/>
      <c r="K54" s="1015"/>
      <c r="L54" s="1015"/>
    </row>
    <row r="55" spans="2:12" ht="15">
      <c r="B55" s="1015"/>
      <c r="C55" s="1015"/>
      <c r="D55" s="1015"/>
      <c r="E55" s="1015"/>
      <c r="F55" s="1015"/>
      <c r="G55" s="1015"/>
      <c r="H55" s="1015"/>
      <c r="I55" s="1015"/>
      <c r="J55" s="1015"/>
      <c r="K55" s="1015"/>
      <c r="L55" s="1015"/>
    </row>
    <row r="56" spans="2:12" ht="15">
      <c r="B56" s="1015"/>
      <c r="C56" s="1015"/>
      <c r="D56" s="1015"/>
      <c r="E56" s="1015"/>
      <c r="F56" s="1015"/>
      <c r="G56" s="1015"/>
      <c r="H56" s="1015"/>
      <c r="I56" s="1015"/>
      <c r="J56" s="1015"/>
      <c r="K56" s="1015"/>
      <c r="L56" s="1015"/>
    </row>
    <row r="57" spans="2:12" ht="15">
      <c r="B57" s="1015" t="s">
        <v>1</v>
      </c>
      <c r="C57" s="1015"/>
      <c r="D57" s="1015"/>
      <c r="E57" s="1015"/>
      <c r="F57" s="1015"/>
      <c r="G57" s="1015"/>
      <c r="H57" s="1015"/>
      <c r="I57" s="1015"/>
      <c r="J57" s="1015"/>
      <c r="K57" s="1015"/>
      <c r="L57" s="1015"/>
    </row>
    <row r="58" spans="2:12" ht="15">
      <c r="B58" s="1015" t="s">
        <v>3</v>
      </c>
      <c r="C58" s="1015"/>
      <c r="D58" s="1015"/>
      <c r="E58" s="1015"/>
      <c r="F58" s="1015"/>
      <c r="G58" s="1015"/>
      <c r="H58" s="1015"/>
      <c r="I58" s="1015"/>
      <c r="J58" s="1015"/>
      <c r="K58" s="1015"/>
      <c r="L58" s="1015"/>
    </row>
    <row r="59" spans="2:12" ht="15">
      <c r="B59" s="1015" t="s">
        <v>4</v>
      </c>
      <c r="C59" s="1015"/>
      <c r="D59" s="1015"/>
      <c r="E59" s="1015"/>
      <c r="F59" s="1015"/>
      <c r="G59" s="1015"/>
      <c r="H59" s="1015"/>
      <c r="I59" s="1015"/>
      <c r="J59" s="1015"/>
      <c r="K59" s="1015"/>
      <c r="L59" s="1015"/>
    </row>
    <row r="60" spans="2:12" ht="15">
      <c r="B60" s="1015"/>
      <c r="C60" s="1015"/>
      <c r="D60" s="1015"/>
      <c r="E60" s="1015"/>
      <c r="F60" s="1015"/>
      <c r="G60" s="1015"/>
      <c r="H60" s="1015"/>
      <c r="I60" s="1015"/>
      <c r="J60" s="1015"/>
      <c r="K60" s="1015"/>
      <c r="L60" s="1015"/>
    </row>
    <row r="61" spans="2:12" ht="15">
      <c r="B61" s="1015"/>
      <c r="C61" s="1015"/>
      <c r="D61" s="1015"/>
      <c r="E61" s="1015"/>
      <c r="F61" s="1015"/>
      <c r="G61" s="1015"/>
      <c r="H61" s="1015"/>
      <c r="I61" s="1015"/>
      <c r="J61" s="1015"/>
      <c r="K61" s="1015"/>
      <c r="L61" s="1015"/>
    </row>
    <row r="62" spans="2:12" ht="15">
      <c r="B62" s="1015"/>
      <c r="C62" s="1015"/>
      <c r="D62" s="1015"/>
      <c r="E62" s="1015"/>
      <c r="F62" s="1015"/>
      <c r="G62" s="1015"/>
      <c r="H62" s="1015"/>
      <c r="I62" s="1015"/>
      <c r="J62" s="1015"/>
      <c r="K62" s="1015"/>
      <c r="L62" s="1015"/>
    </row>
    <row r="63" spans="2:12" ht="15">
      <c r="B63" s="1015"/>
      <c r="C63" s="1015"/>
      <c r="D63" s="1015"/>
      <c r="E63" s="1015"/>
      <c r="F63" s="1015"/>
      <c r="G63" s="1015"/>
      <c r="H63" s="1015"/>
      <c r="I63" s="1015"/>
      <c r="J63" s="1015"/>
      <c r="K63" s="1015"/>
      <c r="L63" s="1015"/>
    </row>
    <row r="64" spans="2:12" ht="15">
      <c r="B64" s="1015"/>
      <c r="C64" s="1015"/>
      <c r="D64" s="1015"/>
      <c r="E64" s="1015"/>
      <c r="F64" s="1015"/>
      <c r="G64" s="1015"/>
      <c r="H64" s="1015"/>
      <c r="I64" s="1015"/>
      <c r="J64" s="1015"/>
      <c r="K64" s="1015"/>
      <c r="L64" s="1015"/>
    </row>
    <row r="65" spans="2:12" ht="15">
      <c r="B65" s="1015"/>
      <c r="C65" s="1015"/>
      <c r="D65" s="1015"/>
      <c r="E65" s="1015"/>
      <c r="F65" s="1015"/>
      <c r="G65" s="1015"/>
      <c r="H65" s="1015"/>
      <c r="I65" s="1015"/>
      <c r="J65" s="1015"/>
      <c r="K65" s="1015"/>
      <c r="L65" s="1015"/>
    </row>
    <row r="66" spans="2:12" ht="15">
      <c r="B66" s="1015"/>
      <c r="C66" s="1015"/>
      <c r="D66" s="1015"/>
      <c r="E66" s="1015"/>
      <c r="F66" s="1015"/>
      <c r="G66" s="1015"/>
      <c r="H66" s="1015"/>
      <c r="I66" s="1015"/>
      <c r="J66" s="1015"/>
      <c r="K66" s="1015"/>
      <c r="L66" s="1015"/>
    </row>
    <row r="67" spans="2:12" ht="15">
      <c r="B67" s="1015"/>
      <c r="C67" s="1015"/>
      <c r="D67" s="1015"/>
      <c r="E67" s="1015"/>
      <c r="F67" s="1015"/>
      <c r="G67" s="1015"/>
      <c r="H67" s="1015"/>
      <c r="I67" s="1015"/>
      <c r="J67" s="1015"/>
      <c r="K67" s="1015"/>
      <c r="L67" s="1015"/>
    </row>
    <row r="68" spans="2:12" ht="15">
      <c r="B68" s="1015"/>
      <c r="C68" s="1015"/>
      <c r="D68" s="1015"/>
      <c r="E68" s="1015"/>
      <c r="F68" s="1015"/>
      <c r="G68" s="1015"/>
      <c r="H68" s="1015"/>
      <c r="I68" s="1015"/>
      <c r="J68" s="1015"/>
      <c r="K68" s="1015"/>
      <c r="L68" s="1015"/>
    </row>
    <row r="69" spans="2:12" ht="15">
      <c r="B69" s="1015"/>
      <c r="C69" s="1015"/>
      <c r="D69" s="1015"/>
      <c r="E69" s="1015"/>
      <c r="F69" s="1015"/>
      <c r="G69" s="1015"/>
      <c r="H69" s="1015"/>
      <c r="I69" s="1015"/>
      <c r="J69" s="1015"/>
      <c r="K69" s="1015"/>
      <c r="L69" s="1015"/>
    </row>
    <row r="70" spans="2:12" ht="15">
      <c r="B70" s="1015"/>
      <c r="C70" s="1015"/>
      <c r="D70" s="1015"/>
      <c r="E70" s="1015"/>
      <c r="F70" s="1015"/>
      <c r="G70" s="1015"/>
      <c r="H70" s="1015"/>
      <c r="I70" s="1015"/>
      <c r="J70" s="1015"/>
      <c r="K70" s="1015"/>
      <c r="L70" s="1015"/>
    </row>
    <row r="71" spans="2:12" ht="15">
      <c r="B71" s="1015"/>
      <c r="C71" s="1015"/>
      <c r="D71" s="1015"/>
      <c r="E71" s="1015"/>
      <c r="F71" s="1015"/>
      <c r="G71" s="1015"/>
      <c r="H71" s="1015"/>
      <c r="I71" s="1015"/>
      <c r="J71" s="1015"/>
      <c r="K71" s="1015"/>
      <c r="L71" s="1015"/>
    </row>
    <row r="72" spans="2:12" ht="15">
      <c r="B72" s="1015"/>
      <c r="C72" s="1015"/>
      <c r="D72" s="1015"/>
      <c r="E72" s="1015"/>
      <c r="F72" s="1015"/>
      <c r="G72" s="1015"/>
      <c r="H72" s="1015"/>
      <c r="I72" s="1015"/>
      <c r="J72" s="1015"/>
      <c r="K72" s="1015"/>
      <c r="L72" s="1015"/>
    </row>
    <row r="73" spans="2:12" ht="15">
      <c r="B73" s="1015"/>
      <c r="C73" s="1015"/>
      <c r="D73" s="1015"/>
      <c r="E73" s="1015"/>
      <c r="F73" s="1015"/>
      <c r="G73" s="1015"/>
      <c r="H73" s="1015"/>
      <c r="I73" s="1015"/>
      <c r="J73" s="1015"/>
      <c r="K73" s="1015"/>
      <c r="L73" s="1015"/>
    </row>
    <row r="74" spans="2:12" ht="15">
      <c r="B74" s="1015"/>
      <c r="C74" s="1015"/>
      <c r="D74" s="1015"/>
      <c r="E74" s="1015"/>
      <c r="F74" s="1015"/>
      <c r="G74" s="1015"/>
      <c r="H74" s="1015"/>
      <c r="I74" s="1015"/>
      <c r="J74" s="1015"/>
      <c r="K74" s="1015"/>
      <c r="L74" s="1015"/>
    </row>
    <row r="75" spans="2:7" ht="15">
      <c r="B75" s="1015"/>
      <c r="F75" s="1015"/>
      <c r="G75" s="1015"/>
    </row>
    <row r="76" spans="2:7" ht="15">
      <c r="B76" s="1015"/>
      <c r="F76" s="1015"/>
      <c r="G76" s="1015"/>
    </row>
    <row r="77" spans="2:7" ht="15">
      <c r="B77" s="1015"/>
      <c r="F77" s="1015"/>
      <c r="G77" s="1015"/>
    </row>
    <row r="78" ht="15">
      <c r="B78" s="1015"/>
    </row>
  </sheetData>
  <sheetProtection password="EE60" sheet="1"/>
  <mergeCells count="1">
    <mergeCell ref="B1:L1"/>
  </mergeCells>
  <printOptions/>
  <pageMargins left="0.25" right="0.25" top="0.75" bottom="0.75" header="0.3" footer="0.3"/>
  <pageSetup fitToHeight="1" fitToWidth="1" horizontalDpi="600" verticalDpi="600" orientation="landscape" scale="64" r:id="rId1"/>
</worksheet>
</file>

<file path=xl/worksheets/sheet12.xml><?xml version="1.0" encoding="utf-8"?>
<worksheet xmlns="http://schemas.openxmlformats.org/spreadsheetml/2006/main" xmlns:r="http://schemas.openxmlformats.org/officeDocument/2006/relationships">
  <sheetPr codeName="Sheet13"/>
  <dimension ref="A2:IV59"/>
  <sheetViews>
    <sheetView showGridLines="0" view="pageBreakPreview" zoomScale="60" zoomScaleNormal="60" workbookViewId="0" topLeftCell="B1">
      <selection activeCell="G40" sqref="G40"/>
    </sheetView>
  </sheetViews>
  <sheetFormatPr defaultColWidth="8.88671875" defaultRowHeight="15"/>
  <cols>
    <col min="1" max="1" width="3.5546875" style="440" customWidth="1"/>
    <col min="2" max="2" width="32.77734375" style="446" customWidth="1"/>
    <col min="3" max="3" width="16.88671875" style="440" customWidth="1"/>
    <col min="4" max="4" width="16.77734375" style="440" customWidth="1"/>
    <col min="5" max="5" width="16.99609375" style="440" customWidth="1"/>
    <col min="6" max="6" width="3.6640625" style="440" customWidth="1"/>
    <col min="7" max="7" width="27.4453125" style="440" customWidth="1"/>
    <col min="8" max="8" width="16.88671875" style="440" customWidth="1"/>
    <col min="9" max="9" width="19.10546875" style="440" customWidth="1"/>
    <col min="10" max="11" width="16.88671875" style="440" customWidth="1"/>
    <col min="12" max="12" width="16.99609375" style="935" hidden="1" customWidth="1"/>
    <col min="13" max="13" width="0" style="935" hidden="1" customWidth="1"/>
    <col min="14" max="19" width="8.88671875" style="1043" customWidth="1"/>
    <col min="20" max="16384" width="8.88671875" style="440" customWidth="1"/>
  </cols>
  <sheetData>
    <row r="2" spans="1:256" ht="33" customHeight="1">
      <c r="A2" s="1598" t="s">
        <v>1624</v>
      </c>
      <c r="B2" s="1598"/>
      <c r="C2" s="1598"/>
      <c r="D2" s="1598"/>
      <c r="E2" s="1598"/>
      <c r="F2" s="1598"/>
      <c r="G2" s="1598"/>
      <c r="H2" s="1598"/>
      <c r="I2" s="1598"/>
      <c r="J2" s="1044"/>
      <c r="K2" s="1044"/>
      <c r="L2" s="936"/>
      <c r="M2" s="936"/>
      <c r="N2" s="1045"/>
      <c r="O2" s="1045"/>
      <c r="P2" s="1045"/>
      <c r="Q2" s="1045"/>
      <c r="R2" s="1045"/>
      <c r="S2" s="1045"/>
      <c r="T2" s="441"/>
      <c r="U2" s="441"/>
      <c r="V2" s="441"/>
      <c r="W2" s="441"/>
      <c r="X2" s="441"/>
      <c r="Y2" s="441"/>
      <c r="Z2" s="441"/>
      <c r="AA2" s="441"/>
      <c r="AB2" s="441"/>
      <c r="AC2" s="441"/>
      <c r="AD2" s="441"/>
      <c r="AE2" s="441"/>
      <c r="AF2" s="441"/>
      <c r="AG2" s="441"/>
      <c r="AH2" s="441"/>
      <c r="AI2" s="441"/>
      <c r="AJ2" s="441"/>
      <c r="AK2" s="441"/>
      <c r="AL2" s="441"/>
      <c r="AM2" s="441"/>
      <c r="AN2" s="441"/>
      <c r="AO2" s="441"/>
      <c r="AP2" s="441"/>
      <c r="AQ2" s="441"/>
      <c r="AR2" s="441"/>
      <c r="AS2" s="441"/>
      <c r="AT2" s="441"/>
      <c r="AU2" s="441"/>
      <c r="AV2" s="441"/>
      <c r="AW2" s="441"/>
      <c r="AX2" s="441"/>
      <c r="AY2" s="441"/>
      <c r="AZ2" s="441"/>
      <c r="BA2" s="441"/>
      <c r="BB2" s="441"/>
      <c r="BC2" s="441"/>
      <c r="BD2" s="441"/>
      <c r="BE2" s="441"/>
      <c r="BF2" s="441"/>
      <c r="BG2" s="441"/>
      <c r="BH2" s="441"/>
      <c r="BI2" s="441"/>
      <c r="BJ2" s="441"/>
      <c r="BK2" s="441"/>
      <c r="BL2" s="441"/>
      <c r="BM2" s="441"/>
      <c r="BN2" s="441"/>
      <c r="BO2" s="441"/>
      <c r="BP2" s="441"/>
      <c r="BQ2" s="441"/>
      <c r="BR2" s="441"/>
      <c r="BS2" s="441"/>
      <c r="BT2" s="441"/>
      <c r="BU2" s="441"/>
      <c r="BV2" s="441"/>
      <c r="BW2" s="441"/>
      <c r="BX2" s="441"/>
      <c r="BY2" s="441"/>
      <c r="BZ2" s="441"/>
      <c r="CA2" s="441"/>
      <c r="CB2" s="441"/>
      <c r="CC2" s="441"/>
      <c r="CD2" s="441"/>
      <c r="CE2" s="441"/>
      <c r="CF2" s="441"/>
      <c r="CG2" s="441"/>
      <c r="CH2" s="441"/>
      <c r="CI2" s="441"/>
      <c r="CJ2" s="441"/>
      <c r="CK2" s="441"/>
      <c r="CL2" s="441"/>
      <c r="CM2" s="441"/>
      <c r="CN2" s="441"/>
      <c r="CO2" s="441"/>
      <c r="CP2" s="441"/>
      <c r="CQ2" s="441"/>
      <c r="CR2" s="441"/>
      <c r="CS2" s="441"/>
      <c r="CT2" s="441"/>
      <c r="CU2" s="441"/>
      <c r="CV2" s="441"/>
      <c r="CW2" s="441"/>
      <c r="CX2" s="441"/>
      <c r="CY2" s="441"/>
      <c r="CZ2" s="441"/>
      <c r="DA2" s="441"/>
      <c r="DB2" s="441"/>
      <c r="DC2" s="441"/>
      <c r="DD2" s="441"/>
      <c r="DE2" s="441"/>
      <c r="DF2" s="441"/>
      <c r="DG2" s="441"/>
      <c r="DH2" s="441"/>
      <c r="DI2" s="441"/>
      <c r="DJ2" s="441"/>
      <c r="DK2" s="441"/>
      <c r="DL2" s="441"/>
      <c r="DM2" s="441"/>
      <c r="DN2" s="441"/>
      <c r="DO2" s="441"/>
      <c r="DP2" s="441"/>
      <c r="DQ2" s="441"/>
      <c r="DR2" s="441"/>
      <c r="DS2" s="441"/>
      <c r="DT2" s="441"/>
      <c r="DU2" s="441"/>
      <c r="DV2" s="441"/>
      <c r="DW2" s="441"/>
      <c r="DX2" s="441"/>
      <c r="DY2" s="441"/>
      <c r="DZ2" s="441"/>
      <c r="EA2" s="441"/>
      <c r="EB2" s="441"/>
      <c r="EC2" s="441"/>
      <c r="ED2" s="441"/>
      <c r="EE2" s="441"/>
      <c r="EF2" s="441"/>
      <c r="EG2" s="441"/>
      <c r="EH2" s="441"/>
      <c r="EI2" s="441"/>
      <c r="EJ2" s="441"/>
      <c r="EK2" s="441"/>
      <c r="EL2" s="441"/>
      <c r="EM2" s="441"/>
      <c r="EN2" s="441"/>
      <c r="EO2" s="441"/>
      <c r="EP2" s="441"/>
      <c r="EQ2" s="441"/>
      <c r="ER2" s="441"/>
      <c r="ES2" s="441"/>
      <c r="ET2" s="441"/>
      <c r="EU2" s="441"/>
      <c r="EV2" s="441"/>
      <c r="EW2" s="441"/>
      <c r="EX2" s="441"/>
      <c r="EY2" s="441"/>
      <c r="EZ2" s="441"/>
      <c r="FA2" s="441"/>
      <c r="FB2" s="441"/>
      <c r="FC2" s="441"/>
      <c r="FD2" s="441"/>
      <c r="FE2" s="441"/>
      <c r="FF2" s="441"/>
      <c r="FG2" s="441"/>
      <c r="FH2" s="441"/>
      <c r="FI2" s="441"/>
      <c r="FJ2" s="441"/>
      <c r="FK2" s="441"/>
      <c r="FL2" s="441"/>
      <c r="FM2" s="441"/>
      <c r="FN2" s="441"/>
      <c r="FO2" s="441"/>
      <c r="FP2" s="441"/>
      <c r="FQ2" s="441"/>
      <c r="FR2" s="441"/>
      <c r="FS2" s="441"/>
      <c r="FT2" s="441"/>
      <c r="FU2" s="441"/>
      <c r="FV2" s="441"/>
      <c r="FW2" s="441"/>
      <c r="FX2" s="441"/>
      <c r="FY2" s="441"/>
      <c r="FZ2" s="441"/>
      <c r="GA2" s="441"/>
      <c r="GB2" s="441"/>
      <c r="GC2" s="441"/>
      <c r="GD2" s="441"/>
      <c r="GE2" s="441"/>
      <c r="GF2" s="441"/>
      <c r="GG2" s="441"/>
      <c r="GH2" s="441"/>
      <c r="GI2" s="441"/>
      <c r="GJ2" s="441"/>
      <c r="GK2" s="441"/>
      <c r="GL2" s="441"/>
      <c r="GM2" s="441"/>
      <c r="GN2" s="441"/>
      <c r="GO2" s="441"/>
      <c r="GP2" s="441"/>
      <c r="GQ2" s="441"/>
      <c r="GR2" s="441"/>
      <c r="GS2" s="441"/>
      <c r="GT2" s="441"/>
      <c r="GU2" s="441"/>
      <c r="GV2" s="441"/>
      <c r="GW2" s="441"/>
      <c r="GX2" s="441"/>
      <c r="GY2" s="441"/>
      <c r="GZ2" s="441"/>
      <c r="HA2" s="441"/>
      <c r="HB2" s="441"/>
      <c r="HC2" s="441"/>
      <c r="HD2" s="441"/>
      <c r="HE2" s="441"/>
      <c r="HF2" s="441"/>
      <c r="HG2" s="441"/>
      <c r="HH2" s="441"/>
      <c r="HI2" s="441"/>
      <c r="HJ2" s="441"/>
      <c r="HK2" s="441"/>
      <c r="HL2" s="441"/>
      <c r="HM2" s="441"/>
      <c r="HN2" s="441"/>
      <c r="HO2" s="441"/>
      <c r="HP2" s="441"/>
      <c r="HQ2" s="441"/>
      <c r="HR2" s="441"/>
      <c r="HS2" s="441"/>
      <c r="HT2" s="441"/>
      <c r="HU2" s="441"/>
      <c r="HV2" s="441"/>
      <c r="HW2" s="441"/>
      <c r="HX2" s="441"/>
      <c r="HY2" s="441"/>
      <c r="HZ2" s="441"/>
      <c r="IA2" s="441"/>
      <c r="IB2" s="441"/>
      <c r="IC2" s="441"/>
      <c r="ID2" s="441"/>
      <c r="IE2" s="441"/>
      <c r="IF2" s="441"/>
      <c r="IG2" s="441"/>
      <c r="IH2" s="441"/>
      <c r="II2" s="441"/>
      <c r="IJ2" s="441"/>
      <c r="IK2" s="441"/>
      <c r="IL2" s="441"/>
      <c r="IM2" s="441"/>
      <c r="IN2" s="441"/>
      <c r="IO2" s="441"/>
      <c r="IP2" s="441"/>
      <c r="IQ2" s="441"/>
      <c r="IR2" s="441"/>
      <c r="IS2" s="441"/>
      <c r="IT2" s="441"/>
      <c r="IU2" s="441"/>
      <c r="IV2" s="441"/>
    </row>
    <row r="3" spans="2:3" ht="33" customHeight="1">
      <c r="B3" s="1046"/>
      <c r="C3" s="1047"/>
    </row>
    <row r="4" spans="2:4" ht="24.75" customHeight="1" thickBot="1">
      <c r="B4" s="1046" t="s">
        <v>894</v>
      </c>
      <c r="C4" s="1599"/>
      <c r="D4" s="1599"/>
    </row>
    <row r="5" spans="2:4" ht="24.75" customHeight="1" thickBot="1">
      <c r="B5" s="1046" t="s">
        <v>895</v>
      </c>
      <c r="C5" s="1600"/>
      <c r="D5" s="1601"/>
    </row>
    <row r="6" spans="2:4" ht="24.75" customHeight="1" thickBot="1">
      <c r="B6" s="1046" t="s">
        <v>896</v>
      </c>
      <c r="C6" s="1600"/>
      <c r="D6" s="1601"/>
    </row>
    <row r="9" ht="13.5" thickBot="1"/>
    <row r="10" spans="2:13" ht="24.75" customHeight="1">
      <c r="B10" s="440"/>
      <c r="D10" s="1048"/>
      <c r="G10" s="1049" t="s">
        <v>1426</v>
      </c>
      <c r="H10" s="876"/>
      <c r="I10" s="1050"/>
      <c r="J10" s="1050"/>
      <c r="K10" s="1050"/>
      <c r="L10" s="935">
        <v>1</v>
      </c>
      <c r="M10" s="937">
        <f>H12</f>
        <v>350000</v>
      </c>
    </row>
    <row r="11" spans="2:13" ht="9.75" customHeight="1">
      <c r="B11" s="440"/>
      <c r="G11" s="877"/>
      <c r="H11" s="878"/>
      <c r="I11" s="1050"/>
      <c r="J11" s="1050"/>
      <c r="K11" s="1050"/>
      <c r="L11" s="935">
        <v>2</v>
      </c>
      <c r="M11" s="937">
        <f>H12</f>
        <v>350000</v>
      </c>
    </row>
    <row r="12" spans="2:13" ht="24.75" customHeight="1" thickBot="1">
      <c r="B12" s="1051" t="s">
        <v>898</v>
      </c>
      <c r="C12" s="853"/>
      <c r="D12" s="1048" t="s">
        <v>899</v>
      </c>
      <c r="G12" s="877" t="s">
        <v>1427</v>
      </c>
      <c r="H12" s="879">
        <v>350000</v>
      </c>
      <c r="I12" s="1050"/>
      <c r="J12" s="1050"/>
      <c r="K12" s="1050"/>
      <c r="L12" s="935">
        <v>3</v>
      </c>
      <c r="M12" s="937">
        <f>H12</f>
        <v>350000</v>
      </c>
    </row>
    <row r="13" spans="2:13" ht="9.75" customHeight="1" thickTop="1">
      <c r="B13" s="440"/>
      <c r="C13" s="1047"/>
      <c r="G13" s="877"/>
      <c r="H13" s="879"/>
      <c r="I13" s="1050"/>
      <c r="J13" s="1050"/>
      <c r="K13" s="1050"/>
      <c r="L13" s="935">
        <v>4</v>
      </c>
      <c r="M13" s="937">
        <f>H12</f>
        <v>350000</v>
      </c>
    </row>
    <row r="14" spans="2:13" ht="24.75" customHeight="1" thickBot="1">
      <c r="B14" s="1051" t="s">
        <v>900</v>
      </c>
      <c r="C14" s="853"/>
      <c r="D14" s="1048" t="s">
        <v>899</v>
      </c>
      <c r="G14" s="877" t="s">
        <v>1428</v>
      </c>
      <c r="H14" s="879">
        <v>380000</v>
      </c>
      <c r="I14" s="1050"/>
      <c r="J14" s="1050"/>
      <c r="K14" s="1050"/>
      <c r="L14" s="935">
        <v>5</v>
      </c>
      <c r="M14" s="937">
        <f>H14</f>
        <v>380000</v>
      </c>
    </row>
    <row r="15" spans="2:13" ht="9.75" customHeight="1" thickTop="1">
      <c r="B15" s="440"/>
      <c r="C15" s="1047"/>
      <c r="G15" s="877"/>
      <c r="H15" s="879"/>
      <c r="I15" s="1050"/>
      <c r="J15" s="1050"/>
      <c r="K15" s="1050"/>
      <c r="L15" s="935">
        <v>6</v>
      </c>
      <c r="M15" s="937">
        <f>H14</f>
        <v>380000</v>
      </c>
    </row>
    <row r="16" spans="2:13" ht="24.75" customHeight="1" thickBot="1">
      <c r="B16" s="1051" t="s">
        <v>901</v>
      </c>
      <c r="C16" s="1052">
        <f>C32</f>
      </c>
      <c r="D16" s="1048"/>
      <c r="G16" s="880" t="s">
        <v>1429</v>
      </c>
      <c r="H16" s="881">
        <v>410000</v>
      </c>
      <c r="I16" s="1050"/>
      <c r="J16" s="1050"/>
      <c r="K16" s="1050"/>
      <c r="L16" s="935">
        <v>7</v>
      </c>
      <c r="M16" s="937">
        <f>H16</f>
        <v>410000</v>
      </c>
    </row>
    <row r="17" spans="2:13" ht="9.75" customHeight="1" thickTop="1">
      <c r="B17" s="1051"/>
      <c r="C17" s="875"/>
      <c r="D17" s="1048"/>
      <c r="L17" s="935">
        <v>8</v>
      </c>
      <c r="M17" s="937">
        <f>$H$16</f>
        <v>410000</v>
      </c>
    </row>
    <row r="18" spans="2:13" ht="24.75" customHeight="1" thickBot="1">
      <c r="B18" s="1051" t="s">
        <v>1425</v>
      </c>
      <c r="C18" s="853"/>
      <c r="D18" s="1048"/>
      <c r="L18" s="935">
        <v>9</v>
      </c>
      <c r="M18" s="937">
        <f aca="true" t="shared" si="0" ref="M18:M59">$H$16</f>
        <v>410000</v>
      </c>
    </row>
    <row r="19" spans="3:13" ht="24.75" customHeight="1" thickTop="1">
      <c r="C19" s="1047"/>
      <c r="L19" s="935">
        <v>10</v>
      </c>
      <c r="M19" s="937">
        <f t="shared" si="0"/>
        <v>410000</v>
      </c>
    </row>
    <row r="20" spans="12:13" ht="13.5" thickBot="1">
      <c r="L20" s="935">
        <v>11</v>
      </c>
      <c r="M20" s="937">
        <f t="shared" si="0"/>
        <v>410000</v>
      </c>
    </row>
    <row r="21" spans="2:13" ht="15.75" thickTop="1">
      <c r="B21" s="1053"/>
      <c r="C21" s="1054"/>
      <c r="D21" s="1054"/>
      <c r="E21" s="1055"/>
      <c r="G21" s="1056" t="s">
        <v>897</v>
      </c>
      <c r="H21" s="1057"/>
      <c r="I21" s="1058"/>
      <c r="L21" s="935">
        <v>12</v>
      </c>
      <c r="M21" s="937">
        <f t="shared" si="0"/>
        <v>410000</v>
      </c>
    </row>
    <row r="22" spans="2:13" ht="15.75" thickBot="1">
      <c r="B22" s="1059"/>
      <c r="C22" s="1060"/>
      <c r="D22" s="1061"/>
      <c r="E22" s="1062"/>
      <c r="G22" s="442"/>
      <c r="I22" s="443"/>
      <c r="L22" s="935">
        <v>13</v>
      </c>
      <c r="M22" s="937">
        <f t="shared" si="0"/>
        <v>410000</v>
      </c>
    </row>
    <row r="23" spans="2:13" ht="15.75" thickTop="1">
      <c r="B23" s="1063"/>
      <c r="C23" s="446"/>
      <c r="D23" s="446"/>
      <c r="E23" s="1064" t="s">
        <v>902</v>
      </c>
      <c r="G23" s="1065" t="s">
        <v>1147</v>
      </c>
      <c r="I23" s="1066">
        <f>+Breakdown!L21</f>
        <v>0</v>
      </c>
      <c r="J23" s="1067"/>
      <c r="K23" s="1067"/>
      <c r="L23" s="935">
        <v>14</v>
      </c>
      <c r="M23" s="937">
        <f t="shared" si="0"/>
        <v>410000</v>
      </c>
    </row>
    <row r="24" spans="2:13" ht="15">
      <c r="B24" s="1063" t="s">
        <v>775</v>
      </c>
      <c r="C24" s="446" t="s">
        <v>902</v>
      </c>
      <c r="D24" s="446" t="s">
        <v>903</v>
      </c>
      <c r="E24" s="1068" t="s">
        <v>904</v>
      </c>
      <c r="G24" s="442"/>
      <c r="I24" s="1069"/>
      <c r="J24" s="1070"/>
      <c r="K24" s="1070"/>
      <c r="L24" s="935">
        <v>15</v>
      </c>
      <c r="M24" s="937">
        <f t="shared" si="0"/>
        <v>410000</v>
      </c>
    </row>
    <row r="25" spans="2:13" ht="15">
      <c r="B25" s="1071"/>
      <c r="C25" s="1072" t="s">
        <v>905</v>
      </c>
      <c r="D25" s="1072" t="s">
        <v>906</v>
      </c>
      <c r="E25" s="1073" t="s">
        <v>907</v>
      </c>
      <c r="G25" s="1065" t="s">
        <v>1551</v>
      </c>
      <c r="I25" s="1066">
        <f>+Breakdown!L26</f>
        <v>0</v>
      </c>
      <c r="J25" s="1067"/>
      <c r="K25" s="1067"/>
      <c r="L25" s="935">
        <f>L24+1</f>
        <v>16</v>
      </c>
      <c r="M25" s="937">
        <f t="shared" si="0"/>
        <v>410000</v>
      </c>
    </row>
    <row r="26" spans="2:13" ht="24.75" customHeight="1">
      <c r="B26" s="1074" t="s">
        <v>908</v>
      </c>
      <c r="C26" s="854"/>
      <c r="D26" s="1075" t="e">
        <f>IF(OR(C12="Y",C14="Y"),"N/A",(VLOOKUP(C18,L10:M59,2)))</f>
        <v>#N/A</v>
      </c>
      <c r="E26" s="1076">
        <f aca="true" t="shared" si="1" ref="E26:E31">_xlfn.IFERROR(+C26*D26,"")</f>
      </c>
      <c r="G26" s="442"/>
      <c r="I26" s="443"/>
      <c r="L26" s="935">
        <f aca="true" t="shared" si="2" ref="L26:L59">L25+1</f>
        <v>17</v>
      </c>
      <c r="M26" s="937">
        <f t="shared" si="0"/>
        <v>410000</v>
      </c>
    </row>
    <row r="27" spans="2:13" ht="24.75" customHeight="1" thickBot="1">
      <c r="B27" s="1077" t="s">
        <v>909</v>
      </c>
      <c r="C27" s="854"/>
      <c r="D27" s="1075" t="e">
        <f>$D$26</f>
        <v>#N/A</v>
      </c>
      <c r="E27" s="1076">
        <f t="shared" si="1"/>
      </c>
      <c r="G27" s="1078" t="s">
        <v>803</v>
      </c>
      <c r="H27" s="444"/>
      <c r="I27" s="445">
        <f>+I23+I25</f>
        <v>0</v>
      </c>
      <c r="J27" s="1067"/>
      <c r="K27" s="1067"/>
      <c r="L27" s="935">
        <f t="shared" si="2"/>
        <v>18</v>
      </c>
      <c r="M27" s="937">
        <f t="shared" si="0"/>
        <v>410000</v>
      </c>
    </row>
    <row r="28" spans="2:13" ht="24.75" customHeight="1" thickTop="1">
      <c r="B28" s="1077" t="s">
        <v>910</v>
      </c>
      <c r="C28" s="854"/>
      <c r="D28" s="1075" t="e">
        <f>$D$26</f>
        <v>#N/A</v>
      </c>
      <c r="E28" s="1076">
        <f t="shared" si="1"/>
      </c>
      <c r="G28" s="1079"/>
      <c r="H28" s="1079"/>
      <c r="I28" s="1079"/>
      <c r="J28" s="1079"/>
      <c r="K28" s="1079"/>
      <c r="L28" s="935">
        <f t="shared" si="2"/>
        <v>19</v>
      </c>
      <c r="M28" s="937">
        <f t="shared" si="0"/>
        <v>410000</v>
      </c>
    </row>
    <row r="29" spans="2:13" ht="24.75" customHeight="1" thickBot="1">
      <c r="B29" s="1077" t="s">
        <v>911</v>
      </c>
      <c r="C29" s="854"/>
      <c r="D29" s="1075" t="e">
        <f>$D$26</f>
        <v>#N/A</v>
      </c>
      <c r="E29" s="1076">
        <f t="shared" si="1"/>
      </c>
      <c r="G29" s="1079"/>
      <c r="H29" s="1079"/>
      <c r="I29" s="1079"/>
      <c r="J29" s="1079"/>
      <c r="K29" s="1079"/>
      <c r="L29" s="935">
        <f t="shared" si="2"/>
        <v>20</v>
      </c>
      <c r="M29" s="937">
        <f t="shared" si="0"/>
        <v>410000</v>
      </c>
    </row>
    <row r="30" spans="2:13" ht="24.75" customHeight="1" thickBot="1" thickTop="1">
      <c r="B30" s="1077" t="s">
        <v>912</v>
      </c>
      <c r="C30" s="854"/>
      <c r="D30" s="1075" t="e">
        <f>$D$26</f>
        <v>#N/A</v>
      </c>
      <c r="E30" s="1076">
        <f t="shared" si="1"/>
      </c>
      <c r="G30" s="855" t="s">
        <v>1404</v>
      </c>
      <c r="H30" s="856"/>
      <c r="I30" s="1080">
        <f>+I27+E32</f>
        <v>0</v>
      </c>
      <c r="J30" s="1081"/>
      <c r="K30" s="1081"/>
      <c r="L30" s="935">
        <f t="shared" si="2"/>
        <v>21</v>
      </c>
      <c r="M30" s="937">
        <f t="shared" si="0"/>
        <v>410000</v>
      </c>
    </row>
    <row r="31" spans="2:13" ht="24.75" customHeight="1" thickTop="1">
      <c r="B31" s="1077" t="s">
        <v>913</v>
      </c>
      <c r="C31" s="854"/>
      <c r="D31" s="1075" t="e">
        <f>$D$26</f>
        <v>#N/A</v>
      </c>
      <c r="E31" s="1076">
        <f t="shared" si="1"/>
      </c>
      <c r="G31" s="1079"/>
      <c r="H31" s="1079"/>
      <c r="I31" s="1079"/>
      <c r="J31" s="1079"/>
      <c r="K31" s="1079"/>
      <c r="L31" s="935">
        <f t="shared" si="2"/>
        <v>22</v>
      </c>
      <c r="M31" s="937">
        <f t="shared" si="0"/>
        <v>410000</v>
      </c>
    </row>
    <row r="32" spans="2:13" ht="24.75" customHeight="1" thickBot="1">
      <c r="B32" s="1082" t="s">
        <v>1552</v>
      </c>
      <c r="C32" s="1083">
        <f>IF(SUM(C26:C31)=0,"",SUM(C26:C31))</f>
      </c>
      <c r="D32" s="1084"/>
      <c r="E32" s="1085">
        <f>SUM(E26:E31)</f>
        <v>0</v>
      </c>
      <c r="G32" s="1079"/>
      <c r="H32" s="1079"/>
      <c r="I32" s="1079"/>
      <c r="J32" s="1079"/>
      <c r="K32" s="1079"/>
      <c r="L32" s="935">
        <f t="shared" si="2"/>
        <v>23</v>
      </c>
      <c r="M32" s="937">
        <f t="shared" si="0"/>
        <v>410000</v>
      </c>
    </row>
    <row r="33" spans="7:13" ht="13.5" thickTop="1">
      <c r="G33" s="1079"/>
      <c r="H33" s="1079"/>
      <c r="I33" s="1079"/>
      <c r="J33" s="1079"/>
      <c r="K33" s="1079"/>
      <c r="L33" s="935">
        <f t="shared" si="2"/>
        <v>24</v>
      </c>
      <c r="M33" s="937">
        <f t="shared" si="0"/>
        <v>410000</v>
      </c>
    </row>
    <row r="34" spans="12:13" ht="12.75">
      <c r="L34" s="935">
        <f t="shared" si="2"/>
        <v>25</v>
      </c>
      <c r="M34" s="937">
        <f t="shared" si="0"/>
        <v>410000</v>
      </c>
    </row>
    <row r="35" spans="1:13" ht="13.5">
      <c r="A35" s="1428" t="s">
        <v>1625</v>
      </c>
      <c r="L35" s="935">
        <f t="shared" si="2"/>
        <v>26</v>
      </c>
      <c r="M35" s="937">
        <f t="shared" si="0"/>
        <v>410000</v>
      </c>
    </row>
    <row r="36" spans="3:13" ht="18" customHeight="1">
      <c r="C36" s="1429"/>
      <c r="D36" s="1429"/>
      <c r="E36" s="1429"/>
      <c r="F36" s="1429"/>
      <c r="G36" s="1429"/>
      <c r="H36" s="1429"/>
      <c r="I36" s="1429"/>
      <c r="J36" s="1429"/>
      <c r="L36" s="935">
        <f t="shared" si="2"/>
        <v>27</v>
      </c>
      <c r="M36" s="937">
        <f t="shared" si="0"/>
        <v>410000</v>
      </c>
    </row>
    <row r="37" spans="2:13" ht="12.75">
      <c r="B37" s="1086"/>
      <c r="L37" s="935">
        <f t="shared" si="2"/>
        <v>28</v>
      </c>
      <c r="M37" s="937">
        <f t="shared" si="0"/>
        <v>410000</v>
      </c>
    </row>
    <row r="38" spans="4:13" ht="20.25">
      <c r="D38" s="1087"/>
      <c r="E38" s="1087"/>
      <c r="F38" s="1087"/>
      <c r="L38" s="935">
        <f t="shared" si="2"/>
        <v>29</v>
      </c>
      <c r="M38" s="937">
        <f t="shared" si="0"/>
        <v>410000</v>
      </c>
    </row>
    <row r="39" spans="2:13" ht="12.75">
      <c r="B39" s="1086"/>
      <c r="D39" s="1079"/>
      <c r="E39" s="1079"/>
      <c r="F39" s="1079"/>
      <c r="L39" s="935">
        <f t="shared" si="2"/>
        <v>30</v>
      </c>
      <c r="M39" s="937">
        <f t="shared" si="0"/>
        <v>410000</v>
      </c>
    </row>
    <row r="40" spans="4:13" ht="24.75" customHeight="1">
      <c r="D40" s="1079"/>
      <c r="E40" s="1079"/>
      <c r="F40" s="1079"/>
      <c r="L40" s="935">
        <f t="shared" si="2"/>
        <v>31</v>
      </c>
      <c r="M40" s="937">
        <f t="shared" si="0"/>
        <v>410000</v>
      </c>
    </row>
    <row r="41" spans="4:13" ht="24.75" customHeight="1">
      <c r="D41" s="1079"/>
      <c r="E41" s="1079"/>
      <c r="F41" s="1079"/>
      <c r="L41" s="935">
        <f t="shared" si="2"/>
        <v>32</v>
      </c>
      <c r="M41" s="937">
        <f t="shared" si="0"/>
        <v>410000</v>
      </c>
    </row>
    <row r="42" spans="4:13" ht="24.75" customHeight="1">
      <c r="D42" s="1079"/>
      <c r="E42" s="1079"/>
      <c r="F42" s="1079"/>
      <c r="L42" s="935">
        <f t="shared" si="2"/>
        <v>33</v>
      </c>
      <c r="M42" s="937">
        <f t="shared" si="0"/>
        <v>410000</v>
      </c>
    </row>
    <row r="43" spans="4:13" ht="24.75" customHeight="1">
      <c r="D43" s="1079"/>
      <c r="E43" s="1079"/>
      <c r="F43" s="1079"/>
      <c r="L43" s="935">
        <f t="shared" si="2"/>
        <v>34</v>
      </c>
      <c r="M43" s="937">
        <f t="shared" si="0"/>
        <v>410000</v>
      </c>
    </row>
    <row r="44" spans="4:13" ht="24.75" customHeight="1">
      <c r="D44" s="1079"/>
      <c r="E44" s="1079"/>
      <c r="F44" s="1079"/>
      <c r="L44" s="935">
        <f t="shared" si="2"/>
        <v>35</v>
      </c>
      <c r="M44" s="937">
        <f t="shared" si="0"/>
        <v>410000</v>
      </c>
    </row>
    <row r="45" spans="4:13" ht="24.75" customHeight="1">
      <c r="D45" s="1079"/>
      <c r="E45" s="1079"/>
      <c r="F45" s="1079"/>
      <c r="L45" s="935">
        <f t="shared" si="2"/>
        <v>36</v>
      </c>
      <c r="M45" s="937">
        <f t="shared" si="0"/>
        <v>410000</v>
      </c>
    </row>
    <row r="46" spans="12:13" ht="24.75" customHeight="1">
      <c r="L46" s="935">
        <f t="shared" si="2"/>
        <v>37</v>
      </c>
      <c r="M46" s="937">
        <f t="shared" si="0"/>
        <v>410000</v>
      </c>
    </row>
    <row r="47" spans="12:13" ht="12.75">
      <c r="L47" s="935">
        <f t="shared" si="2"/>
        <v>38</v>
      </c>
      <c r="M47" s="937">
        <f t="shared" si="0"/>
        <v>410000</v>
      </c>
    </row>
    <row r="48" spans="4:13" ht="20.25">
      <c r="D48" s="1088"/>
      <c r="L48" s="935">
        <f t="shared" si="2"/>
        <v>39</v>
      </c>
      <c r="M48" s="937">
        <f t="shared" si="0"/>
        <v>410000</v>
      </c>
    </row>
    <row r="49" spans="4:13" ht="20.25">
      <c r="D49" s="1088"/>
      <c r="L49" s="935">
        <f t="shared" si="2"/>
        <v>40</v>
      </c>
      <c r="M49" s="937">
        <f t="shared" si="0"/>
        <v>410000</v>
      </c>
    </row>
    <row r="50" spans="12:13" ht="12.75">
      <c r="L50" s="935">
        <f t="shared" si="2"/>
        <v>41</v>
      </c>
      <c r="M50" s="937">
        <f t="shared" si="0"/>
        <v>410000</v>
      </c>
    </row>
    <row r="51" spans="12:13" ht="12.75">
      <c r="L51" s="935">
        <f t="shared" si="2"/>
        <v>42</v>
      </c>
      <c r="M51" s="937">
        <f t="shared" si="0"/>
        <v>410000</v>
      </c>
    </row>
    <row r="52" spans="12:13" ht="12.75">
      <c r="L52" s="935">
        <f t="shared" si="2"/>
        <v>43</v>
      </c>
      <c r="M52" s="937">
        <f t="shared" si="0"/>
        <v>410000</v>
      </c>
    </row>
    <row r="53" spans="12:13" ht="12.75">
      <c r="L53" s="935">
        <f t="shared" si="2"/>
        <v>44</v>
      </c>
      <c r="M53" s="937">
        <f t="shared" si="0"/>
        <v>410000</v>
      </c>
    </row>
    <row r="54" spans="12:13" ht="12.75">
      <c r="L54" s="935">
        <f t="shared" si="2"/>
        <v>45</v>
      </c>
      <c r="M54" s="937">
        <f t="shared" si="0"/>
        <v>410000</v>
      </c>
    </row>
    <row r="55" spans="2:13" ht="12.75">
      <c r="B55" s="1086"/>
      <c r="L55" s="935">
        <f t="shared" si="2"/>
        <v>46</v>
      </c>
      <c r="M55" s="937">
        <f t="shared" si="0"/>
        <v>410000</v>
      </c>
    </row>
    <row r="56" spans="12:13" ht="12.75">
      <c r="L56" s="935">
        <f t="shared" si="2"/>
        <v>47</v>
      </c>
      <c r="M56" s="937">
        <f t="shared" si="0"/>
        <v>410000</v>
      </c>
    </row>
    <row r="57" spans="12:13" ht="12.75">
      <c r="L57" s="935">
        <f t="shared" si="2"/>
        <v>48</v>
      </c>
      <c r="M57" s="937">
        <f t="shared" si="0"/>
        <v>410000</v>
      </c>
    </row>
    <row r="58" spans="12:13" ht="12.75">
      <c r="L58" s="935">
        <f t="shared" si="2"/>
        <v>49</v>
      </c>
      <c r="M58" s="937">
        <f t="shared" si="0"/>
        <v>410000</v>
      </c>
    </row>
    <row r="59" spans="12:13" ht="12.75">
      <c r="L59" s="935">
        <f t="shared" si="2"/>
        <v>50</v>
      </c>
      <c r="M59" s="937">
        <f t="shared" si="0"/>
        <v>410000</v>
      </c>
    </row>
  </sheetData>
  <sheetProtection password="EE60" sheet="1"/>
  <mergeCells count="4">
    <mergeCell ref="A2:I2"/>
    <mergeCell ref="C4:D4"/>
    <mergeCell ref="C5:D5"/>
    <mergeCell ref="C6:D6"/>
  </mergeCells>
  <printOptions/>
  <pageMargins left="0.75" right="0.75" top="1" bottom="1" header="0.5" footer="0.5"/>
  <pageSetup horizontalDpi="600" verticalDpi="600" orientation="landscape" scale="65" r:id="rId1"/>
  <colBreaks count="1" manualBreakCount="1">
    <brk id="12" max="65535" man="1"/>
  </colBreaks>
</worksheet>
</file>

<file path=xl/worksheets/sheet13.xml><?xml version="1.0" encoding="utf-8"?>
<worksheet xmlns="http://schemas.openxmlformats.org/spreadsheetml/2006/main" xmlns:r="http://schemas.openxmlformats.org/officeDocument/2006/relationships">
  <sheetPr codeName="Sheet7"/>
  <dimension ref="A2:IS139"/>
  <sheetViews>
    <sheetView showGridLines="0" zoomScale="70" zoomScaleNormal="70" zoomScalePageLayoutView="0" workbookViewId="0" topLeftCell="A1">
      <selection activeCell="Q17" sqref="Q17"/>
    </sheetView>
  </sheetViews>
  <sheetFormatPr defaultColWidth="7.99609375" defaultRowHeight="15"/>
  <cols>
    <col min="1" max="1" width="9.5546875" style="399" customWidth="1"/>
    <col min="2" max="2" width="14.6640625" style="400" customWidth="1"/>
    <col min="3" max="3" width="16.3359375" style="400" customWidth="1"/>
    <col min="4" max="4" width="11.5546875" style="400" customWidth="1"/>
    <col min="5" max="5" width="19.99609375" style="1221" customWidth="1"/>
    <col min="6" max="6" width="8.3359375" style="417" customWidth="1"/>
    <col min="7" max="7" width="19.99609375" style="417" customWidth="1"/>
    <col min="8" max="8" width="8.3359375" style="417" customWidth="1"/>
    <col min="9" max="9" width="19.99609375" style="1221" customWidth="1"/>
    <col min="10" max="10" width="4.88671875" style="399" customWidth="1"/>
    <col min="11" max="11" width="9.3359375" style="399" customWidth="1"/>
    <col min="12" max="12" width="17.21484375" style="399" customWidth="1"/>
    <col min="13" max="13" width="28.88671875" style="399" customWidth="1"/>
    <col min="14" max="14" width="2.88671875" style="399" customWidth="1"/>
    <col min="15" max="15" width="24.6640625" style="399" customWidth="1"/>
    <col min="16" max="16" width="7.99609375" style="399" hidden="1" customWidth="1"/>
    <col min="17" max="17" width="7.99609375" style="399" customWidth="1"/>
    <col min="18" max="18" width="15.3359375" style="399" customWidth="1"/>
    <col min="19" max="23" width="7.99609375" style="399" customWidth="1"/>
    <col min="24" max="24" width="12.21484375" style="399" customWidth="1"/>
    <col min="25" max="25" width="10.5546875" style="399" customWidth="1"/>
    <col min="26" max="26" width="8.99609375" style="399" customWidth="1"/>
    <col min="27" max="27" width="12.99609375" style="399" customWidth="1"/>
    <col min="28" max="28" width="9.10546875" style="399" customWidth="1"/>
    <col min="29" max="29" width="9.99609375" style="399" customWidth="1"/>
    <col min="30" max="30" width="12.5546875" style="399" customWidth="1"/>
    <col min="31" max="51" width="7.99609375" style="399" customWidth="1"/>
    <col min="52" max="16384" width="7.99609375" style="400" customWidth="1"/>
  </cols>
  <sheetData>
    <row r="2" spans="1:9" ht="24" customHeight="1">
      <c r="A2" s="396"/>
      <c r="B2" s="397" t="s">
        <v>1602</v>
      </c>
      <c r="C2" s="398"/>
      <c r="D2" s="1201"/>
      <c r="E2" s="1202"/>
      <c r="F2" s="399"/>
      <c r="G2" s="399"/>
      <c r="H2" s="399"/>
      <c r="I2" s="399"/>
    </row>
    <row r="3" spans="1:9" ht="24" customHeight="1">
      <c r="A3" s="396"/>
      <c r="B3" s="398"/>
      <c r="C3" s="398"/>
      <c r="D3" s="398"/>
      <c r="E3" s="401"/>
      <c r="F3" s="399"/>
      <c r="G3" s="399"/>
      <c r="H3" s="399"/>
      <c r="I3" s="399"/>
    </row>
    <row r="4" spans="1:9" ht="24" customHeight="1">
      <c r="A4" s="396"/>
      <c r="B4" s="398"/>
      <c r="C4" s="398"/>
      <c r="D4" s="398"/>
      <c r="E4" s="401"/>
      <c r="F4" s="399"/>
      <c r="G4" s="399"/>
      <c r="H4" s="399"/>
      <c r="I4" s="399"/>
    </row>
    <row r="5" spans="1:9" ht="24" customHeight="1">
      <c r="A5" s="396"/>
      <c r="B5" s="402" t="s">
        <v>918</v>
      </c>
      <c r="C5" s="403">
        <v>0</v>
      </c>
      <c r="D5" s="399"/>
      <c r="E5" s="399"/>
      <c r="F5" s="399"/>
      <c r="G5" s="399"/>
      <c r="H5" s="399"/>
      <c r="I5" s="399"/>
    </row>
    <row r="6" spans="1:9" ht="24" customHeight="1">
      <c r="A6" s="396"/>
      <c r="B6" s="404" t="s">
        <v>895</v>
      </c>
      <c r="C6" s="403">
        <v>0</v>
      </c>
      <c r="D6" s="399"/>
      <c r="E6" s="399"/>
      <c r="F6" s="399"/>
      <c r="G6" s="399"/>
      <c r="H6" s="399"/>
      <c r="I6" s="399"/>
    </row>
    <row r="7" spans="1:9" ht="24" customHeight="1">
      <c r="A7" s="396"/>
      <c r="B7" s="404" t="s">
        <v>896</v>
      </c>
      <c r="C7" s="403">
        <v>0</v>
      </c>
      <c r="D7" s="399"/>
      <c r="E7" s="399"/>
      <c r="F7" s="399"/>
      <c r="G7" s="399"/>
      <c r="H7" s="399"/>
      <c r="I7" s="399"/>
    </row>
    <row r="8" spans="1:83" ht="12.75">
      <c r="A8" s="396"/>
      <c r="B8" s="405"/>
      <c r="C8" s="405"/>
      <c r="D8" s="398"/>
      <c r="E8" s="1202"/>
      <c r="F8" s="1202"/>
      <c r="G8" s="400"/>
      <c r="H8" s="400"/>
      <c r="I8" s="1202"/>
      <c r="BO8" s="406"/>
      <c r="BP8" s="406"/>
      <c r="BQ8" s="406"/>
      <c r="BR8" s="406"/>
      <c r="BS8" s="406"/>
      <c r="BT8" s="406"/>
      <c r="BU8" s="406"/>
      <c r="BV8" s="406"/>
      <c r="BW8" s="406"/>
      <c r="BX8" s="406"/>
      <c r="BY8" s="406"/>
      <c r="BZ8" s="406"/>
      <c r="CA8" s="406"/>
      <c r="CB8" s="406"/>
      <c r="CC8" s="406"/>
      <c r="CD8" s="406"/>
      <c r="CE8" s="406"/>
    </row>
    <row r="9" spans="7:9" s="399" customFormat="1" ht="23.25" customHeight="1">
      <c r="G9" s="407"/>
      <c r="I9" s="1203" t="s">
        <v>757</v>
      </c>
    </row>
    <row r="10" spans="1:9" ht="18">
      <c r="A10" s="1204"/>
      <c r="B10" s="408"/>
      <c r="C10" s="409" t="s">
        <v>1319</v>
      </c>
      <c r="D10" s="409"/>
      <c r="E10" s="1203" t="s">
        <v>923</v>
      </c>
      <c r="F10" s="1203"/>
      <c r="G10" s="1203" t="s">
        <v>996</v>
      </c>
      <c r="H10" s="1203"/>
      <c r="I10" s="1203" t="s">
        <v>997</v>
      </c>
    </row>
    <row r="11" spans="1:9" ht="18">
      <c r="A11" s="1204"/>
      <c r="B11" s="408"/>
      <c r="C11" s="408"/>
      <c r="D11" s="410"/>
      <c r="E11" s="1203" t="s">
        <v>756</v>
      </c>
      <c r="F11" s="1203"/>
      <c r="G11" s="1203" t="s">
        <v>998</v>
      </c>
      <c r="H11" s="1203"/>
      <c r="I11" s="1205"/>
    </row>
    <row r="12" spans="1:9" ht="18">
      <c r="A12" s="396"/>
      <c r="B12" s="411" t="s">
        <v>930</v>
      </c>
      <c r="C12" s="398"/>
      <c r="D12" s="405"/>
      <c r="E12" s="1202"/>
      <c r="F12" s="1202"/>
      <c r="G12" s="1202"/>
      <c r="H12" s="1202"/>
      <c r="I12" s="1202"/>
    </row>
    <row r="13" spans="1:9" ht="18">
      <c r="A13" s="396"/>
      <c r="B13" s="411" t="s">
        <v>931</v>
      </c>
      <c r="C13" s="398"/>
      <c r="D13" s="405"/>
      <c r="E13" s="1206">
        <v>0</v>
      </c>
      <c r="F13" s="1207"/>
      <c r="G13" s="1206" t="s">
        <v>1603</v>
      </c>
      <c r="H13" s="1207"/>
      <c r="I13" s="1205"/>
    </row>
    <row r="14" spans="1:9" ht="18">
      <c r="A14" s="396"/>
      <c r="B14" s="411" t="s">
        <v>932</v>
      </c>
      <c r="C14" s="398"/>
      <c r="D14" s="405"/>
      <c r="E14" s="1206">
        <v>0</v>
      </c>
      <c r="F14" s="1207"/>
      <c r="G14" s="1206" t="s">
        <v>1603</v>
      </c>
      <c r="H14" s="1207"/>
      <c r="I14" s="1205"/>
    </row>
    <row r="15" spans="1:9" ht="18">
      <c r="A15" s="396"/>
      <c r="B15" s="411" t="s">
        <v>933</v>
      </c>
      <c r="C15" s="1208" t="s">
        <v>1603</v>
      </c>
      <c r="D15" s="412"/>
      <c r="E15" s="1206">
        <v>0</v>
      </c>
      <c r="F15" s="1207"/>
      <c r="G15" s="1206" t="s">
        <v>1603</v>
      </c>
      <c r="H15" s="1207"/>
      <c r="I15" s="1205"/>
    </row>
    <row r="16" spans="1:9" ht="15">
      <c r="A16" s="396"/>
      <c r="B16" s="398"/>
      <c r="C16" s="398"/>
      <c r="D16" s="398"/>
      <c r="E16" s="1207"/>
      <c r="F16" s="1207"/>
      <c r="G16" s="1207"/>
      <c r="H16" s="1207"/>
      <c r="I16" s="1207"/>
    </row>
    <row r="17" spans="1:9" ht="18">
      <c r="A17" s="396"/>
      <c r="B17" s="411" t="s">
        <v>934</v>
      </c>
      <c r="C17" s="398"/>
      <c r="D17" s="398"/>
      <c r="E17" s="1207"/>
      <c r="F17" s="1207"/>
      <c r="G17" s="1207"/>
      <c r="H17" s="1207"/>
      <c r="I17" s="1207"/>
    </row>
    <row r="18" spans="1:9" ht="18">
      <c r="A18" s="396"/>
      <c r="B18" s="1046" t="s">
        <v>935</v>
      </c>
      <c r="C18" s="398"/>
      <c r="D18" s="405"/>
      <c r="E18" s="1206">
        <v>0</v>
      </c>
      <c r="F18" s="1207"/>
      <c r="G18" s="1206">
        <v>0</v>
      </c>
      <c r="H18" s="1207"/>
      <c r="I18" s="1205"/>
    </row>
    <row r="19" spans="1:9" ht="18">
      <c r="A19" s="396"/>
      <c r="B19" s="1046" t="s">
        <v>936</v>
      </c>
      <c r="C19" s="398"/>
      <c r="D19" s="405"/>
      <c r="E19" s="1206">
        <v>0</v>
      </c>
      <c r="F19" s="1207"/>
      <c r="G19" s="1206" t="s">
        <v>1603</v>
      </c>
      <c r="H19" s="1207"/>
      <c r="I19" s="1205"/>
    </row>
    <row r="20" spans="1:9" ht="18">
      <c r="A20" s="396"/>
      <c r="B20" s="1046" t="s">
        <v>1594</v>
      </c>
      <c r="C20" s="398"/>
      <c r="D20" s="405"/>
      <c r="E20" s="1206">
        <v>0</v>
      </c>
      <c r="F20" s="1207"/>
      <c r="G20" s="1206" t="s">
        <v>1603</v>
      </c>
      <c r="H20" s="1207"/>
      <c r="I20" s="1205"/>
    </row>
    <row r="21" spans="1:9" ht="18">
      <c r="A21" s="396"/>
      <c r="B21" s="1046" t="s">
        <v>937</v>
      </c>
      <c r="C21" s="398"/>
      <c r="D21" s="405"/>
      <c r="E21" s="1206">
        <v>0</v>
      </c>
      <c r="F21" s="1207"/>
      <c r="G21" s="1206" t="s">
        <v>1603</v>
      </c>
      <c r="H21" s="1207"/>
      <c r="I21" s="1205"/>
    </row>
    <row r="22" spans="1:9" ht="18">
      <c r="A22" s="396"/>
      <c r="B22" s="1046" t="s">
        <v>1595</v>
      </c>
      <c r="C22" s="398"/>
      <c r="D22" s="405"/>
      <c r="E22" s="1206">
        <v>0</v>
      </c>
      <c r="F22" s="1207"/>
      <c r="G22" s="1206" t="s">
        <v>1603</v>
      </c>
      <c r="H22" s="1207"/>
      <c r="I22" s="1205"/>
    </row>
    <row r="23" spans="1:9" ht="18">
      <c r="A23" s="396"/>
      <c r="B23" s="1046" t="s">
        <v>938</v>
      </c>
      <c r="C23" s="398"/>
      <c r="D23" s="405"/>
      <c r="E23" s="1206">
        <v>0</v>
      </c>
      <c r="F23" s="1207"/>
      <c r="G23" s="1206" t="s">
        <v>1603</v>
      </c>
      <c r="H23" s="1207"/>
      <c r="I23" s="1205"/>
    </row>
    <row r="24" spans="1:9" ht="18">
      <c r="A24" s="396"/>
      <c r="B24" s="1046" t="s">
        <v>939</v>
      </c>
      <c r="C24" s="398"/>
      <c r="D24" s="405"/>
      <c r="E24" s="1206">
        <v>0</v>
      </c>
      <c r="F24" s="1207"/>
      <c r="G24" s="1206" t="s">
        <v>1603</v>
      </c>
      <c r="H24" s="1207"/>
      <c r="I24" s="1205"/>
    </row>
    <row r="25" spans="1:9" ht="18">
      <c r="A25" s="396"/>
      <c r="B25" s="1046" t="s">
        <v>941</v>
      </c>
      <c r="C25" s="398"/>
      <c r="D25" s="405"/>
      <c r="E25" s="1206">
        <v>0</v>
      </c>
      <c r="F25" s="1207"/>
      <c r="G25" s="1206" t="s">
        <v>1603</v>
      </c>
      <c r="H25" s="1207"/>
      <c r="I25" s="1205"/>
    </row>
    <row r="26" spans="1:9" ht="18">
      <c r="A26" s="396"/>
      <c r="B26" s="1124" t="s">
        <v>1149</v>
      </c>
      <c r="C26" s="1209"/>
      <c r="D26" s="398"/>
      <c r="E26" s="1206">
        <v>0</v>
      </c>
      <c r="F26" s="1207"/>
      <c r="G26" s="1206" t="s">
        <v>1603</v>
      </c>
      <c r="H26" s="1207"/>
      <c r="I26" s="1205"/>
    </row>
    <row r="27" spans="1:9" ht="18">
      <c r="A27" s="396"/>
      <c r="B27" s="1124" t="s">
        <v>1596</v>
      </c>
      <c r="C27" s="1209"/>
      <c r="D27" s="398"/>
      <c r="E27" s="1206">
        <v>0</v>
      </c>
      <c r="F27" s="1207"/>
      <c r="G27" s="1206" t="s">
        <v>1603</v>
      </c>
      <c r="H27" s="1207"/>
      <c r="I27" s="1205"/>
    </row>
    <row r="28" spans="1:9" ht="15">
      <c r="A28" s="396"/>
      <c r="B28" s="398" t="s">
        <v>1597</v>
      </c>
      <c r="C28" s="398"/>
      <c r="D28" s="405"/>
      <c r="E28" s="1207">
        <v>0</v>
      </c>
      <c r="F28" s="1207"/>
      <c r="G28" s="1207" t="s">
        <v>1603</v>
      </c>
      <c r="H28" s="1207"/>
      <c r="I28" s="1207"/>
    </row>
    <row r="29" spans="1:9" ht="18">
      <c r="A29" s="396"/>
      <c r="B29" s="411" t="s">
        <v>1604</v>
      </c>
      <c r="C29" s="398" t="s">
        <v>1603</v>
      </c>
      <c r="D29" s="405"/>
      <c r="E29" s="1207">
        <v>0</v>
      </c>
      <c r="F29" s="1207"/>
      <c r="G29" s="1207" t="s">
        <v>1603</v>
      </c>
      <c r="H29" s="1207"/>
      <c r="I29" s="1207"/>
    </row>
    <row r="30" spans="1:253" ht="18">
      <c r="A30" s="396"/>
      <c r="B30" s="411"/>
      <c r="C30" s="405"/>
      <c r="D30" s="405"/>
      <c r="E30" s="1206">
        <v>0</v>
      </c>
      <c r="F30" s="1207"/>
      <c r="G30" s="1206" t="s">
        <v>1603</v>
      </c>
      <c r="H30" s="1207"/>
      <c r="I30" s="1206"/>
      <c r="AZ30" s="406"/>
      <c r="BA30" s="406"/>
      <c r="BB30" s="406"/>
      <c r="BC30" s="406"/>
      <c r="BD30" s="406"/>
      <c r="BE30" s="406"/>
      <c r="BF30" s="406"/>
      <c r="BG30" s="406"/>
      <c r="BH30" s="406"/>
      <c r="BI30" s="406"/>
      <c r="BJ30" s="406"/>
      <c r="BK30" s="406"/>
      <c r="BL30" s="406"/>
      <c r="BM30" s="406"/>
      <c r="BN30" s="406"/>
      <c r="BO30" s="406"/>
      <c r="BP30" s="406"/>
      <c r="BQ30" s="406"/>
      <c r="BR30" s="406"/>
      <c r="BS30" s="406"/>
      <c r="BT30" s="406"/>
      <c r="BU30" s="406"/>
      <c r="BV30" s="406"/>
      <c r="BW30" s="406"/>
      <c r="BX30" s="406"/>
      <c r="BY30" s="406"/>
      <c r="BZ30" s="406"/>
      <c r="CA30" s="406"/>
      <c r="CB30" s="406"/>
      <c r="CC30" s="406"/>
      <c r="CD30" s="406"/>
      <c r="CE30" s="406"/>
      <c r="CF30" s="406"/>
      <c r="CG30" s="406"/>
      <c r="CH30" s="406"/>
      <c r="CI30" s="406"/>
      <c r="CJ30" s="406"/>
      <c r="CK30" s="406"/>
      <c r="CL30" s="406"/>
      <c r="CM30" s="406"/>
      <c r="CN30" s="406"/>
      <c r="CO30" s="406"/>
      <c r="CP30" s="406"/>
      <c r="CQ30" s="406"/>
      <c r="CR30" s="406"/>
      <c r="CS30" s="406"/>
      <c r="CT30" s="406"/>
      <c r="CU30" s="406"/>
      <c r="CV30" s="406"/>
      <c r="CW30" s="406"/>
      <c r="CX30" s="406"/>
      <c r="CY30" s="406"/>
      <c r="CZ30" s="406"/>
      <c r="DA30" s="406"/>
      <c r="DB30" s="406"/>
      <c r="DC30" s="406"/>
      <c r="DD30" s="406"/>
      <c r="DE30" s="406"/>
      <c r="DF30" s="406"/>
      <c r="DG30" s="406"/>
      <c r="DH30" s="406"/>
      <c r="DI30" s="406"/>
      <c r="DJ30" s="406"/>
      <c r="DK30" s="406"/>
      <c r="DL30" s="406"/>
      <c r="DM30" s="406"/>
      <c r="DN30" s="406"/>
      <c r="DO30" s="406"/>
      <c r="DP30" s="406"/>
      <c r="DQ30" s="406"/>
      <c r="DR30" s="406"/>
      <c r="DS30" s="406"/>
      <c r="DT30" s="406"/>
      <c r="DU30" s="406"/>
      <c r="DV30" s="406"/>
      <c r="DW30" s="406"/>
      <c r="DX30" s="406"/>
      <c r="DY30" s="406"/>
      <c r="DZ30" s="406"/>
      <c r="EA30" s="406"/>
      <c r="EB30" s="406"/>
      <c r="EC30" s="406"/>
      <c r="ED30" s="406"/>
      <c r="EE30" s="406"/>
      <c r="EF30" s="406"/>
      <c r="EG30" s="406"/>
      <c r="EH30" s="406"/>
      <c r="EI30" s="406"/>
      <c r="EJ30" s="406"/>
      <c r="EK30" s="406"/>
      <c r="EL30" s="406"/>
      <c r="EM30" s="406"/>
      <c r="EN30" s="406"/>
      <c r="EO30" s="406"/>
      <c r="EP30" s="406"/>
      <c r="EQ30" s="406"/>
      <c r="ER30" s="406"/>
      <c r="ES30" s="406"/>
      <c r="ET30" s="406"/>
      <c r="EU30" s="406"/>
      <c r="EV30" s="406"/>
      <c r="EW30" s="406"/>
      <c r="EX30" s="406"/>
      <c r="EY30" s="406"/>
      <c r="EZ30" s="406"/>
      <c r="FA30" s="406"/>
      <c r="FB30" s="406"/>
      <c r="FC30" s="406"/>
      <c r="FD30" s="406"/>
      <c r="FE30" s="406"/>
      <c r="FF30" s="406"/>
      <c r="FG30" s="406"/>
      <c r="FH30" s="406"/>
      <c r="FI30" s="406"/>
      <c r="FJ30" s="406"/>
      <c r="FK30" s="406"/>
      <c r="FL30" s="406"/>
      <c r="FM30" s="406"/>
      <c r="FN30" s="406"/>
      <c r="FO30" s="406"/>
      <c r="FP30" s="406"/>
      <c r="FQ30" s="406"/>
      <c r="FR30" s="406"/>
      <c r="FS30" s="406"/>
      <c r="FT30" s="406"/>
      <c r="FU30" s="406"/>
      <c r="FV30" s="406"/>
      <c r="FW30" s="406"/>
      <c r="FX30" s="406"/>
      <c r="FY30" s="406"/>
      <c r="FZ30" s="406"/>
      <c r="GA30" s="406"/>
      <c r="GB30" s="406"/>
      <c r="GC30" s="406"/>
      <c r="GD30" s="406"/>
      <c r="GE30" s="406"/>
      <c r="GF30" s="406"/>
      <c r="GG30" s="406"/>
      <c r="GH30" s="406"/>
      <c r="GI30" s="406"/>
      <c r="GJ30" s="406"/>
      <c r="GK30" s="406"/>
      <c r="GL30" s="406"/>
      <c r="GM30" s="406"/>
      <c r="GN30" s="406"/>
      <c r="GO30" s="406"/>
      <c r="GP30" s="406"/>
      <c r="GQ30" s="406"/>
      <c r="GR30" s="406"/>
      <c r="GS30" s="406"/>
      <c r="GT30" s="406"/>
      <c r="GU30" s="406"/>
      <c r="GV30" s="406"/>
      <c r="GW30" s="406"/>
      <c r="GX30" s="406"/>
      <c r="GY30" s="406"/>
      <c r="GZ30" s="406"/>
      <c r="HA30" s="406"/>
      <c r="HB30" s="406"/>
      <c r="HC30" s="406"/>
      <c r="HD30" s="406"/>
      <c r="HE30" s="406"/>
      <c r="HF30" s="406"/>
      <c r="HG30" s="406"/>
      <c r="HH30" s="406"/>
      <c r="HI30" s="406"/>
      <c r="HJ30" s="406"/>
      <c r="HK30" s="406"/>
      <c r="HL30" s="406"/>
      <c r="HM30" s="406"/>
      <c r="HN30" s="406"/>
      <c r="HO30" s="406"/>
      <c r="HP30" s="406"/>
      <c r="HQ30" s="406"/>
      <c r="HR30" s="406"/>
      <c r="HS30" s="406"/>
      <c r="HT30" s="406"/>
      <c r="HU30" s="406"/>
      <c r="HV30" s="406"/>
      <c r="HW30" s="406"/>
      <c r="HX30" s="406"/>
      <c r="HY30" s="406"/>
      <c r="HZ30" s="406"/>
      <c r="IA30" s="406"/>
      <c r="IB30" s="406"/>
      <c r="IC30" s="406"/>
      <c r="ID30" s="406"/>
      <c r="IE30" s="406"/>
      <c r="IF30" s="406"/>
      <c r="IG30" s="406"/>
      <c r="IH30" s="406"/>
      <c r="II30" s="406"/>
      <c r="IJ30" s="406"/>
      <c r="IK30" s="406"/>
      <c r="IL30" s="406"/>
      <c r="IM30" s="406"/>
      <c r="IN30" s="406"/>
      <c r="IO30" s="406"/>
      <c r="IP30" s="406"/>
      <c r="IQ30" s="406"/>
      <c r="IR30" s="406"/>
      <c r="IS30" s="406"/>
    </row>
    <row r="31" spans="1:9" ht="18">
      <c r="A31" s="396"/>
      <c r="B31" s="411" t="s">
        <v>942</v>
      </c>
      <c r="C31" s="398"/>
      <c r="D31" s="405"/>
      <c r="E31" s="1206"/>
      <c r="F31" s="1207"/>
      <c r="G31" s="1206"/>
      <c r="H31" s="1207"/>
      <c r="I31" s="1205"/>
    </row>
    <row r="32" spans="1:9" ht="18">
      <c r="A32" s="396"/>
      <c r="B32" s="411" t="s">
        <v>943</v>
      </c>
      <c r="C32" s="398"/>
      <c r="D32" s="405"/>
      <c r="E32" s="399">
        <v>0</v>
      </c>
      <c r="F32" s="399"/>
      <c r="G32" s="399" t="s">
        <v>1603</v>
      </c>
      <c r="H32" s="399"/>
      <c r="I32" s="399"/>
    </row>
    <row r="33" spans="1:9" ht="18">
      <c r="A33" s="396"/>
      <c r="B33" s="411" t="s">
        <v>944</v>
      </c>
      <c r="C33" s="398"/>
      <c r="D33" s="405"/>
      <c r="E33" s="399">
        <v>0</v>
      </c>
      <c r="F33" s="399"/>
      <c r="G33" s="399" t="s">
        <v>1603</v>
      </c>
      <c r="H33" s="399"/>
      <c r="I33" s="399"/>
    </row>
    <row r="34" spans="1:9" ht="18">
      <c r="A34" s="396"/>
      <c r="B34" s="413"/>
      <c r="C34" s="1210"/>
      <c r="D34" s="405"/>
      <c r="E34" s="1206"/>
      <c r="F34" s="1207"/>
      <c r="G34" s="1206"/>
      <c r="H34" s="1207"/>
      <c r="I34" s="1205"/>
    </row>
    <row r="35" spans="1:9" ht="18">
      <c r="A35" s="396"/>
      <c r="B35" s="413" t="s">
        <v>945</v>
      </c>
      <c r="C35" s="1210"/>
      <c r="D35" s="405"/>
      <c r="E35" s="1206"/>
      <c r="F35" s="1207"/>
      <c r="G35" s="1206"/>
      <c r="H35" s="1207"/>
      <c r="I35" s="1205"/>
    </row>
    <row r="36" spans="1:9" ht="15">
      <c r="A36" s="396"/>
      <c r="B36" s="398" t="s">
        <v>946</v>
      </c>
      <c r="C36" s="398"/>
      <c r="D36" s="405"/>
      <c r="E36" s="1207">
        <v>0</v>
      </c>
      <c r="F36" s="1207"/>
      <c r="G36" s="1211" t="s">
        <v>1603</v>
      </c>
      <c r="H36" s="1207"/>
      <c r="I36" s="1211"/>
    </row>
    <row r="37" spans="1:9" ht="18">
      <c r="A37" s="396"/>
      <c r="B37" s="411" t="s">
        <v>947</v>
      </c>
      <c r="C37" s="398"/>
      <c r="D37" s="405"/>
      <c r="E37" s="1207">
        <v>0</v>
      </c>
      <c r="F37" s="1207"/>
      <c r="G37" s="1211" t="s">
        <v>1603</v>
      </c>
      <c r="H37" s="1207"/>
      <c r="I37" s="1211"/>
    </row>
    <row r="38" spans="1:9" ht="18">
      <c r="A38" s="396"/>
      <c r="B38" s="411"/>
      <c r="C38" s="398"/>
      <c r="D38" s="405"/>
      <c r="E38" s="1206"/>
      <c r="F38" s="1207"/>
      <c r="G38" s="1206" t="s">
        <v>1603</v>
      </c>
      <c r="H38" s="1207"/>
      <c r="I38" s="1205"/>
    </row>
    <row r="39" spans="1:9" ht="18">
      <c r="A39" s="396"/>
      <c r="B39" s="411" t="s">
        <v>948</v>
      </c>
      <c r="C39" s="398"/>
      <c r="D39" s="405"/>
      <c r="E39" s="1206"/>
      <c r="F39" s="1207"/>
      <c r="G39" s="1206"/>
      <c r="H39" s="1207"/>
      <c r="I39" s="1205"/>
    </row>
    <row r="40" spans="1:9" ht="18">
      <c r="A40" s="396"/>
      <c r="B40" s="411" t="s">
        <v>949</v>
      </c>
      <c r="C40" s="398"/>
      <c r="D40" s="405"/>
      <c r="E40" s="1206">
        <v>0</v>
      </c>
      <c r="F40" s="1207"/>
      <c r="G40" s="1206" t="s">
        <v>1603</v>
      </c>
      <c r="H40" s="1207"/>
      <c r="I40" s="1205"/>
    </row>
    <row r="41" spans="1:9" ht="18">
      <c r="A41" s="396"/>
      <c r="B41" s="411" t="s">
        <v>950</v>
      </c>
      <c r="C41" s="398"/>
      <c r="D41" s="405"/>
      <c r="E41" s="1206">
        <v>0</v>
      </c>
      <c r="F41" s="1207"/>
      <c r="G41" s="1206" t="s">
        <v>1603</v>
      </c>
      <c r="H41" s="1207"/>
      <c r="I41" s="1205"/>
    </row>
    <row r="42" spans="1:9" ht="18">
      <c r="A42" s="396"/>
      <c r="B42" s="411" t="s">
        <v>1591</v>
      </c>
      <c r="C42" s="398"/>
      <c r="D42" s="405"/>
      <c r="E42" s="1206">
        <v>0</v>
      </c>
      <c r="F42" s="1207"/>
      <c r="G42" s="1206" t="s">
        <v>1603</v>
      </c>
      <c r="H42" s="1207"/>
      <c r="I42" s="1205"/>
    </row>
    <row r="43" spans="1:9" ht="18">
      <c r="A43" s="396"/>
      <c r="B43" s="411" t="s">
        <v>951</v>
      </c>
      <c r="C43" s="398"/>
      <c r="D43" s="405"/>
      <c r="E43" s="1206">
        <v>0</v>
      </c>
      <c r="F43" s="1207"/>
      <c r="G43" s="1206" t="s">
        <v>1603</v>
      </c>
      <c r="H43" s="1207"/>
      <c r="I43" s="1205"/>
    </row>
    <row r="44" spans="1:9" ht="18">
      <c r="A44" s="396"/>
      <c r="B44" s="411" t="s">
        <v>952</v>
      </c>
      <c r="C44" s="398"/>
      <c r="D44" s="405"/>
      <c r="E44" s="1206">
        <v>0</v>
      </c>
      <c r="F44" s="1207"/>
      <c r="G44" s="1206" t="s">
        <v>1603</v>
      </c>
      <c r="H44" s="1207"/>
      <c r="I44" s="1205"/>
    </row>
    <row r="45" spans="1:9" ht="18">
      <c r="A45" s="396"/>
      <c r="B45" s="411" t="s">
        <v>953</v>
      </c>
      <c r="C45" s="398"/>
      <c r="D45" s="405"/>
      <c r="E45" s="1206">
        <v>0</v>
      </c>
      <c r="F45" s="1207"/>
      <c r="G45" s="1206" t="s">
        <v>1603</v>
      </c>
      <c r="H45" s="1207"/>
      <c r="I45" s="1205"/>
    </row>
    <row r="46" spans="1:9" ht="18">
      <c r="A46" s="396"/>
      <c r="B46" s="411" t="s">
        <v>954</v>
      </c>
      <c r="C46" s="398"/>
      <c r="D46" s="405"/>
      <c r="E46" s="1206">
        <v>0</v>
      </c>
      <c r="F46" s="1207"/>
      <c r="G46" s="1206" t="s">
        <v>1603</v>
      </c>
      <c r="H46" s="1207"/>
      <c r="I46" s="1205"/>
    </row>
    <row r="47" spans="1:9" ht="18">
      <c r="A47" s="396"/>
      <c r="B47" s="411" t="s">
        <v>1592</v>
      </c>
      <c r="C47" s="398"/>
      <c r="D47" s="405"/>
      <c r="E47" s="1206">
        <v>0</v>
      </c>
      <c r="F47" s="1207"/>
      <c r="G47" s="1206" t="s">
        <v>1603</v>
      </c>
      <c r="H47" s="1207"/>
      <c r="I47" s="1205"/>
    </row>
    <row r="48" spans="1:9" ht="18">
      <c r="A48" s="396"/>
      <c r="B48" s="411" t="s">
        <v>1576</v>
      </c>
      <c r="C48" s="398"/>
      <c r="D48" s="405"/>
      <c r="E48" s="1206">
        <v>0</v>
      </c>
      <c r="F48" s="1207"/>
      <c r="G48" s="1206" t="s">
        <v>1603</v>
      </c>
      <c r="H48" s="1207"/>
      <c r="I48" s="1205"/>
    </row>
    <row r="49" spans="1:9" ht="18">
      <c r="A49" s="396"/>
      <c r="B49" s="411" t="s">
        <v>955</v>
      </c>
      <c r="C49" s="398"/>
      <c r="D49" s="405"/>
      <c r="E49" s="1206">
        <v>0</v>
      </c>
      <c r="F49" s="1207"/>
      <c r="G49" s="1206" t="s">
        <v>1603</v>
      </c>
      <c r="H49" s="1207"/>
      <c r="I49" s="1205"/>
    </row>
    <row r="50" spans="1:9" ht="15">
      <c r="A50" s="396"/>
      <c r="B50" s="398" t="s">
        <v>956</v>
      </c>
      <c r="C50" s="398"/>
      <c r="D50" s="405"/>
      <c r="E50" s="1207">
        <v>0</v>
      </c>
      <c r="F50" s="1207"/>
      <c r="G50" s="1207" t="s">
        <v>1603</v>
      </c>
      <c r="H50" s="1207"/>
      <c r="I50" s="1207"/>
    </row>
    <row r="51" spans="1:9" ht="18">
      <c r="A51" s="396"/>
      <c r="B51" s="411" t="s">
        <v>1598</v>
      </c>
      <c r="C51" s="398"/>
      <c r="D51" s="405"/>
      <c r="E51" s="1207"/>
      <c r="F51" s="1207"/>
      <c r="G51" s="1207"/>
      <c r="H51" s="1207"/>
      <c r="I51" s="1207"/>
    </row>
    <row r="52" spans="1:9" ht="18">
      <c r="A52" s="396"/>
      <c r="B52" s="411"/>
      <c r="C52" s="398"/>
      <c r="D52" s="405"/>
      <c r="E52" s="1206"/>
      <c r="F52" s="1207"/>
      <c r="G52" s="1206"/>
      <c r="H52" s="1207"/>
      <c r="I52" s="1205"/>
    </row>
    <row r="53" spans="1:9" ht="18">
      <c r="A53" s="396"/>
      <c r="B53" s="411" t="s">
        <v>957</v>
      </c>
      <c r="C53" s="398"/>
      <c r="D53" s="405"/>
      <c r="E53" s="1206"/>
      <c r="F53" s="1207"/>
      <c r="G53" s="1206"/>
      <c r="H53" s="1207"/>
      <c r="I53" s="1205"/>
    </row>
    <row r="54" spans="1:9" ht="18">
      <c r="A54" s="396"/>
      <c r="B54" s="411" t="s">
        <v>958</v>
      </c>
      <c r="C54" s="398"/>
      <c r="D54" s="405"/>
      <c r="E54" s="1206">
        <v>0</v>
      </c>
      <c r="F54" s="1207"/>
      <c r="G54" s="1206" t="s">
        <v>1603</v>
      </c>
      <c r="H54" s="1207"/>
      <c r="I54" s="1205"/>
    </row>
    <row r="55" spans="1:9" ht="18">
      <c r="A55" s="396"/>
      <c r="B55" s="411" t="s">
        <v>959</v>
      </c>
      <c r="C55" s="398"/>
      <c r="D55" s="405"/>
      <c r="E55" s="1206">
        <v>0</v>
      </c>
      <c r="F55" s="1207"/>
      <c r="G55" s="1206" t="s">
        <v>1603</v>
      </c>
      <c r="H55" s="1207"/>
      <c r="I55" s="1205"/>
    </row>
    <row r="56" spans="1:9" ht="18">
      <c r="A56" s="396"/>
      <c r="B56" s="411" t="s">
        <v>960</v>
      </c>
      <c r="C56" s="398"/>
      <c r="D56" s="405"/>
      <c r="E56" s="1206">
        <v>0</v>
      </c>
      <c r="F56" s="1207"/>
      <c r="G56" s="1206" t="s">
        <v>1603</v>
      </c>
      <c r="H56" s="1207"/>
      <c r="I56" s="1205"/>
    </row>
    <row r="57" spans="1:9" ht="18">
      <c r="A57" s="396"/>
      <c r="B57" s="411" t="s">
        <v>961</v>
      </c>
      <c r="C57" s="398"/>
      <c r="D57" s="405"/>
      <c r="E57" s="1206">
        <v>0</v>
      </c>
      <c r="F57" s="1207"/>
      <c r="G57" s="1206" t="s">
        <v>1603</v>
      </c>
      <c r="H57" s="1207"/>
      <c r="I57" s="1205"/>
    </row>
    <row r="58" spans="1:9" ht="18">
      <c r="A58" s="396"/>
      <c r="B58" s="411" t="s">
        <v>1599</v>
      </c>
      <c r="C58" s="398"/>
      <c r="D58" s="405"/>
      <c r="E58" s="1206">
        <v>0</v>
      </c>
      <c r="F58" s="1207"/>
      <c r="G58" s="1206" t="s">
        <v>1603</v>
      </c>
      <c r="H58" s="1207"/>
      <c r="I58" s="1205"/>
    </row>
    <row r="59" spans="1:9" ht="18">
      <c r="A59" s="396"/>
      <c r="B59" s="411" t="s">
        <v>965</v>
      </c>
      <c r="C59" s="398"/>
      <c r="D59" s="405"/>
      <c r="E59" s="1206">
        <v>0</v>
      </c>
      <c r="F59" s="1207"/>
      <c r="G59" s="1212" t="s">
        <v>1603</v>
      </c>
      <c r="H59" s="1207"/>
      <c r="I59" s="1205"/>
    </row>
    <row r="60" spans="1:9" ht="18">
      <c r="A60" s="396"/>
      <c r="B60" s="857" t="s">
        <v>966</v>
      </c>
      <c r="C60" s="398"/>
      <c r="D60" s="405"/>
      <c r="E60" s="1206">
        <v>0</v>
      </c>
      <c r="F60" s="1207"/>
      <c r="G60" s="1212" t="s">
        <v>1603</v>
      </c>
      <c r="H60" s="1207"/>
      <c r="I60" s="1205"/>
    </row>
    <row r="61" spans="1:9" ht="18">
      <c r="A61" s="396"/>
      <c r="B61" s="411" t="s">
        <v>1554</v>
      </c>
      <c r="C61" s="1208"/>
      <c r="D61" s="398"/>
      <c r="E61" s="1206">
        <v>0</v>
      </c>
      <c r="F61" s="1207"/>
      <c r="G61" s="1206" t="s">
        <v>1603</v>
      </c>
      <c r="H61" s="1207"/>
      <c r="I61" s="1205"/>
    </row>
    <row r="62" spans="1:9" ht="12.75">
      <c r="A62" s="396"/>
      <c r="B62" s="398" t="s">
        <v>1600</v>
      </c>
      <c r="C62" s="398"/>
      <c r="D62" s="398"/>
      <c r="E62" s="401">
        <v>0</v>
      </c>
      <c r="F62" s="401"/>
      <c r="G62" s="401" t="s">
        <v>1603</v>
      </c>
      <c r="H62" s="401"/>
      <c r="I62" s="401"/>
    </row>
    <row r="63" spans="1:9" ht="21" thickBot="1">
      <c r="A63" s="396"/>
      <c r="B63" s="404" t="s">
        <v>962</v>
      </c>
      <c r="C63" s="398"/>
      <c r="D63" s="405"/>
      <c r="E63" s="1213">
        <v>0</v>
      </c>
      <c r="F63" s="1207"/>
      <c r="G63" s="1213" t="s">
        <v>1603</v>
      </c>
      <c r="H63" s="1214"/>
      <c r="I63" s="1213"/>
    </row>
    <row r="64" spans="1:9" ht="15.75" thickTop="1">
      <c r="A64" s="396"/>
      <c r="B64" s="398"/>
      <c r="C64" s="398"/>
      <c r="D64" s="405"/>
      <c r="E64" s="1207"/>
      <c r="F64" s="1207"/>
      <c r="G64" s="1207"/>
      <c r="H64" s="1207"/>
      <c r="I64" s="1207"/>
    </row>
    <row r="65" spans="1:9" ht="18">
      <c r="A65" s="396"/>
      <c r="B65" s="411" t="s">
        <v>967</v>
      </c>
      <c r="C65" s="398"/>
      <c r="D65" s="405"/>
      <c r="E65" s="1206">
        <v>0</v>
      </c>
      <c r="F65" s="401"/>
      <c r="G65" s="1206">
        <v>0</v>
      </c>
      <c r="H65" s="401"/>
      <c r="I65" s="1205">
        <v>0</v>
      </c>
    </row>
    <row r="66" spans="1:9" ht="18">
      <c r="A66" s="396"/>
      <c r="B66" s="411"/>
      <c r="C66" s="398"/>
      <c r="D66" s="405"/>
      <c r="E66" s="1206"/>
      <c r="F66" s="401"/>
      <c r="G66" s="1206"/>
      <c r="H66" s="401"/>
      <c r="I66" s="1205"/>
    </row>
    <row r="67" spans="1:9" ht="18">
      <c r="A67" s="396"/>
      <c r="B67" s="411" t="s">
        <v>1525</v>
      </c>
      <c r="C67" s="398"/>
      <c r="D67" s="405"/>
      <c r="E67" s="1206">
        <v>0</v>
      </c>
      <c r="F67" s="1207"/>
      <c r="G67" s="1206" t="s">
        <v>1603</v>
      </c>
      <c r="H67" s="1207"/>
      <c r="I67" s="1205"/>
    </row>
    <row r="68" spans="1:9" ht="18">
      <c r="A68" s="396"/>
      <c r="B68" s="411" t="s">
        <v>1526</v>
      </c>
      <c r="C68" s="398"/>
      <c r="D68" s="405"/>
      <c r="E68" s="1206">
        <v>0</v>
      </c>
      <c r="F68" s="1207"/>
      <c r="G68" s="1215" t="s">
        <v>1603</v>
      </c>
      <c r="H68" s="1207"/>
      <c r="I68" s="1215"/>
    </row>
    <row r="69" spans="1:9" ht="18">
      <c r="A69" s="396"/>
      <c r="B69" s="411" t="s">
        <v>968</v>
      </c>
      <c r="C69" s="398"/>
      <c r="D69" s="405"/>
      <c r="E69" s="1206">
        <v>0</v>
      </c>
      <c r="F69" s="1207"/>
      <c r="G69" s="1215">
        <v>0</v>
      </c>
      <c r="H69" s="1207"/>
      <c r="I69" s="1215"/>
    </row>
    <row r="70" spans="1:9" ht="18">
      <c r="A70" s="396"/>
      <c r="B70" s="411" t="s">
        <v>969</v>
      </c>
      <c r="C70" s="398"/>
      <c r="D70" s="405"/>
      <c r="E70" s="1206">
        <v>0</v>
      </c>
      <c r="F70" s="1207"/>
      <c r="G70" s="1215" t="s">
        <v>592</v>
      </c>
      <c r="H70" s="1207"/>
      <c r="I70" s="1215" t="s">
        <v>592</v>
      </c>
    </row>
    <row r="71" spans="1:251" ht="21">
      <c r="A71" s="396"/>
      <c r="B71" s="411" t="s">
        <v>970</v>
      </c>
      <c r="C71" s="413"/>
      <c r="D71" s="405"/>
      <c r="E71" s="1206">
        <v>0</v>
      </c>
      <c r="F71" s="1216"/>
      <c r="G71" s="1215" t="s">
        <v>592</v>
      </c>
      <c r="H71" s="1216"/>
      <c r="I71" s="1215" t="s">
        <v>592</v>
      </c>
      <c r="AZ71" s="406"/>
      <c r="BA71" s="406"/>
      <c r="BB71" s="406"/>
      <c r="BC71" s="406"/>
      <c r="BD71" s="406"/>
      <c r="BE71" s="406"/>
      <c r="BF71" s="406"/>
      <c r="BG71" s="406"/>
      <c r="BH71" s="406"/>
      <c r="BI71" s="406"/>
      <c r="BJ71" s="406"/>
      <c r="BK71" s="406"/>
      <c r="BL71" s="406"/>
      <c r="BM71" s="406"/>
      <c r="BN71" s="406"/>
      <c r="BO71" s="406"/>
      <c r="BP71" s="406"/>
      <c r="BQ71" s="406"/>
      <c r="BR71" s="406"/>
      <c r="BS71" s="406"/>
      <c r="BT71" s="406"/>
      <c r="BU71" s="406"/>
      <c r="BV71" s="406"/>
      <c r="BW71" s="406"/>
      <c r="BX71" s="406"/>
      <c r="BY71" s="406"/>
      <c r="BZ71" s="406"/>
      <c r="CA71" s="406"/>
      <c r="CB71" s="406"/>
      <c r="CC71" s="406"/>
      <c r="CD71" s="406"/>
      <c r="CE71" s="406"/>
      <c r="CF71" s="406"/>
      <c r="CG71" s="406"/>
      <c r="CH71" s="406"/>
      <c r="CI71" s="406"/>
      <c r="CJ71" s="406"/>
      <c r="CK71" s="406"/>
      <c r="CL71" s="406"/>
      <c r="CM71" s="406"/>
      <c r="CN71" s="406"/>
      <c r="CO71" s="406"/>
      <c r="CP71" s="406"/>
      <c r="CQ71" s="406"/>
      <c r="CR71" s="406"/>
      <c r="CS71" s="406"/>
      <c r="CT71" s="406"/>
      <c r="CU71" s="406"/>
      <c r="CV71" s="406"/>
      <c r="CW71" s="406"/>
      <c r="CX71" s="406"/>
      <c r="CY71" s="406"/>
      <c r="CZ71" s="406"/>
      <c r="DA71" s="406"/>
      <c r="DB71" s="406"/>
      <c r="DC71" s="406"/>
      <c r="DD71" s="406"/>
      <c r="DE71" s="406"/>
      <c r="DF71" s="406"/>
      <c r="DG71" s="406"/>
      <c r="DH71" s="406"/>
      <c r="DI71" s="406"/>
      <c r="DJ71" s="406"/>
      <c r="DK71" s="406"/>
      <c r="DL71" s="406"/>
      <c r="DM71" s="406"/>
      <c r="DN71" s="406"/>
      <c r="DO71" s="406"/>
      <c r="DP71" s="406"/>
      <c r="DQ71" s="406"/>
      <c r="DR71" s="406"/>
      <c r="DS71" s="406"/>
      <c r="DT71" s="406"/>
      <c r="DU71" s="406"/>
      <c r="DV71" s="406"/>
      <c r="DW71" s="406"/>
      <c r="DX71" s="406"/>
      <c r="DY71" s="406"/>
      <c r="DZ71" s="406"/>
      <c r="EA71" s="406"/>
      <c r="EB71" s="406"/>
      <c r="EC71" s="406"/>
      <c r="ED71" s="406"/>
      <c r="EE71" s="406"/>
      <c r="EF71" s="406"/>
      <c r="EG71" s="406"/>
      <c r="EH71" s="406"/>
      <c r="EI71" s="406"/>
      <c r="EJ71" s="406"/>
      <c r="EK71" s="406"/>
      <c r="EL71" s="406"/>
      <c r="EM71" s="406"/>
      <c r="EN71" s="406"/>
      <c r="EO71" s="406"/>
      <c r="EP71" s="406"/>
      <c r="EQ71" s="406"/>
      <c r="ER71" s="406"/>
      <c r="ES71" s="406"/>
      <c r="ET71" s="406"/>
      <c r="EU71" s="406"/>
      <c r="EV71" s="406"/>
      <c r="EW71" s="406"/>
      <c r="EX71" s="406"/>
      <c r="EY71" s="406"/>
      <c r="EZ71" s="406"/>
      <c r="FA71" s="406"/>
      <c r="FB71" s="406"/>
      <c r="FC71" s="406"/>
      <c r="FD71" s="406"/>
      <c r="FE71" s="406"/>
      <c r="FF71" s="406"/>
      <c r="FG71" s="406"/>
      <c r="FH71" s="406"/>
      <c r="FI71" s="406"/>
      <c r="FJ71" s="406"/>
      <c r="FK71" s="406"/>
      <c r="FL71" s="406"/>
      <c r="FM71" s="406"/>
      <c r="FN71" s="406"/>
      <c r="FO71" s="406"/>
      <c r="FP71" s="406"/>
      <c r="FQ71" s="406"/>
      <c r="FR71" s="406"/>
      <c r="FS71" s="406"/>
      <c r="FT71" s="406"/>
      <c r="FU71" s="406"/>
      <c r="FV71" s="406"/>
      <c r="FW71" s="406"/>
      <c r="FX71" s="406"/>
      <c r="FY71" s="406"/>
      <c r="FZ71" s="406"/>
      <c r="GA71" s="406"/>
      <c r="GB71" s="406"/>
      <c r="GC71" s="406"/>
      <c r="GD71" s="406"/>
      <c r="GE71" s="406"/>
      <c r="GF71" s="406"/>
      <c r="GG71" s="406"/>
      <c r="GH71" s="406"/>
      <c r="GI71" s="406"/>
      <c r="GJ71" s="406"/>
      <c r="GK71" s="406"/>
      <c r="GL71" s="406"/>
      <c r="GM71" s="406"/>
      <c r="GN71" s="406"/>
      <c r="GO71" s="406"/>
      <c r="GP71" s="406"/>
      <c r="GQ71" s="406"/>
      <c r="GR71" s="406"/>
      <c r="GS71" s="406"/>
      <c r="GT71" s="406"/>
      <c r="GU71" s="406"/>
      <c r="GV71" s="406"/>
      <c r="GW71" s="406"/>
      <c r="GX71" s="406"/>
      <c r="GY71" s="406"/>
      <c r="GZ71" s="406"/>
      <c r="HA71" s="406"/>
      <c r="HB71" s="406"/>
      <c r="HC71" s="406"/>
      <c r="HD71" s="406"/>
      <c r="HE71" s="406"/>
      <c r="HF71" s="406"/>
      <c r="HG71" s="406"/>
      <c r="HH71" s="406"/>
      <c r="HI71" s="406"/>
      <c r="HJ71" s="406"/>
      <c r="HK71" s="406"/>
      <c r="HL71" s="406"/>
      <c r="HM71" s="406"/>
      <c r="HN71" s="406"/>
      <c r="HO71" s="406"/>
      <c r="HP71" s="406"/>
      <c r="HQ71" s="406"/>
      <c r="HR71" s="406"/>
      <c r="HS71" s="406"/>
      <c r="HT71" s="406"/>
      <c r="HU71" s="406"/>
      <c r="HV71" s="406"/>
      <c r="HW71" s="406"/>
      <c r="HX71" s="406"/>
      <c r="HY71" s="406"/>
      <c r="HZ71" s="406"/>
      <c r="IA71" s="406"/>
      <c r="IB71" s="406"/>
      <c r="IC71" s="406"/>
      <c r="ID71" s="406"/>
      <c r="IE71" s="406"/>
      <c r="IF71" s="406"/>
      <c r="IG71" s="406"/>
      <c r="IH71" s="406"/>
      <c r="II71" s="406"/>
      <c r="IJ71" s="406"/>
      <c r="IK71" s="406"/>
      <c r="IL71" s="406"/>
      <c r="IM71" s="406"/>
      <c r="IN71" s="406"/>
      <c r="IO71" s="406"/>
      <c r="IP71" s="406"/>
      <c r="IQ71" s="406"/>
    </row>
    <row r="72" spans="1:251" ht="21">
      <c r="A72" s="396"/>
      <c r="B72" s="411" t="s">
        <v>971</v>
      </c>
      <c r="C72" s="413"/>
      <c r="D72" s="405"/>
      <c r="E72" s="1206">
        <v>0</v>
      </c>
      <c r="F72" s="1216"/>
      <c r="G72" s="1215" t="s">
        <v>592</v>
      </c>
      <c r="H72" s="1216"/>
      <c r="I72" s="1215" t="s">
        <v>592</v>
      </c>
      <c r="AZ72" s="406"/>
      <c r="BA72" s="406"/>
      <c r="BB72" s="406"/>
      <c r="BC72" s="406"/>
      <c r="BD72" s="406"/>
      <c r="BE72" s="406"/>
      <c r="BF72" s="406"/>
      <c r="BG72" s="406"/>
      <c r="BH72" s="406"/>
      <c r="BI72" s="406"/>
      <c r="BJ72" s="406"/>
      <c r="BK72" s="406"/>
      <c r="BL72" s="406"/>
      <c r="BM72" s="406"/>
      <c r="BN72" s="406"/>
      <c r="BO72" s="406"/>
      <c r="BP72" s="406"/>
      <c r="BQ72" s="406"/>
      <c r="BR72" s="406"/>
      <c r="BS72" s="406"/>
      <c r="BT72" s="406"/>
      <c r="BU72" s="406"/>
      <c r="BV72" s="406"/>
      <c r="BW72" s="406"/>
      <c r="BX72" s="406"/>
      <c r="BY72" s="406"/>
      <c r="BZ72" s="406"/>
      <c r="CA72" s="406"/>
      <c r="CB72" s="406"/>
      <c r="CC72" s="406"/>
      <c r="CD72" s="406"/>
      <c r="CE72" s="406"/>
      <c r="CF72" s="406"/>
      <c r="CG72" s="406"/>
      <c r="CH72" s="406"/>
      <c r="CI72" s="406"/>
      <c r="CJ72" s="406"/>
      <c r="CK72" s="406"/>
      <c r="CL72" s="406"/>
      <c r="CM72" s="406"/>
      <c r="CN72" s="406"/>
      <c r="CO72" s="406"/>
      <c r="CP72" s="406"/>
      <c r="CQ72" s="406"/>
      <c r="CR72" s="406"/>
      <c r="CS72" s="406"/>
      <c r="CT72" s="406"/>
      <c r="CU72" s="406"/>
      <c r="CV72" s="406"/>
      <c r="CW72" s="406"/>
      <c r="CX72" s="406"/>
      <c r="CY72" s="406"/>
      <c r="CZ72" s="406"/>
      <c r="DA72" s="406"/>
      <c r="DB72" s="406"/>
      <c r="DC72" s="406"/>
      <c r="DD72" s="406"/>
      <c r="DE72" s="406"/>
      <c r="DF72" s="406"/>
      <c r="DG72" s="406"/>
      <c r="DH72" s="406"/>
      <c r="DI72" s="406"/>
      <c r="DJ72" s="406"/>
      <c r="DK72" s="406"/>
      <c r="DL72" s="406"/>
      <c r="DM72" s="406"/>
      <c r="DN72" s="406"/>
      <c r="DO72" s="406"/>
      <c r="DP72" s="406"/>
      <c r="DQ72" s="406"/>
      <c r="DR72" s="406"/>
      <c r="DS72" s="406"/>
      <c r="DT72" s="406"/>
      <c r="DU72" s="406"/>
      <c r="DV72" s="406"/>
      <c r="DW72" s="406"/>
      <c r="DX72" s="406"/>
      <c r="DY72" s="406"/>
      <c r="DZ72" s="406"/>
      <c r="EA72" s="406"/>
      <c r="EB72" s="406"/>
      <c r="EC72" s="406"/>
      <c r="ED72" s="406"/>
      <c r="EE72" s="406"/>
      <c r="EF72" s="406"/>
      <c r="EG72" s="406"/>
      <c r="EH72" s="406"/>
      <c r="EI72" s="406"/>
      <c r="EJ72" s="406"/>
      <c r="EK72" s="406"/>
      <c r="EL72" s="406"/>
      <c r="EM72" s="406"/>
      <c r="EN72" s="406"/>
      <c r="EO72" s="406"/>
      <c r="EP72" s="406"/>
      <c r="EQ72" s="406"/>
      <c r="ER72" s="406"/>
      <c r="ES72" s="406"/>
      <c r="ET72" s="406"/>
      <c r="EU72" s="406"/>
      <c r="EV72" s="406"/>
      <c r="EW72" s="406"/>
      <c r="EX72" s="406"/>
      <c r="EY72" s="406"/>
      <c r="EZ72" s="406"/>
      <c r="FA72" s="406"/>
      <c r="FB72" s="406"/>
      <c r="FC72" s="406"/>
      <c r="FD72" s="406"/>
      <c r="FE72" s="406"/>
      <c r="FF72" s="406"/>
      <c r="FG72" s="406"/>
      <c r="FH72" s="406"/>
      <c r="FI72" s="406"/>
      <c r="FJ72" s="406"/>
      <c r="FK72" s="406"/>
      <c r="FL72" s="406"/>
      <c r="FM72" s="406"/>
      <c r="FN72" s="406"/>
      <c r="FO72" s="406"/>
      <c r="FP72" s="406"/>
      <c r="FQ72" s="406"/>
      <c r="FR72" s="406"/>
      <c r="FS72" s="406"/>
      <c r="FT72" s="406"/>
      <c r="FU72" s="406"/>
      <c r="FV72" s="406"/>
      <c r="FW72" s="406"/>
      <c r="FX72" s="406"/>
      <c r="FY72" s="406"/>
      <c r="FZ72" s="406"/>
      <c r="GA72" s="406"/>
      <c r="GB72" s="406"/>
      <c r="GC72" s="406"/>
      <c r="GD72" s="406"/>
      <c r="GE72" s="406"/>
      <c r="GF72" s="406"/>
      <c r="GG72" s="406"/>
      <c r="GH72" s="406"/>
      <c r="GI72" s="406"/>
      <c r="GJ72" s="406"/>
      <c r="GK72" s="406"/>
      <c r="GL72" s="406"/>
      <c r="GM72" s="406"/>
      <c r="GN72" s="406"/>
      <c r="GO72" s="406"/>
      <c r="GP72" s="406"/>
      <c r="GQ72" s="406"/>
      <c r="GR72" s="406"/>
      <c r="GS72" s="406"/>
      <c r="GT72" s="406"/>
      <c r="GU72" s="406"/>
      <c r="GV72" s="406"/>
      <c r="GW72" s="406"/>
      <c r="GX72" s="406"/>
      <c r="GY72" s="406"/>
      <c r="GZ72" s="406"/>
      <c r="HA72" s="406"/>
      <c r="HB72" s="406"/>
      <c r="HC72" s="406"/>
      <c r="HD72" s="406"/>
      <c r="HE72" s="406"/>
      <c r="HF72" s="406"/>
      <c r="HG72" s="406"/>
      <c r="HH72" s="406"/>
      <c r="HI72" s="406"/>
      <c r="HJ72" s="406"/>
      <c r="HK72" s="406"/>
      <c r="HL72" s="406"/>
      <c r="HM72" s="406"/>
      <c r="HN72" s="406"/>
      <c r="HO72" s="406"/>
      <c r="HP72" s="406"/>
      <c r="HQ72" s="406"/>
      <c r="HR72" s="406"/>
      <c r="HS72" s="406"/>
      <c r="HT72" s="406"/>
      <c r="HU72" s="406"/>
      <c r="HV72" s="406"/>
      <c r="HW72" s="406"/>
      <c r="HX72" s="406"/>
      <c r="HY72" s="406"/>
      <c r="HZ72" s="406"/>
      <c r="IA72" s="406"/>
      <c r="IB72" s="406"/>
      <c r="IC72" s="406"/>
      <c r="ID72" s="406"/>
      <c r="IE72" s="406"/>
      <c r="IF72" s="406"/>
      <c r="IG72" s="406"/>
      <c r="IH72" s="406"/>
      <c r="II72" s="406"/>
      <c r="IJ72" s="406"/>
      <c r="IK72" s="406"/>
      <c r="IL72" s="406"/>
      <c r="IM72" s="406"/>
      <c r="IN72" s="406"/>
      <c r="IO72" s="406"/>
      <c r="IP72" s="406"/>
      <c r="IQ72" s="406"/>
    </row>
    <row r="73" spans="1:9" ht="21">
      <c r="A73" s="396"/>
      <c r="B73" s="411" t="s">
        <v>972</v>
      </c>
      <c r="C73" s="413" t="s">
        <v>973</v>
      </c>
      <c r="D73" s="405"/>
      <c r="E73" s="1206">
        <v>0</v>
      </c>
      <c r="F73" s="1216"/>
      <c r="G73" s="1215" t="s">
        <v>592</v>
      </c>
      <c r="H73" s="1216"/>
      <c r="I73" s="1215" t="s">
        <v>592</v>
      </c>
    </row>
    <row r="74" spans="1:9" ht="21">
      <c r="A74" s="396"/>
      <c r="B74" s="411"/>
      <c r="C74" s="411" t="s">
        <v>833</v>
      </c>
      <c r="D74" s="405"/>
      <c r="E74" s="1206">
        <v>0</v>
      </c>
      <c r="F74" s="1216"/>
      <c r="G74" s="1215" t="s">
        <v>592</v>
      </c>
      <c r="H74" s="1216"/>
      <c r="I74" s="1215" t="s">
        <v>592</v>
      </c>
    </row>
    <row r="75" spans="1:9" ht="21">
      <c r="A75" s="396"/>
      <c r="B75" s="411"/>
      <c r="C75" s="411" t="s">
        <v>974</v>
      </c>
      <c r="D75" s="405"/>
      <c r="E75" s="1206">
        <v>0</v>
      </c>
      <c r="F75" s="1216"/>
      <c r="G75" s="1215" t="s">
        <v>592</v>
      </c>
      <c r="H75" s="1216"/>
      <c r="I75" s="1215" t="s">
        <v>592</v>
      </c>
    </row>
    <row r="76" spans="1:9" ht="21">
      <c r="A76" s="396"/>
      <c r="B76" s="411"/>
      <c r="C76" s="1046" t="s">
        <v>1555</v>
      </c>
      <c r="D76" s="1217"/>
      <c r="E76" s="1218">
        <v>0</v>
      </c>
      <c r="F76" s="1216"/>
      <c r="G76" s="1215" t="s">
        <v>592</v>
      </c>
      <c r="H76" s="1216"/>
      <c r="I76" s="1215" t="s">
        <v>592</v>
      </c>
    </row>
    <row r="77" spans="1:9" ht="18" thickBot="1">
      <c r="A77" s="396"/>
      <c r="B77" s="404"/>
      <c r="C77" s="398" t="s">
        <v>975</v>
      </c>
      <c r="D77" s="405"/>
      <c r="E77" s="1219">
        <v>0</v>
      </c>
      <c r="F77" s="1220"/>
      <c r="G77" s="1219" t="s">
        <v>592</v>
      </c>
      <c r="H77" s="1220"/>
      <c r="I77" s="1219" t="s">
        <v>592</v>
      </c>
    </row>
    <row r="78" spans="1:9" ht="13.5" thickTop="1">
      <c r="A78" s="396"/>
      <c r="B78" s="398"/>
      <c r="C78" s="398" t="s">
        <v>1063</v>
      </c>
      <c r="D78" s="405"/>
      <c r="E78" s="1202">
        <v>0</v>
      </c>
      <c r="F78" s="1202"/>
      <c r="G78" s="1202" t="s">
        <v>592</v>
      </c>
      <c r="H78" s="1202"/>
      <c r="I78" s="1202" t="s">
        <v>592</v>
      </c>
    </row>
    <row r="79" spans="1:9" ht="31.5" customHeight="1" thickBot="1">
      <c r="A79" s="396"/>
      <c r="B79" s="414" t="s">
        <v>976</v>
      </c>
      <c r="C79" s="398"/>
      <c r="D79" s="398"/>
      <c r="E79" s="1202">
        <v>0</v>
      </c>
      <c r="F79" s="1202"/>
      <c r="G79" s="1202">
        <v>0</v>
      </c>
      <c r="H79" s="1202"/>
      <c r="I79" s="415">
        <v>0</v>
      </c>
    </row>
    <row r="80" s="399" customFormat="1" ht="13.5" thickTop="1"/>
    <row r="81" spans="2:9" s="399" customFormat="1" ht="12.75">
      <c r="B81" s="399" t="s">
        <v>999</v>
      </c>
      <c r="I81" s="399" t="s">
        <v>1603</v>
      </c>
    </row>
    <row r="82" spans="2:9" s="399" customFormat="1" ht="21" thickBot="1">
      <c r="B82" s="404"/>
      <c r="E82" s="416"/>
      <c r="I82" s="1221"/>
    </row>
    <row r="83" spans="2:9" ht="13.5" thickTop="1">
      <c r="B83" s="399"/>
      <c r="C83" s="399"/>
      <c r="D83" s="399"/>
      <c r="E83" s="399"/>
      <c r="F83" s="399"/>
      <c r="G83" s="399"/>
      <c r="H83" s="399"/>
      <c r="I83" s="399"/>
    </row>
    <row r="84" spans="2:5" ht="12.75">
      <c r="B84" s="400" t="s">
        <v>1000</v>
      </c>
      <c r="E84" s="1221" t="s">
        <v>1603</v>
      </c>
    </row>
    <row r="85" spans="2:9" ht="12.75">
      <c r="B85" s="399"/>
      <c r="C85" s="399"/>
      <c r="D85" s="399"/>
      <c r="E85" s="399"/>
      <c r="F85" s="399"/>
      <c r="G85" s="399"/>
      <c r="H85" s="399"/>
      <c r="I85" s="399"/>
    </row>
    <row r="86" spans="2:9" ht="12.75">
      <c r="B86" s="399"/>
      <c r="C86" s="399"/>
      <c r="D86" s="399"/>
      <c r="E86" s="399"/>
      <c r="F86" s="399"/>
      <c r="G86" s="399"/>
      <c r="H86" s="399"/>
      <c r="I86" s="399"/>
    </row>
    <row r="87" spans="2:9" ht="12.75">
      <c r="B87" s="399"/>
      <c r="C87" s="399"/>
      <c r="D87" s="399"/>
      <c r="E87" s="399"/>
      <c r="F87" s="399"/>
      <c r="G87" s="399"/>
      <c r="H87" s="399"/>
      <c r="I87" s="399"/>
    </row>
    <row r="88" spans="2:9" ht="12.75">
      <c r="B88" s="399"/>
      <c r="C88" s="399"/>
      <c r="D88" s="399"/>
      <c r="E88" s="399"/>
      <c r="F88" s="399"/>
      <c r="G88" s="399"/>
      <c r="H88" s="399"/>
      <c r="I88" s="399"/>
    </row>
    <row r="89" spans="2:9" ht="12.75">
      <c r="B89" s="399"/>
      <c r="C89" s="399"/>
      <c r="D89" s="399"/>
      <c r="E89" s="399"/>
      <c r="F89" s="399"/>
      <c r="G89" s="399"/>
      <c r="H89" s="399"/>
      <c r="I89" s="399"/>
    </row>
    <row r="90" spans="2:9" ht="12.75">
      <c r="B90" s="399"/>
      <c r="C90" s="399"/>
      <c r="D90" s="399"/>
      <c r="E90" s="399"/>
      <c r="F90" s="399"/>
      <c r="G90" s="399"/>
      <c r="H90" s="399"/>
      <c r="I90" s="399"/>
    </row>
    <row r="91" spans="2:9" ht="12.75">
      <c r="B91" s="399"/>
      <c r="C91" s="399"/>
      <c r="D91" s="399"/>
      <c r="E91" s="399"/>
      <c r="F91" s="399"/>
      <c r="G91" s="399"/>
      <c r="H91" s="399"/>
      <c r="I91" s="399"/>
    </row>
    <row r="92" spans="2:9" ht="12.75">
      <c r="B92" s="399"/>
      <c r="C92" s="399"/>
      <c r="D92" s="399"/>
      <c r="E92" s="399"/>
      <c r="F92" s="399"/>
      <c r="G92" s="399"/>
      <c r="H92" s="399"/>
      <c r="I92" s="399"/>
    </row>
    <row r="93" spans="2:9" ht="12.75">
      <c r="B93" s="399"/>
      <c r="C93" s="399"/>
      <c r="D93" s="399"/>
      <c r="E93" s="399"/>
      <c r="F93" s="399"/>
      <c r="G93" s="399"/>
      <c r="H93" s="399"/>
      <c r="I93" s="399"/>
    </row>
    <row r="94" spans="2:9" ht="12.75">
      <c r="B94" s="399"/>
      <c r="C94" s="399"/>
      <c r="D94" s="399"/>
      <c r="E94" s="399"/>
      <c r="F94" s="399"/>
      <c r="G94" s="399"/>
      <c r="H94" s="399"/>
      <c r="I94" s="399"/>
    </row>
    <row r="95" spans="2:9" ht="12.75">
      <c r="B95" s="399"/>
      <c r="C95" s="399"/>
      <c r="D95" s="399"/>
      <c r="E95" s="399"/>
      <c r="F95" s="399"/>
      <c r="G95" s="399"/>
      <c r="H95" s="399"/>
      <c r="I95" s="399"/>
    </row>
    <row r="96" spans="2:9" ht="12.75">
      <c r="B96" s="399"/>
      <c r="C96" s="399"/>
      <c r="D96" s="399"/>
      <c r="E96" s="399"/>
      <c r="F96" s="399"/>
      <c r="G96" s="399"/>
      <c r="H96" s="399"/>
      <c r="I96" s="399"/>
    </row>
    <row r="97" spans="2:9" ht="12.75">
      <c r="B97" s="399"/>
      <c r="C97" s="399"/>
      <c r="D97" s="399"/>
      <c r="E97" s="399"/>
      <c r="F97" s="399"/>
      <c r="G97" s="399"/>
      <c r="H97" s="399"/>
      <c r="I97" s="399"/>
    </row>
    <row r="98" spans="2:9" ht="12.75">
      <c r="B98" s="399"/>
      <c r="C98" s="399"/>
      <c r="D98" s="399"/>
      <c r="E98" s="399"/>
      <c r="F98" s="399"/>
      <c r="G98" s="399"/>
      <c r="H98" s="399"/>
      <c r="I98" s="399"/>
    </row>
    <row r="99" spans="2:9" ht="12.75">
      <c r="B99" s="399"/>
      <c r="C99" s="399"/>
      <c r="D99" s="399"/>
      <c r="E99" s="399"/>
      <c r="F99" s="399"/>
      <c r="G99" s="399"/>
      <c r="H99" s="399"/>
      <c r="I99" s="399"/>
    </row>
    <row r="100" spans="2:9" ht="12.75">
      <c r="B100" s="399"/>
      <c r="C100" s="399"/>
      <c r="D100" s="399"/>
      <c r="E100" s="399"/>
      <c r="F100" s="399"/>
      <c r="G100" s="399"/>
      <c r="H100" s="399"/>
      <c r="I100" s="399"/>
    </row>
    <row r="101" spans="2:9" ht="12.75">
      <c r="B101" s="399"/>
      <c r="C101" s="399"/>
      <c r="D101" s="399"/>
      <c r="E101" s="399"/>
      <c r="F101" s="399"/>
      <c r="G101" s="399"/>
      <c r="H101" s="399"/>
      <c r="I101" s="399"/>
    </row>
    <row r="102" spans="2:9" ht="12.75">
      <c r="B102" s="399"/>
      <c r="C102" s="399"/>
      <c r="D102" s="399"/>
      <c r="E102" s="399"/>
      <c r="F102" s="399"/>
      <c r="G102" s="399"/>
      <c r="H102" s="399"/>
      <c r="I102" s="399"/>
    </row>
    <row r="103" spans="2:9" ht="12.75">
      <c r="B103" s="399"/>
      <c r="C103" s="399"/>
      <c r="D103" s="399"/>
      <c r="E103" s="399"/>
      <c r="F103" s="399"/>
      <c r="G103" s="399"/>
      <c r="H103" s="399"/>
      <c r="I103" s="399"/>
    </row>
    <row r="104" spans="2:9" ht="12.75">
      <c r="B104" s="399"/>
      <c r="C104" s="399"/>
      <c r="D104" s="399"/>
      <c r="E104" s="399"/>
      <c r="F104" s="399"/>
      <c r="G104" s="399"/>
      <c r="H104" s="399"/>
      <c r="I104" s="399"/>
    </row>
    <row r="105" spans="2:9" ht="12.75">
      <c r="B105" s="399"/>
      <c r="C105" s="399"/>
      <c r="D105" s="399"/>
      <c r="E105" s="399"/>
      <c r="F105" s="399"/>
      <c r="G105" s="399"/>
      <c r="H105" s="399"/>
      <c r="I105" s="399"/>
    </row>
    <row r="106" spans="2:9" ht="12.75">
      <c r="B106" s="399"/>
      <c r="C106" s="399"/>
      <c r="D106" s="399"/>
      <c r="E106" s="399"/>
      <c r="F106" s="399"/>
      <c r="G106" s="399"/>
      <c r="H106" s="399"/>
      <c r="I106" s="399"/>
    </row>
    <row r="107" spans="2:9" ht="12.75">
      <c r="B107" s="399"/>
      <c r="C107" s="399"/>
      <c r="D107" s="399"/>
      <c r="E107" s="399"/>
      <c r="F107" s="399"/>
      <c r="G107" s="399"/>
      <c r="H107" s="399"/>
      <c r="I107" s="399"/>
    </row>
    <row r="108" spans="2:9" ht="12.75">
      <c r="B108" s="399"/>
      <c r="C108" s="399"/>
      <c r="D108" s="399"/>
      <c r="E108" s="399"/>
      <c r="F108" s="399"/>
      <c r="G108" s="399"/>
      <c r="H108" s="399"/>
      <c r="I108" s="399"/>
    </row>
    <row r="109" spans="2:9" ht="12.75">
      <c r="B109" s="399"/>
      <c r="C109" s="399"/>
      <c r="D109" s="399"/>
      <c r="E109" s="399"/>
      <c r="F109" s="399"/>
      <c r="G109" s="399"/>
      <c r="H109" s="399"/>
      <c r="I109" s="399"/>
    </row>
    <row r="110" spans="2:9" ht="12.75">
      <c r="B110" s="399"/>
      <c r="C110" s="399"/>
      <c r="D110" s="399"/>
      <c r="E110" s="399"/>
      <c r="F110" s="399"/>
      <c r="G110" s="399"/>
      <c r="H110" s="399"/>
      <c r="I110" s="399"/>
    </row>
    <row r="111" spans="2:9" ht="12.75">
      <c r="B111" s="399"/>
      <c r="C111" s="399"/>
      <c r="D111" s="399"/>
      <c r="E111" s="399"/>
      <c r="F111" s="399"/>
      <c r="G111" s="399"/>
      <c r="H111" s="399"/>
      <c r="I111" s="399"/>
    </row>
    <row r="112" spans="2:9" ht="12.75">
      <c r="B112" s="399"/>
      <c r="C112" s="399"/>
      <c r="D112" s="399"/>
      <c r="E112" s="399"/>
      <c r="F112" s="399"/>
      <c r="G112" s="399"/>
      <c r="H112" s="399"/>
      <c r="I112" s="399"/>
    </row>
    <row r="113" spans="2:9" ht="12.75">
      <c r="B113" s="399"/>
      <c r="C113" s="399"/>
      <c r="D113" s="399"/>
      <c r="E113" s="399"/>
      <c r="F113" s="399"/>
      <c r="G113" s="399"/>
      <c r="H113" s="399"/>
      <c r="I113" s="399"/>
    </row>
    <row r="114" spans="2:9" ht="12.75">
      <c r="B114" s="399"/>
      <c r="C114" s="399"/>
      <c r="D114" s="399"/>
      <c r="E114" s="399"/>
      <c r="F114" s="399"/>
      <c r="G114" s="399"/>
      <c r="H114" s="399"/>
      <c r="I114" s="399"/>
    </row>
    <row r="131" s="399" customFormat="1" ht="12.75"/>
    <row r="132" s="399" customFormat="1" ht="12.75"/>
    <row r="133" ht="12.75">
      <c r="D133" s="406"/>
    </row>
    <row r="134" ht="12.75">
      <c r="D134" s="406"/>
    </row>
    <row r="135" ht="12.75">
      <c r="D135" s="406"/>
    </row>
    <row r="136" spans="6:7" ht="12.75">
      <c r="F136" s="1221"/>
      <c r="G136" s="1221"/>
    </row>
    <row r="137" ht="12.75">
      <c r="D137" s="406"/>
    </row>
    <row r="138" ht="12.75">
      <c r="D138" s="406"/>
    </row>
    <row r="139" ht="12.75">
      <c r="D139" s="406"/>
    </row>
  </sheetData>
  <sheetProtection/>
  <printOptions/>
  <pageMargins left="0.75" right="0.75" top="0.5" bottom="0.25" header="0.25" footer="0.5"/>
  <pageSetup horizontalDpi="600" verticalDpi="600" orientation="portrait" paperSize="5" scale="52" r:id="rId1"/>
</worksheet>
</file>

<file path=xl/worksheets/sheet14.xml><?xml version="1.0" encoding="utf-8"?>
<worksheet xmlns="http://schemas.openxmlformats.org/spreadsheetml/2006/main" xmlns:r="http://schemas.openxmlformats.org/officeDocument/2006/relationships">
  <sheetPr codeName="Sheet9"/>
  <dimension ref="A1:IV88"/>
  <sheetViews>
    <sheetView showGridLines="0" showZeros="0" zoomScale="50" zoomScaleNormal="50" zoomScaleSheetLayoutView="50" zoomScalePageLayoutView="0" workbookViewId="0" topLeftCell="A1">
      <selection activeCell="C4" sqref="C4:E4"/>
    </sheetView>
  </sheetViews>
  <sheetFormatPr defaultColWidth="9.77734375" defaultRowHeight="15"/>
  <cols>
    <col min="1" max="1" width="2.77734375" style="1223" customWidth="1"/>
    <col min="2" max="2" width="28.77734375" style="1223" customWidth="1"/>
    <col min="3" max="3" width="20.3359375" style="1223" customWidth="1"/>
    <col min="4" max="4" width="17.6640625" style="1232" customWidth="1"/>
    <col min="5" max="5" width="20.88671875" style="871" customWidth="1"/>
    <col min="6" max="6" width="14.3359375" style="1223" customWidth="1"/>
    <col min="7" max="7" width="31.5546875" style="1223" customWidth="1"/>
    <col min="8" max="8" width="8.6640625" style="1223" customWidth="1"/>
    <col min="9" max="9" width="1.99609375" style="872" customWidth="1"/>
    <col min="10" max="10" width="19.6640625" style="1223" customWidth="1"/>
    <col min="11" max="11" width="1.2265625" style="872" customWidth="1"/>
    <col min="12" max="12" width="9.77734375" style="872" customWidth="1"/>
    <col min="13" max="13" width="15.6640625" style="872" customWidth="1"/>
    <col min="14" max="23" width="9.77734375" style="872" customWidth="1"/>
    <col min="24" max="24" width="31.3359375" style="872" hidden="1" customWidth="1"/>
    <col min="25" max="26" width="19.99609375" style="872" hidden="1" customWidth="1"/>
    <col min="27" max="30" width="9.77734375" style="872" customWidth="1"/>
    <col min="31" max="255" width="8.99609375" style="1223" customWidth="1"/>
    <col min="256" max="16384" width="9.77734375" style="872" customWidth="1"/>
  </cols>
  <sheetData>
    <row r="1" spans="1:10" ht="42.75" customHeight="1">
      <c r="A1" s="1430"/>
      <c r="B1" s="1431" t="s">
        <v>1607</v>
      </c>
      <c r="C1" s="1432"/>
      <c r="D1" s="1433"/>
      <c r="E1" s="1432"/>
      <c r="F1" s="1432"/>
      <c r="G1" s="1432"/>
      <c r="H1" s="1432"/>
      <c r="I1" s="1434"/>
      <c r="J1" s="1435"/>
    </row>
    <row r="2" spans="1:255" ht="27" customHeight="1">
      <c r="A2" s="1436"/>
      <c r="B2" s="1437"/>
      <c r="C2" s="1438"/>
      <c r="D2" s="1439"/>
      <c r="E2" s="1438"/>
      <c r="F2" s="1438"/>
      <c r="G2" s="1438"/>
      <c r="H2" s="1438"/>
      <c r="I2" s="1440"/>
      <c r="J2" s="1441"/>
      <c r="AE2" s="871"/>
      <c r="AF2" s="871"/>
      <c r="AG2" s="871"/>
      <c r="AH2" s="871"/>
      <c r="AI2" s="871"/>
      <c r="AJ2" s="871"/>
      <c r="AK2" s="871"/>
      <c r="AL2" s="871"/>
      <c r="AM2" s="871"/>
      <c r="AN2" s="871"/>
      <c r="AO2" s="871"/>
      <c r="AP2" s="871"/>
      <c r="AQ2" s="871"/>
      <c r="AR2" s="871"/>
      <c r="AS2" s="871"/>
      <c r="AT2" s="871"/>
      <c r="AU2" s="871"/>
      <c r="AV2" s="871"/>
      <c r="AW2" s="871"/>
      <c r="AX2" s="871"/>
      <c r="AY2" s="871"/>
      <c r="AZ2" s="871"/>
      <c r="BA2" s="871"/>
      <c r="BB2" s="871"/>
      <c r="BC2" s="871"/>
      <c r="BD2" s="871"/>
      <c r="BE2" s="871"/>
      <c r="BF2" s="871"/>
      <c r="BG2" s="871"/>
      <c r="BH2" s="871"/>
      <c r="BI2" s="871"/>
      <c r="BJ2" s="871"/>
      <c r="BK2" s="871"/>
      <c r="BL2" s="871"/>
      <c r="BM2" s="871"/>
      <c r="BN2" s="871"/>
      <c r="BO2" s="871"/>
      <c r="BP2" s="871"/>
      <c r="BQ2" s="871"/>
      <c r="BR2" s="871"/>
      <c r="BS2" s="871"/>
      <c r="BT2" s="871"/>
      <c r="BU2" s="871"/>
      <c r="BV2" s="871"/>
      <c r="BW2" s="871"/>
      <c r="BX2" s="871"/>
      <c r="BY2" s="871"/>
      <c r="BZ2" s="871"/>
      <c r="CA2" s="871"/>
      <c r="CB2" s="871"/>
      <c r="CC2" s="871"/>
      <c r="CD2" s="871"/>
      <c r="CE2" s="871"/>
      <c r="CF2" s="871"/>
      <c r="CG2" s="871"/>
      <c r="CH2" s="871"/>
      <c r="CI2" s="871"/>
      <c r="CJ2" s="871"/>
      <c r="CK2" s="871"/>
      <c r="CL2" s="871"/>
      <c r="CM2" s="871"/>
      <c r="CN2" s="871"/>
      <c r="CO2" s="871"/>
      <c r="CP2" s="871"/>
      <c r="CQ2" s="871"/>
      <c r="CR2" s="871"/>
      <c r="CS2" s="871"/>
      <c r="CT2" s="871"/>
      <c r="CU2" s="871"/>
      <c r="CV2" s="871"/>
      <c r="CW2" s="871"/>
      <c r="CX2" s="871"/>
      <c r="CY2" s="871"/>
      <c r="CZ2" s="871"/>
      <c r="DA2" s="871"/>
      <c r="DB2" s="871"/>
      <c r="DC2" s="871"/>
      <c r="DD2" s="871"/>
      <c r="DE2" s="871"/>
      <c r="DF2" s="871"/>
      <c r="DG2" s="871"/>
      <c r="DH2" s="871"/>
      <c r="DI2" s="871"/>
      <c r="DJ2" s="871"/>
      <c r="DK2" s="871"/>
      <c r="DL2" s="871"/>
      <c r="DM2" s="871"/>
      <c r="DN2" s="871"/>
      <c r="DO2" s="871"/>
      <c r="DP2" s="871"/>
      <c r="DQ2" s="871"/>
      <c r="DR2" s="871"/>
      <c r="DS2" s="871"/>
      <c r="DT2" s="871"/>
      <c r="DU2" s="871"/>
      <c r="DV2" s="871"/>
      <c r="DW2" s="871"/>
      <c r="DX2" s="871"/>
      <c r="DY2" s="871"/>
      <c r="DZ2" s="871"/>
      <c r="EA2" s="871"/>
      <c r="EB2" s="871"/>
      <c r="EC2" s="871"/>
      <c r="ED2" s="871"/>
      <c r="EE2" s="871"/>
      <c r="EF2" s="871"/>
      <c r="EG2" s="871"/>
      <c r="EH2" s="871"/>
      <c r="EI2" s="871"/>
      <c r="EJ2" s="871"/>
      <c r="EK2" s="871"/>
      <c r="EL2" s="871"/>
      <c r="EM2" s="871"/>
      <c r="EN2" s="871"/>
      <c r="EO2" s="871"/>
      <c r="EP2" s="871"/>
      <c r="EQ2" s="871"/>
      <c r="ER2" s="871"/>
      <c r="ES2" s="871"/>
      <c r="ET2" s="871"/>
      <c r="EU2" s="871"/>
      <c r="EV2" s="871"/>
      <c r="EW2" s="871"/>
      <c r="EX2" s="871"/>
      <c r="EY2" s="871"/>
      <c r="EZ2" s="871"/>
      <c r="FA2" s="871"/>
      <c r="FB2" s="871"/>
      <c r="FC2" s="871"/>
      <c r="FD2" s="871"/>
      <c r="FE2" s="871"/>
      <c r="FF2" s="871"/>
      <c r="FG2" s="871"/>
      <c r="FH2" s="871"/>
      <c r="FI2" s="871"/>
      <c r="FJ2" s="871"/>
      <c r="FK2" s="871"/>
      <c r="FL2" s="871"/>
      <c r="FM2" s="871"/>
      <c r="FN2" s="871"/>
      <c r="FO2" s="871"/>
      <c r="FP2" s="871"/>
      <c r="FQ2" s="871"/>
      <c r="FR2" s="871"/>
      <c r="FS2" s="871"/>
      <c r="FT2" s="871"/>
      <c r="FU2" s="871"/>
      <c r="FV2" s="871"/>
      <c r="FW2" s="871"/>
      <c r="FX2" s="871"/>
      <c r="FY2" s="871"/>
      <c r="FZ2" s="871"/>
      <c r="GA2" s="871"/>
      <c r="GB2" s="871"/>
      <c r="GC2" s="871"/>
      <c r="GD2" s="871"/>
      <c r="GE2" s="871"/>
      <c r="GF2" s="871"/>
      <c r="GG2" s="871"/>
      <c r="GH2" s="871"/>
      <c r="GI2" s="871"/>
      <c r="GJ2" s="871"/>
      <c r="GK2" s="871"/>
      <c r="GL2" s="871"/>
      <c r="GM2" s="871"/>
      <c r="GN2" s="871"/>
      <c r="GO2" s="871"/>
      <c r="GP2" s="871"/>
      <c r="GQ2" s="871"/>
      <c r="GR2" s="871"/>
      <c r="GS2" s="871"/>
      <c r="GT2" s="871"/>
      <c r="GU2" s="871"/>
      <c r="GV2" s="871"/>
      <c r="GW2" s="871"/>
      <c r="GX2" s="871"/>
      <c r="GY2" s="871"/>
      <c r="GZ2" s="871"/>
      <c r="HA2" s="871"/>
      <c r="HB2" s="871"/>
      <c r="HC2" s="871"/>
      <c r="HD2" s="871"/>
      <c r="HE2" s="871"/>
      <c r="HF2" s="871"/>
      <c r="HG2" s="871"/>
      <c r="HH2" s="871"/>
      <c r="HI2" s="871"/>
      <c r="HJ2" s="871"/>
      <c r="HK2" s="871"/>
      <c r="HL2" s="871"/>
      <c r="HM2" s="871"/>
      <c r="HN2" s="871"/>
      <c r="HO2" s="871"/>
      <c r="HP2" s="871"/>
      <c r="HQ2" s="871"/>
      <c r="HR2" s="871"/>
      <c r="HS2" s="871"/>
      <c r="HT2" s="871"/>
      <c r="HU2" s="871"/>
      <c r="HV2" s="871"/>
      <c r="HW2" s="871"/>
      <c r="HX2" s="871"/>
      <c r="HY2" s="871"/>
      <c r="HZ2" s="871"/>
      <c r="IA2" s="871"/>
      <c r="IB2" s="871"/>
      <c r="IC2" s="871"/>
      <c r="ID2" s="871"/>
      <c r="IE2" s="871"/>
      <c r="IF2" s="871"/>
      <c r="IG2" s="871"/>
      <c r="IH2" s="871"/>
      <c r="II2" s="871"/>
      <c r="IJ2" s="871"/>
      <c r="IK2" s="871"/>
      <c r="IL2" s="871"/>
      <c r="IM2" s="871"/>
      <c r="IN2" s="871"/>
      <c r="IO2" s="871"/>
      <c r="IP2" s="871"/>
      <c r="IQ2" s="871"/>
      <c r="IR2" s="871"/>
      <c r="IS2" s="871"/>
      <c r="IT2" s="871"/>
      <c r="IU2" s="871"/>
    </row>
    <row r="3" spans="1:10" ht="24" hidden="1">
      <c r="A3" s="1436"/>
      <c r="B3" s="1438"/>
      <c r="C3" s="1438"/>
      <c r="D3" s="1439"/>
      <c r="E3" s="1438"/>
      <c r="F3" s="1438"/>
      <c r="G3" s="1438"/>
      <c r="H3" s="1438"/>
      <c r="I3" s="1440"/>
      <c r="J3" s="1441"/>
    </row>
    <row r="4" spans="1:10" ht="28.5" customHeight="1" thickBot="1">
      <c r="A4" s="1436"/>
      <c r="B4" s="1438" t="s">
        <v>918</v>
      </c>
      <c r="C4" s="1606">
        <f>EligBasisLimits!C4</f>
        <v>0</v>
      </c>
      <c r="D4" s="1606"/>
      <c r="E4" s="1606"/>
      <c r="F4" s="1438"/>
      <c r="G4" s="1438"/>
      <c r="H4" s="1438"/>
      <c r="I4" s="1440"/>
      <c r="J4" s="1441"/>
    </row>
    <row r="5" spans="1:10" ht="22.5" customHeight="1" thickBot="1" thickTop="1">
      <c r="A5" s="1436"/>
      <c r="B5" s="1438"/>
      <c r="C5" s="1438"/>
      <c r="D5" s="1442"/>
      <c r="E5" s="1443"/>
      <c r="F5" s="1438"/>
      <c r="G5" s="1438"/>
      <c r="H5" s="1438"/>
      <c r="I5" s="1440"/>
      <c r="J5" s="1441"/>
    </row>
    <row r="6" spans="1:256" ht="54.75" customHeight="1" thickTop="1">
      <c r="A6" s="1444"/>
      <c r="B6" s="1224" t="s">
        <v>1561</v>
      </c>
      <c r="C6" s="1225"/>
      <c r="D6" s="1226"/>
      <c r="E6" s="1225"/>
      <c r="F6" s="1225"/>
      <c r="G6" s="1225"/>
      <c r="H6" s="1225"/>
      <c r="I6" s="1225"/>
      <c r="J6" s="1445"/>
      <c r="IV6" s="1223"/>
    </row>
    <row r="7" spans="1:256" s="1228" customFormat="1" ht="30" customHeight="1">
      <c r="A7" s="1446"/>
      <c r="B7" s="1447"/>
      <c r="C7" s="1437"/>
      <c r="D7" s="1448"/>
      <c r="E7" s="1449"/>
      <c r="F7" s="1449"/>
      <c r="G7" s="1450"/>
      <c r="H7" s="1416"/>
      <c r="I7" s="1451"/>
      <c r="J7" s="1452"/>
      <c r="AE7" s="1229"/>
      <c r="AF7" s="1229"/>
      <c r="AG7" s="1229"/>
      <c r="AH7" s="1229"/>
      <c r="AI7" s="1229"/>
      <c r="AJ7" s="1229"/>
      <c r="AK7" s="1229"/>
      <c r="AL7" s="1229"/>
      <c r="AM7" s="1229"/>
      <c r="AN7" s="1229"/>
      <c r="AO7" s="1229"/>
      <c r="AP7" s="1229"/>
      <c r="AQ7" s="1229"/>
      <c r="AR7" s="1229"/>
      <c r="AS7" s="1229"/>
      <c r="AT7" s="1229"/>
      <c r="AU7" s="1229"/>
      <c r="AV7" s="1229"/>
      <c r="AW7" s="1229"/>
      <c r="AX7" s="1229"/>
      <c r="AY7" s="1229"/>
      <c r="AZ7" s="1229"/>
      <c r="BA7" s="1229"/>
      <c r="BB7" s="1229"/>
      <c r="BC7" s="1229"/>
      <c r="BD7" s="1229"/>
      <c r="BE7" s="1229"/>
      <c r="BF7" s="1229"/>
      <c r="BG7" s="1229"/>
      <c r="BH7" s="1229"/>
      <c r="BI7" s="1229"/>
      <c r="BJ7" s="1229"/>
      <c r="BK7" s="1229"/>
      <c r="BL7" s="1229"/>
      <c r="BM7" s="1229"/>
      <c r="BN7" s="1229"/>
      <c r="BO7" s="1229"/>
      <c r="BP7" s="1229"/>
      <c r="BQ7" s="1229"/>
      <c r="BR7" s="1229"/>
      <c r="BS7" s="1229"/>
      <c r="BT7" s="1229"/>
      <c r="BU7" s="1229"/>
      <c r="BV7" s="1229"/>
      <c r="BW7" s="1229"/>
      <c r="BX7" s="1229"/>
      <c r="BY7" s="1229"/>
      <c r="BZ7" s="1229"/>
      <c r="CA7" s="1229"/>
      <c r="CB7" s="1229"/>
      <c r="CC7" s="1229"/>
      <c r="CD7" s="1229"/>
      <c r="CE7" s="1229"/>
      <c r="CF7" s="1229"/>
      <c r="CG7" s="1229"/>
      <c r="CH7" s="1229"/>
      <c r="CI7" s="1229"/>
      <c r="CJ7" s="1229"/>
      <c r="CK7" s="1229"/>
      <c r="CL7" s="1229"/>
      <c r="CM7" s="1229"/>
      <c r="CN7" s="1229"/>
      <c r="CO7" s="1229"/>
      <c r="CP7" s="1229"/>
      <c r="CQ7" s="1229"/>
      <c r="CR7" s="1229"/>
      <c r="CS7" s="1229"/>
      <c r="CT7" s="1229"/>
      <c r="CU7" s="1229"/>
      <c r="CV7" s="1229"/>
      <c r="CW7" s="1229"/>
      <c r="CX7" s="1229"/>
      <c r="CY7" s="1229"/>
      <c r="CZ7" s="1229"/>
      <c r="DA7" s="1229"/>
      <c r="DB7" s="1229"/>
      <c r="DC7" s="1229"/>
      <c r="DD7" s="1229"/>
      <c r="DE7" s="1229"/>
      <c r="DF7" s="1229"/>
      <c r="DG7" s="1229"/>
      <c r="DH7" s="1229"/>
      <c r="DI7" s="1229"/>
      <c r="DJ7" s="1229"/>
      <c r="DK7" s="1229"/>
      <c r="DL7" s="1229"/>
      <c r="DM7" s="1229"/>
      <c r="DN7" s="1229"/>
      <c r="DO7" s="1229"/>
      <c r="DP7" s="1229"/>
      <c r="DQ7" s="1229"/>
      <c r="DR7" s="1229"/>
      <c r="DS7" s="1229"/>
      <c r="DT7" s="1229"/>
      <c r="DU7" s="1229"/>
      <c r="DV7" s="1229"/>
      <c r="DW7" s="1229"/>
      <c r="DX7" s="1229"/>
      <c r="DY7" s="1229"/>
      <c r="DZ7" s="1229"/>
      <c r="EA7" s="1229"/>
      <c r="EB7" s="1229"/>
      <c r="EC7" s="1229"/>
      <c r="ED7" s="1229"/>
      <c r="EE7" s="1229"/>
      <c r="EF7" s="1229"/>
      <c r="EG7" s="1229"/>
      <c r="EH7" s="1229"/>
      <c r="EI7" s="1229"/>
      <c r="EJ7" s="1229"/>
      <c r="EK7" s="1229"/>
      <c r="EL7" s="1229"/>
      <c r="EM7" s="1229"/>
      <c r="EN7" s="1229"/>
      <c r="EO7" s="1229"/>
      <c r="EP7" s="1229"/>
      <c r="EQ7" s="1229"/>
      <c r="ER7" s="1229"/>
      <c r="ES7" s="1229"/>
      <c r="ET7" s="1229"/>
      <c r="EU7" s="1229"/>
      <c r="EV7" s="1229"/>
      <c r="EW7" s="1229"/>
      <c r="EX7" s="1229"/>
      <c r="EY7" s="1229"/>
      <c r="EZ7" s="1229"/>
      <c r="FA7" s="1229"/>
      <c r="FB7" s="1229"/>
      <c r="FC7" s="1229"/>
      <c r="FD7" s="1229"/>
      <c r="FE7" s="1229"/>
      <c r="FF7" s="1229"/>
      <c r="FG7" s="1229"/>
      <c r="FH7" s="1229"/>
      <c r="FI7" s="1229"/>
      <c r="FJ7" s="1229"/>
      <c r="FK7" s="1229"/>
      <c r="FL7" s="1229"/>
      <c r="FM7" s="1229"/>
      <c r="FN7" s="1229"/>
      <c r="FO7" s="1229"/>
      <c r="FP7" s="1229"/>
      <c r="FQ7" s="1229"/>
      <c r="FR7" s="1229"/>
      <c r="FS7" s="1229"/>
      <c r="FT7" s="1229"/>
      <c r="FU7" s="1229"/>
      <c r="FV7" s="1229"/>
      <c r="FW7" s="1229"/>
      <c r="FX7" s="1229"/>
      <c r="FY7" s="1229"/>
      <c r="FZ7" s="1229"/>
      <c r="GA7" s="1229"/>
      <c r="GB7" s="1229"/>
      <c r="GC7" s="1229"/>
      <c r="GD7" s="1229"/>
      <c r="GE7" s="1229"/>
      <c r="GF7" s="1229"/>
      <c r="GG7" s="1229"/>
      <c r="GH7" s="1229"/>
      <c r="GI7" s="1229"/>
      <c r="GJ7" s="1229"/>
      <c r="GK7" s="1229"/>
      <c r="GL7" s="1229"/>
      <c r="GM7" s="1229"/>
      <c r="GN7" s="1229"/>
      <c r="GO7" s="1229"/>
      <c r="GP7" s="1229"/>
      <c r="GQ7" s="1229"/>
      <c r="GR7" s="1229"/>
      <c r="GS7" s="1229"/>
      <c r="GT7" s="1229"/>
      <c r="GU7" s="1229"/>
      <c r="GV7" s="1229"/>
      <c r="GW7" s="1229"/>
      <c r="GX7" s="1229"/>
      <c r="GY7" s="1229"/>
      <c r="GZ7" s="1229"/>
      <c r="HA7" s="1229"/>
      <c r="HB7" s="1229"/>
      <c r="HC7" s="1229"/>
      <c r="HD7" s="1229"/>
      <c r="HE7" s="1229"/>
      <c r="HF7" s="1229"/>
      <c r="HG7" s="1229"/>
      <c r="HH7" s="1229"/>
      <c r="HI7" s="1229"/>
      <c r="HJ7" s="1229"/>
      <c r="HK7" s="1229"/>
      <c r="HL7" s="1229"/>
      <c r="HM7" s="1229"/>
      <c r="HN7" s="1229"/>
      <c r="HO7" s="1229"/>
      <c r="HP7" s="1229"/>
      <c r="HQ7" s="1229"/>
      <c r="HR7" s="1229"/>
      <c r="HS7" s="1229"/>
      <c r="HT7" s="1229"/>
      <c r="HU7" s="1229"/>
      <c r="HV7" s="1229"/>
      <c r="HW7" s="1229"/>
      <c r="HX7" s="1229"/>
      <c r="HY7" s="1229"/>
      <c r="HZ7" s="1229"/>
      <c r="IA7" s="1229"/>
      <c r="IB7" s="1229"/>
      <c r="IC7" s="1229"/>
      <c r="ID7" s="1229"/>
      <c r="IE7" s="1229"/>
      <c r="IF7" s="1229"/>
      <c r="IG7" s="1229"/>
      <c r="IH7" s="1229"/>
      <c r="II7" s="1229"/>
      <c r="IJ7" s="1229"/>
      <c r="IK7" s="1229"/>
      <c r="IL7" s="1229"/>
      <c r="IM7" s="1229"/>
      <c r="IN7" s="1229"/>
      <c r="IO7" s="1229"/>
      <c r="IP7" s="1229"/>
      <c r="IQ7" s="1229"/>
      <c r="IR7" s="1229"/>
      <c r="IS7" s="1229"/>
      <c r="IT7" s="1229"/>
      <c r="IU7" s="1229"/>
      <c r="IV7" s="1229"/>
    </row>
    <row r="8" spans="1:256" s="1228" customFormat="1" ht="30" customHeight="1">
      <c r="A8" s="1446"/>
      <c r="B8" s="1453" t="s">
        <v>1618</v>
      </c>
      <c r="C8" s="1425"/>
      <c r="D8" s="1448"/>
      <c r="E8" s="1449"/>
      <c r="F8" s="1449"/>
      <c r="G8" s="1450"/>
      <c r="H8" s="1416"/>
      <c r="I8" s="1451"/>
      <c r="J8" s="1452"/>
      <c r="AE8" s="1229"/>
      <c r="AF8" s="1229"/>
      <c r="AG8" s="1229"/>
      <c r="AH8" s="1229"/>
      <c r="AI8" s="1229"/>
      <c r="AJ8" s="1229"/>
      <c r="AK8" s="1229"/>
      <c r="AL8" s="1229"/>
      <c r="AM8" s="1229"/>
      <c r="AN8" s="1229"/>
      <c r="AO8" s="1229"/>
      <c r="AP8" s="1229"/>
      <c r="AQ8" s="1229"/>
      <c r="AR8" s="1229"/>
      <c r="AS8" s="1229"/>
      <c r="AT8" s="1229"/>
      <c r="AU8" s="1229"/>
      <c r="AV8" s="1229"/>
      <c r="AW8" s="1229"/>
      <c r="AX8" s="1229"/>
      <c r="AY8" s="1229"/>
      <c r="AZ8" s="1229"/>
      <c r="BA8" s="1229"/>
      <c r="BB8" s="1229"/>
      <c r="BC8" s="1229"/>
      <c r="BD8" s="1229"/>
      <c r="BE8" s="1229"/>
      <c r="BF8" s="1229"/>
      <c r="BG8" s="1229"/>
      <c r="BH8" s="1229"/>
      <c r="BI8" s="1229"/>
      <c r="BJ8" s="1229"/>
      <c r="BK8" s="1229"/>
      <c r="BL8" s="1229"/>
      <c r="BM8" s="1229"/>
      <c r="BN8" s="1229"/>
      <c r="BO8" s="1229"/>
      <c r="BP8" s="1229"/>
      <c r="BQ8" s="1229"/>
      <c r="BR8" s="1229"/>
      <c r="BS8" s="1229"/>
      <c r="BT8" s="1229"/>
      <c r="BU8" s="1229"/>
      <c r="BV8" s="1229"/>
      <c r="BW8" s="1229"/>
      <c r="BX8" s="1229"/>
      <c r="BY8" s="1229"/>
      <c r="BZ8" s="1229"/>
      <c r="CA8" s="1229"/>
      <c r="CB8" s="1229"/>
      <c r="CC8" s="1229"/>
      <c r="CD8" s="1229"/>
      <c r="CE8" s="1229"/>
      <c r="CF8" s="1229"/>
      <c r="CG8" s="1229"/>
      <c r="CH8" s="1229"/>
      <c r="CI8" s="1229"/>
      <c r="CJ8" s="1229"/>
      <c r="CK8" s="1229"/>
      <c r="CL8" s="1229"/>
      <c r="CM8" s="1229"/>
      <c r="CN8" s="1229"/>
      <c r="CO8" s="1229"/>
      <c r="CP8" s="1229"/>
      <c r="CQ8" s="1229"/>
      <c r="CR8" s="1229"/>
      <c r="CS8" s="1229"/>
      <c r="CT8" s="1229"/>
      <c r="CU8" s="1229"/>
      <c r="CV8" s="1229"/>
      <c r="CW8" s="1229"/>
      <c r="CX8" s="1229"/>
      <c r="CY8" s="1229"/>
      <c r="CZ8" s="1229"/>
      <c r="DA8" s="1229"/>
      <c r="DB8" s="1229"/>
      <c r="DC8" s="1229"/>
      <c r="DD8" s="1229"/>
      <c r="DE8" s="1229"/>
      <c r="DF8" s="1229"/>
      <c r="DG8" s="1229"/>
      <c r="DH8" s="1229"/>
      <c r="DI8" s="1229"/>
      <c r="DJ8" s="1229"/>
      <c r="DK8" s="1229"/>
      <c r="DL8" s="1229"/>
      <c r="DM8" s="1229"/>
      <c r="DN8" s="1229"/>
      <c r="DO8" s="1229"/>
      <c r="DP8" s="1229"/>
      <c r="DQ8" s="1229"/>
      <c r="DR8" s="1229"/>
      <c r="DS8" s="1229"/>
      <c r="DT8" s="1229"/>
      <c r="DU8" s="1229"/>
      <c r="DV8" s="1229"/>
      <c r="DW8" s="1229"/>
      <c r="DX8" s="1229"/>
      <c r="DY8" s="1229"/>
      <c r="DZ8" s="1229"/>
      <c r="EA8" s="1229"/>
      <c r="EB8" s="1229"/>
      <c r="EC8" s="1229"/>
      <c r="ED8" s="1229"/>
      <c r="EE8" s="1229"/>
      <c r="EF8" s="1229"/>
      <c r="EG8" s="1229"/>
      <c r="EH8" s="1229"/>
      <c r="EI8" s="1229"/>
      <c r="EJ8" s="1229"/>
      <c r="EK8" s="1229"/>
      <c r="EL8" s="1229"/>
      <c r="EM8" s="1229"/>
      <c r="EN8" s="1229"/>
      <c r="EO8" s="1229"/>
      <c r="EP8" s="1229"/>
      <c r="EQ8" s="1229"/>
      <c r="ER8" s="1229"/>
      <c r="ES8" s="1229"/>
      <c r="ET8" s="1229"/>
      <c r="EU8" s="1229"/>
      <c r="EV8" s="1229"/>
      <c r="EW8" s="1229"/>
      <c r="EX8" s="1229"/>
      <c r="EY8" s="1229"/>
      <c r="EZ8" s="1229"/>
      <c r="FA8" s="1229"/>
      <c r="FB8" s="1229"/>
      <c r="FC8" s="1229"/>
      <c r="FD8" s="1229"/>
      <c r="FE8" s="1229"/>
      <c r="FF8" s="1229"/>
      <c r="FG8" s="1229"/>
      <c r="FH8" s="1229"/>
      <c r="FI8" s="1229"/>
      <c r="FJ8" s="1229"/>
      <c r="FK8" s="1229"/>
      <c r="FL8" s="1229"/>
      <c r="FM8" s="1229"/>
      <c r="FN8" s="1229"/>
      <c r="FO8" s="1229"/>
      <c r="FP8" s="1229"/>
      <c r="FQ8" s="1229"/>
      <c r="FR8" s="1229"/>
      <c r="FS8" s="1229"/>
      <c r="FT8" s="1229"/>
      <c r="FU8" s="1229"/>
      <c r="FV8" s="1229"/>
      <c r="FW8" s="1229"/>
      <c r="FX8" s="1229"/>
      <c r="FY8" s="1229"/>
      <c r="FZ8" s="1229"/>
      <c r="GA8" s="1229"/>
      <c r="GB8" s="1229"/>
      <c r="GC8" s="1229"/>
      <c r="GD8" s="1229"/>
      <c r="GE8" s="1229"/>
      <c r="GF8" s="1229"/>
      <c r="GG8" s="1229"/>
      <c r="GH8" s="1229"/>
      <c r="GI8" s="1229"/>
      <c r="GJ8" s="1229"/>
      <c r="GK8" s="1229"/>
      <c r="GL8" s="1229"/>
      <c r="GM8" s="1229"/>
      <c r="GN8" s="1229"/>
      <c r="GO8" s="1229"/>
      <c r="GP8" s="1229"/>
      <c r="GQ8" s="1229"/>
      <c r="GR8" s="1229"/>
      <c r="GS8" s="1229"/>
      <c r="GT8" s="1229"/>
      <c r="GU8" s="1229"/>
      <c r="GV8" s="1229"/>
      <c r="GW8" s="1229"/>
      <c r="GX8" s="1229"/>
      <c r="GY8" s="1229"/>
      <c r="GZ8" s="1229"/>
      <c r="HA8" s="1229"/>
      <c r="HB8" s="1229"/>
      <c r="HC8" s="1229"/>
      <c r="HD8" s="1229"/>
      <c r="HE8" s="1229"/>
      <c r="HF8" s="1229"/>
      <c r="HG8" s="1229"/>
      <c r="HH8" s="1229"/>
      <c r="HI8" s="1229"/>
      <c r="HJ8" s="1229"/>
      <c r="HK8" s="1229"/>
      <c r="HL8" s="1229"/>
      <c r="HM8" s="1229"/>
      <c r="HN8" s="1229"/>
      <c r="HO8" s="1229"/>
      <c r="HP8" s="1229"/>
      <c r="HQ8" s="1229"/>
      <c r="HR8" s="1229"/>
      <c r="HS8" s="1229"/>
      <c r="HT8" s="1229"/>
      <c r="HU8" s="1229"/>
      <c r="HV8" s="1229"/>
      <c r="HW8" s="1229"/>
      <c r="HX8" s="1229"/>
      <c r="HY8" s="1229"/>
      <c r="HZ8" s="1229"/>
      <c r="IA8" s="1229"/>
      <c r="IB8" s="1229"/>
      <c r="IC8" s="1229"/>
      <c r="ID8" s="1229"/>
      <c r="IE8" s="1229"/>
      <c r="IF8" s="1229"/>
      <c r="IG8" s="1229"/>
      <c r="IH8" s="1229"/>
      <c r="II8" s="1229"/>
      <c r="IJ8" s="1229"/>
      <c r="IK8" s="1229"/>
      <c r="IL8" s="1229"/>
      <c r="IM8" s="1229"/>
      <c r="IN8" s="1229"/>
      <c r="IO8" s="1229"/>
      <c r="IP8" s="1229"/>
      <c r="IQ8" s="1229"/>
      <c r="IR8" s="1229"/>
      <c r="IS8" s="1229"/>
      <c r="IT8" s="1229"/>
      <c r="IU8" s="1229"/>
      <c r="IV8" s="1229"/>
    </row>
    <row r="9" spans="1:256" s="1228" customFormat="1" ht="19.5" customHeight="1">
      <c r="A9" s="1446"/>
      <c r="B9" s="1454"/>
      <c r="C9" s="1437"/>
      <c r="D9" s="1448"/>
      <c r="E9" s="1449"/>
      <c r="F9" s="1449"/>
      <c r="G9" s="1450"/>
      <c r="H9" s="1416"/>
      <c r="I9" s="1451"/>
      <c r="J9" s="1452"/>
      <c r="AE9" s="1229"/>
      <c r="AF9" s="1229"/>
      <c r="AG9" s="1229"/>
      <c r="AH9" s="1229"/>
      <c r="AI9" s="1229"/>
      <c r="AJ9" s="1229"/>
      <c r="AK9" s="1229"/>
      <c r="AL9" s="1229"/>
      <c r="AM9" s="1229"/>
      <c r="AN9" s="1229"/>
      <c r="AO9" s="1229"/>
      <c r="AP9" s="1229"/>
      <c r="AQ9" s="1229"/>
      <c r="AR9" s="1229"/>
      <c r="AS9" s="1229"/>
      <c r="AT9" s="1229"/>
      <c r="AU9" s="1229"/>
      <c r="AV9" s="1229"/>
      <c r="AW9" s="1229"/>
      <c r="AX9" s="1229"/>
      <c r="AY9" s="1229"/>
      <c r="AZ9" s="1229"/>
      <c r="BA9" s="1229"/>
      <c r="BB9" s="1229"/>
      <c r="BC9" s="1229"/>
      <c r="BD9" s="1229"/>
      <c r="BE9" s="1229"/>
      <c r="BF9" s="1229"/>
      <c r="BG9" s="1229"/>
      <c r="BH9" s="1229"/>
      <c r="BI9" s="1229"/>
      <c r="BJ9" s="1229"/>
      <c r="BK9" s="1229"/>
      <c r="BL9" s="1229"/>
      <c r="BM9" s="1229"/>
      <c r="BN9" s="1229"/>
      <c r="BO9" s="1229"/>
      <c r="BP9" s="1229"/>
      <c r="BQ9" s="1229"/>
      <c r="BR9" s="1229"/>
      <c r="BS9" s="1229"/>
      <c r="BT9" s="1229"/>
      <c r="BU9" s="1229"/>
      <c r="BV9" s="1229"/>
      <c r="BW9" s="1229"/>
      <c r="BX9" s="1229"/>
      <c r="BY9" s="1229"/>
      <c r="BZ9" s="1229"/>
      <c r="CA9" s="1229"/>
      <c r="CB9" s="1229"/>
      <c r="CC9" s="1229"/>
      <c r="CD9" s="1229"/>
      <c r="CE9" s="1229"/>
      <c r="CF9" s="1229"/>
      <c r="CG9" s="1229"/>
      <c r="CH9" s="1229"/>
      <c r="CI9" s="1229"/>
      <c r="CJ9" s="1229"/>
      <c r="CK9" s="1229"/>
      <c r="CL9" s="1229"/>
      <c r="CM9" s="1229"/>
      <c r="CN9" s="1229"/>
      <c r="CO9" s="1229"/>
      <c r="CP9" s="1229"/>
      <c r="CQ9" s="1229"/>
      <c r="CR9" s="1229"/>
      <c r="CS9" s="1229"/>
      <c r="CT9" s="1229"/>
      <c r="CU9" s="1229"/>
      <c r="CV9" s="1229"/>
      <c r="CW9" s="1229"/>
      <c r="CX9" s="1229"/>
      <c r="CY9" s="1229"/>
      <c r="CZ9" s="1229"/>
      <c r="DA9" s="1229"/>
      <c r="DB9" s="1229"/>
      <c r="DC9" s="1229"/>
      <c r="DD9" s="1229"/>
      <c r="DE9" s="1229"/>
      <c r="DF9" s="1229"/>
      <c r="DG9" s="1229"/>
      <c r="DH9" s="1229"/>
      <c r="DI9" s="1229"/>
      <c r="DJ9" s="1229"/>
      <c r="DK9" s="1229"/>
      <c r="DL9" s="1229"/>
      <c r="DM9" s="1229"/>
      <c r="DN9" s="1229"/>
      <c r="DO9" s="1229"/>
      <c r="DP9" s="1229"/>
      <c r="DQ9" s="1229"/>
      <c r="DR9" s="1229"/>
      <c r="DS9" s="1229"/>
      <c r="DT9" s="1229"/>
      <c r="DU9" s="1229"/>
      <c r="DV9" s="1229"/>
      <c r="DW9" s="1229"/>
      <c r="DX9" s="1229"/>
      <c r="DY9" s="1229"/>
      <c r="DZ9" s="1229"/>
      <c r="EA9" s="1229"/>
      <c r="EB9" s="1229"/>
      <c r="EC9" s="1229"/>
      <c r="ED9" s="1229"/>
      <c r="EE9" s="1229"/>
      <c r="EF9" s="1229"/>
      <c r="EG9" s="1229"/>
      <c r="EH9" s="1229"/>
      <c r="EI9" s="1229"/>
      <c r="EJ9" s="1229"/>
      <c r="EK9" s="1229"/>
      <c r="EL9" s="1229"/>
      <c r="EM9" s="1229"/>
      <c r="EN9" s="1229"/>
      <c r="EO9" s="1229"/>
      <c r="EP9" s="1229"/>
      <c r="EQ9" s="1229"/>
      <c r="ER9" s="1229"/>
      <c r="ES9" s="1229"/>
      <c r="ET9" s="1229"/>
      <c r="EU9" s="1229"/>
      <c r="EV9" s="1229"/>
      <c r="EW9" s="1229"/>
      <c r="EX9" s="1229"/>
      <c r="EY9" s="1229"/>
      <c r="EZ9" s="1229"/>
      <c r="FA9" s="1229"/>
      <c r="FB9" s="1229"/>
      <c r="FC9" s="1229"/>
      <c r="FD9" s="1229"/>
      <c r="FE9" s="1229"/>
      <c r="FF9" s="1229"/>
      <c r="FG9" s="1229"/>
      <c r="FH9" s="1229"/>
      <c r="FI9" s="1229"/>
      <c r="FJ9" s="1229"/>
      <c r="FK9" s="1229"/>
      <c r="FL9" s="1229"/>
      <c r="FM9" s="1229"/>
      <c r="FN9" s="1229"/>
      <c r="FO9" s="1229"/>
      <c r="FP9" s="1229"/>
      <c r="FQ9" s="1229"/>
      <c r="FR9" s="1229"/>
      <c r="FS9" s="1229"/>
      <c r="FT9" s="1229"/>
      <c r="FU9" s="1229"/>
      <c r="FV9" s="1229"/>
      <c r="FW9" s="1229"/>
      <c r="FX9" s="1229"/>
      <c r="FY9" s="1229"/>
      <c r="FZ9" s="1229"/>
      <c r="GA9" s="1229"/>
      <c r="GB9" s="1229"/>
      <c r="GC9" s="1229"/>
      <c r="GD9" s="1229"/>
      <c r="GE9" s="1229"/>
      <c r="GF9" s="1229"/>
      <c r="GG9" s="1229"/>
      <c r="GH9" s="1229"/>
      <c r="GI9" s="1229"/>
      <c r="GJ9" s="1229"/>
      <c r="GK9" s="1229"/>
      <c r="GL9" s="1229"/>
      <c r="GM9" s="1229"/>
      <c r="GN9" s="1229"/>
      <c r="GO9" s="1229"/>
      <c r="GP9" s="1229"/>
      <c r="GQ9" s="1229"/>
      <c r="GR9" s="1229"/>
      <c r="GS9" s="1229"/>
      <c r="GT9" s="1229"/>
      <c r="GU9" s="1229"/>
      <c r="GV9" s="1229"/>
      <c r="GW9" s="1229"/>
      <c r="GX9" s="1229"/>
      <c r="GY9" s="1229"/>
      <c r="GZ9" s="1229"/>
      <c r="HA9" s="1229"/>
      <c r="HB9" s="1229"/>
      <c r="HC9" s="1229"/>
      <c r="HD9" s="1229"/>
      <c r="HE9" s="1229"/>
      <c r="HF9" s="1229"/>
      <c r="HG9" s="1229"/>
      <c r="HH9" s="1229"/>
      <c r="HI9" s="1229"/>
      <c r="HJ9" s="1229"/>
      <c r="HK9" s="1229"/>
      <c r="HL9" s="1229"/>
      <c r="HM9" s="1229"/>
      <c r="HN9" s="1229"/>
      <c r="HO9" s="1229"/>
      <c r="HP9" s="1229"/>
      <c r="HQ9" s="1229"/>
      <c r="HR9" s="1229"/>
      <c r="HS9" s="1229"/>
      <c r="HT9" s="1229"/>
      <c r="HU9" s="1229"/>
      <c r="HV9" s="1229"/>
      <c r="HW9" s="1229"/>
      <c r="HX9" s="1229"/>
      <c r="HY9" s="1229"/>
      <c r="HZ9" s="1229"/>
      <c r="IA9" s="1229"/>
      <c r="IB9" s="1229"/>
      <c r="IC9" s="1229"/>
      <c r="ID9" s="1229"/>
      <c r="IE9" s="1229"/>
      <c r="IF9" s="1229"/>
      <c r="IG9" s="1229"/>
      <c r="IH9" s="1229"/>
      <c r="II9" s="1229"/>
      <c r="IJ9" s="1229"/>
      <c r="IK9" s="1229"/>
      <c r="IL9" s="1229"/>
      <c r="IM9" s="1229"/>
      <c r="IN9" s="1229"/>
      <c r="IO9" s="1229"/>
      <c r="IP9" s="1229"/>
      <c r="IQ9" s="1229"/>
      <c r="IR9" s="1229"/>
      <c r="IS9" s="1229"/>
      <c r="IT9" s="1229"/>
      <c r="IU9" s="1229"/>
      <c r="IV9" s="1229"/>
    </row>
    <row r="10" spans="1:256" ht="17.25" customHeight="1">
      <c r="A10" s="1436"/>
      <c r="B10" s="1455"/>
      <c r="C10" s="1438"/>
      <c r="D10" s="1439"/>
      <c r="E10" s="1438"/>
      <c r="F10" s="1438"/>
      <c r="G10" s="1438"/>
      <c r="H10" s="1438"/>
      <c r="I10" s="1438"/>
      <c r="J10" s="1441"/>
      <c r="IV10" s="1223"/>
    </row>
    <row r="11" spans="1:256" ht="30.75" customHeight="1">
      <c r="A11" s="1436"/>
      <c r="B11" s="1510" t="s">
        <v>1608</v>
      </c>
      <c r="C11" s="1438"/>
      <c r="D11" s="1439"/>
      <c r="E11" s="1438"/>
      <c r="F11" s="1456"/>
      <c r="G11" s="1510" t="s">
        <v>1609</v>
      </c>
      <c r="H11" s="1438"/>
      <c r="I11" s="1439"/>
      <c r="J11" s="1441"/>
      <c r="IV11" s="1223"/>
    </row>
    <row r="12" spans="1:256" s="1228" customFormat="1" ht="30" customHeight="1">
      <c r="A12" s="1446"/>
      <c r="B12" s="1447"/>
      <c r="C12" s="1437"/>
      <c r="D12" s="1448"/>
      <c r="E12" s="1449"/>
      <c r="F12" s="1457"/>
      <c r="G12" s="1449"/>
      <c r="H12" s="1450"/>
      <c r="I12" s="1416"/>
      <c r="J12" s="1452"/>
      <c r="AE12" s="1229"/>
      <c r="AF12" s="1229"/>
      <c r="AG12" s="1229"/>
      <c r="AH12" s="1229"/>
      <c r="AI12" s="1229"/>
      <c r="AJ12" s="1229"/>
      <c r="AK12" s="1229"/>
      <c r="AL12" s="1229"/>
      <c r="AM12" s="1229"/>
      <c r="AN12" s="1229"/>
      <c r="AO12" s="1229"/>
      <c r="AP12" s="1229"/>
      <c r="AQ12" s="1229"/>
      <c r="AR12" s="1229"/>
      <c r="AS12" s="1229"/>
      <c r="AT12" s="1229"/>
      <c r="AU12" s="1229"/>
      <c r="AV12" s="1229"/>
      <c r="AW12" s="1229"/>
      <c r="AX12" s="1229"/>
      <c r="AY12" s="1229"/>
      <c r="AZ12" s="1229"/>
      <c r="BA12" s="1229"/>
      <c r="BB12" s="1229"/>
      <c r="BC12" s="1229"/>
      <c r="BD12" s="1229"/>
      <c r="BE12" s="1229"/>
      <c r="BF12" s="1229"/>
      <c r="BG12" s="1229"/>
      <c r="BH12" s="1229"/>
      <c r="BI12" s="1229"/>
      <c r="BJ12" s="1229"/>
      <c r="BK12" s="1229"/>
      <c r="BL12" s="1229"/>
      <c r="BM12" s="1229"/>
      <c r="BN12" s="1229"/>
      <c r="BO12" s="1229"/>
      <c r="BP12" s="1229"/>
      <c r="BQ12" s="1229"/>
      <c r="BR12" s="1229"/>
      <c r="BS12" s="1229"/>
      <c r="BT12" s="1229"/>
      <c r="BU12" s="1229"/>
      <c r="BV12" s="1229"/>
      <c r="BW12" s="1229"/>
      <c r="BX12" s="1229"/>
      <c r="BY12" s="1229"/>
      <c r="BZ12" s="1229"/>
      <c r="CA12" s="1229"/>
      <c r="CB12" s="1229"/>
      <c r="CC12" s="1229"/>
      <c r="CD12" s="1229"/>
      <c r="CE12" s="1229"/>
      <c r="CF12" s="1229"/>
      <c r="CG12" s="1229"/>
      <c r="CH12" s="1229"/>
      <c r="CI12" s="1229"/>
      <c r="CJ12" s="1229"/>
      <c r="CK12" s="1229"/>
      <c r="CL12" s="1229"/>
      <c r="CM12" s="1229"/>
      <c r="CN12" s="1229"/>
      <c r="CO12" s="1229"/>
      <c r="CP12" s="1229"/>
      <c r="CQ12" s="1229"/>
      <c r="CR12" s="1229"/>
      <c r="CS12" s="1229"/>
      <c r="CT12" s="1229"/>
      <c r="CU12" s="1229"/>
      <c r="CV12" s="1229"/>
      <c r="CW12" s="1229"/>
      <c r="CX12" s="1229"/>
      <c r="CY12" s="1229"/>
      <c r="CZ12" s="1229"/>
      <c r="DA12" s="1229"/>
      <c r="DB12" s="1229"/>
      <c r="DC12" s="1229"/>
      <c r="DD12" s="1229"/>
      <c r="DE12" s="1229"/>
      <c r="DF12" s="1229"/>
      <c r="DG12" s="1229"/>
      <c r="DH12" s="1229"/>
      <c r="DI12" s="1229"/>
      <c r="DJ12" s="1229"/>
      <c r="DK12" s="1229"/>
      <c r="DL12" s="1229"/>
      <c r="DM12" s="1229"/>
      <c r="DN12" s="1229"/>
      <c r="DO12" s="1229"/>
      <c r="DP12" s="1229"/>
      <c r="DQ12" s="1229"/>
      <c r="DR12" s="1229"/>
      <c r="DS12" s="1229"/>
      <c r="DT12" s="1229"/>
      <c r="DU12" s="1229"/>
      <c r="DV12" s="1229"/>
      <c r="DW12" s="1229"/>
      <c r="DX12" s="1229"/>
      <c r="DY12" s="1229"/>
      <c r="DZ12" s="1229"/>
      <c r="EA12" s="1229"/>
      <c r="EB12" s="1229"/>
      <c r="EC12" s="1229"/>
      <c r="ED12" s="1229"/>
      <c r="EE12" s="1229"/>
      <c r="EF12" s="1229"/>
      <c r="EG12" s="1229"/>
      <c r="EH12" s="1229"/>
      <c r="EI12" s="1229"/>
      <c r="EJ12" s="1229"/>
      <c r="EK12" s="1229"/>
      <c r="EL12" s="1229"/>
      <c r="EM12" s="1229"/>
      <c r="EN12" s="1229"/>
      <c r="EO12" s="1229"/>
      <c r="EP12" s="1229"/>
      <c r="EQ12" s="1229"/>
      <c r="ER12" s="1229"/>
      <c r="ES12" s="1229"/>
      <c r="ET12" s="1229"/>
      <c r="EU12" s="1229"/>
      <c r="EV12" s="1229"/>
      <c r="EW12" s="1229"/>
      <c r="EX12" s="1229"/>
      <c r="EY12" s="1229"/>
      <c r="EZ12" s="1229"/>
      <c r="FA12" s="1229"/>
      <c r="FB12" s="1229"/>
      <c r="FC12" s="1229"/>
      <c r="FD12" s="1229"/>
      <c r="FE12" s="1229"/>
      <c r="FF12" s="1229"/>
      <c r="FG12" s="1229"/>
      <c r="FH12" s="1229"/>
      <c r="FI12" s="1229"/>
      <c r="FJ12" s="1229"/>
      <c r="FK12" s="1229"/>
      <c r="FL12" s="1229"/>
      <c r="FM12" s="1229"/>
      <c r="FN12" s="1229"/>
      <c r="FO12" s="1229"/>
      <c r="FP12" s="1229"/>
      <c r="FQ12" s="1229"/>
      <c r="FR12" s="1229"/>
      <c r="FS12" s="1229"/>
      <c r="FT12" s="1229"/>
      <c r="FU12" s="1229"/>
      <c r="FV12" s="1229"/>
      <c r="FW12" s="1229"/>
      <c r="FX12" s="1229"/>
      <c r="FY12" s="1229"/>
      <c r="FZ12" s="1229"/>
      <c r="GA12" s="1229"/>
      <c r="GB12" s="1229"/>
      <c r="GC12" s="1229"/>
      <c r="GD12" s="1229"/>
      <c r="GE12" s="1229"/>
      <c r="GF12" s="1229"/>
      <c r="GG12" s="1229"/>
      <c r="GH12" s="1229"/>
      <c r="GI12" s="1229"/>
      <c r="GJ12" s="1229"/>
      <c r="GK12" s="1229"/>
      <c r="GL12" s="1229"/>
      <c r="GM12" s="1229"/>
      <c r="GN12" s="1229"/>
      <c r="GO12" s="1229"/>
      <c r="GP12" s="1229"/>
      <c r="GQ12" s="1229"/>
      <c r="GR12" s="1229"/>
      <c r="GS12" s="1229"/>
      <c r="GT12" s="1229"/>
      <c r="GU12" s="1229"/>
      <c r="GV12" s="1229"/>
      <c r="GW12" s="1229"/>
      <c r="GX12" s="1229"/>
      <c r="GY12" s="1229"/>
      <c r="GZ12" s="1229"/>
      <c r="HA12" s="1229"/>
      <c r="HB12" s="1229"/>
      <c r="HC12" s="1229"/>
      <c r="HD12" s="1229"/>
      <c r="HE12" s="1229"/>
      <c r="HF12" s="1229"/>
      <c r="HG12" s="1229"/>
      <c r="HH12" s="1229"/>
      <c r="HI12" s="1229"/>
      <c r="HJ12" s="1229"/>
      <c r="HK12" s="1229"/>
      <c r="HL12" s="1229"/>
      <c r="HM12" s="1229"/>
      <c r="HN12" s="1229"/>
      <c r="HO12" s="1229"/>
      <c r="HP12" s="1229"/>
      <c r="HQ12" s="1229"/>
      <c r="HR12" s="1229"/>
      <c r="HS12" s="1229"/>
      <c r="HT12" s="1229"/>
      <c r="HU12" s="1229"/>
      <c r="HV12" s="1229"/>
      <c r="HW12" s="1229"/>
      <c r="HX12" s="1229"/>
      <c r="HY12" s="1229"/>
      <c r="HZ12" s="1229"/>
      <c r="IA12" s="1229"/>
      <c r="IB12" s="1229"/>
      <c r="IC12" s="1229"/>
      <c r="ID12" s="1229"/>
      <c r="IE12" s="1229"/>
      <c r="IF12" s="1229"/>
      <c r="IG12" s="1229"/>
      <c r="IH12" s="1229"/>
      <c r="II12" s="1229"/>
      <c r="IJ12" s="1229"/>
      <c r="IK12" s="1229"/>
      <c r="IL12" s="1229"/>
      <c r="IM12" s="1229"/>
      <c r="IN12" s="1229"/>
      <c r="IO12" s="1229"/>
      <c r="IP12" s="1229"/>
      <c r="IQ12" s="1229"/>
      <c r="IR12" s="1229"/>
      <c r="IS12" s="1229"/>
      <c r="IT12" s="1229"/>
      <c r="IU12" s="1229"/>
      <c r="IV12" s="1229"/>
    </row>
    <row r="13" spans="1:256" s="1228" customFormat="1" ht="75" customHeight="1" thickBot="1">
      <c r="A13" s="1446"/>
      <c r="B13" s="1417" t="s">
        <v>1610</v>
      </c>
      <c r="C13" s="1418" t="s">
        <v>1292</v>
      </c>
      <c r="D13" s="1419" t="s">
        <v>1611</v>
      </c>
      <c r="E13" s="1448"/>
      <c r="F13" s="1457"/>
      <c r="G13" s="1458" t="s">
        <v>1612</v>
      </c>
      <c r="H13" s="1420"/>
      <c r="I13" s="1421"/>
      <c r="J13" s="1452"/>
      <c r="AE13" s="1229"/>
      <c r="AF13" s="1229"/>
      <c r="AG13" s="1229"/>
      <c r="AH13" s="1229"/>
      <c r="AI13" s="1229"/>
      <c r="AJ13" s="1229"/>
      <c r="AK13" s="1229"/>
      <c r="AL13" s="1229"/>
      <c r="AM13" s="1229"/>
      <c r="AN13" s="1229"/>
      <c r="AO13" s="1229"/>
      <c r="AP13" s="1229"/>
      <c r="AQ13" s="1229"/>
      <c r="AR13" s="1229"/>
      <c r="AS13" s="1229"/>
      <c r="AT13" s="1229"/>
      <c r="AU13" s="1229"/>
      <c r="AV13" s="1229"/>
      <c r="AW13" s="1229"/>
      <c r="AX13" s="1229"/>
      <c r="AY13" s="1229"/>
      <c r="AZ13" s="1229"/>
      <c r="BA13" s="1229"/>
      <c r="BB13" s="1229"/>
      <c r="BC13" s="1229"/>
      <c r="BD13" s="1229"/>
      <c r="BE13" s="1229"/>
      <c r="BF13" s="1229"/>
      <c r="BG13" s="1229"/>
      <c r="BH13" s="1229"/>
      <c r="BI13" s="1229"/>
      <c r="BJ13" s="1229"/>
      <c r="BK13" s="1229"/>
      <c r="BL13" s="1229"/>
      <c r="BM13" s="1229"/>
      <c r="BN13" s="1229"/>
      <c r="BO13" s="1229"/>
      <c r="BP13" s="1229"/>
      <c r="BQ13" s="1229"/>
      <c r="BR13" s="1229"/>
      <c r="BS13" s="1229"/>
      <c r="BT13" s="1229"/>
      <c r="BU13" s="1229"/>
      <c r="BV13" s="1229"/>
      <c r="BW13" s="1229"/>
      <c r="BX13" s="1229"/>
      <c r="BY13" s="1229"/>
      <c r="BZ13" s="1229"/>
      <c r="CA13" s="1229"/>
      <c r="CB13" s="1229"/>
      <c r="CC13" s="1229"/>
      <c r="CD13" s="1229"/>
      <c r="CE13" s="1229"/>
      <c r="CF13" s="1229"/>
      <c r="CG13" s="1229"/>
      <c r="CH13" s="1229"/>
      <c r="CI13" s="1229"/>
      <c r="CJ13" s="1229"/>
      <c r="CK13" s="1229"/>
      <c r="CL13" s="1229"/>
      <c r="CM13" s="1229"/>
      <c r="CN13" s="1229"/>
      <c r="CO13" s="1229"/>
      <c r="CP13" s="1229"/>
      <c r="CQ13" s="1229"/>
      <c r="CR13" s="1229"/>
      <c r="CS13" s="1229"/>
      <c r="CT13" s="1229"/>
      <c r="CU13" s="1229"/>
      <c r="CV13" s="1229"/>
      <c r="CW13" s="1229"/>
      <c r="CX13" s="1229"/>
      <c r="CY13" s="1229"/>
      <c r="CZ13" s="1229"/>
      <c r="DA13" s="1229"/>
      <c r="DB13" s="1229"/>
      <c r="DC13" s="1229"/>
      <c r="DD13" s="1229"/>
      <c r="DE13" s="1229"/>
      <c r="DF13" s="1229"/>
      <c r="DG13" s="1229"/>
      <c r="DH13" s="1229"/>
      <c r="DI13" s="1229"/>
      <c r="DJ13" s="1229"/>
      <c r="DK13" s="1229"/>
      <c r="DL13" s="1229"/>
      <c r="DM13" s="1229"/>
      <c r="DN13" s="1229"/>
      <c r="DO13" s="1229"/>
      <c r="DP13" s="1229"/>
      <c r="DQ13" s="1229"/>
      <c r="DR13" s="1229"/>
      <c r="DS13" s="1229"/>
      <c r="DT13" s="1229"/>
      <c r="DU13" s="1229"/>
      <c r="DV13" s="1229"/>
      <c r="DW13" s="1229"/>
      <c r="DX13" s="1229"/>
      <c r="DY13" s="1229"/>
      <c r="DZ13" s="1229"/>
      <c r="EA13" s="1229"/>
      <c r="EB13" s="1229"/>
      <c r="EC13" s="1229"/>
      <c r="ED13" s="1229"/>
      <c r="EE13" s="1229"/>
      <c r="EF13" s="1229"/>
      <c r="EG13" s="1229"/>
      <c r="EH13" s="1229"/>
      <c r="EI13" s="1229"/>
      <c r="EJ13" s="1229"/>
      <c r="EK13" s="1229"/>
      <c r="EL13" s="1229"/>
      <c r="EM13" s="1229"/>
      <c r="EN13" s="1229"/>
      <c r="EO13" s="1229"/>
      <c r="EP13" s="1229"/>
      <c r="EQ13" s="1229"/>
      <c r="ER13" s="1229"/>
      <c r="ES13" s="1229"/>
      <c r="ET13" s="1229"/>
      <c r="EU13" s="1229"/>
      <c r="EV13" s="1229"/>
      <c r="EW13" s="1229"/>
      <c r="EX13" s="1229"/>
      <c r="EY13" s="1229"/>
      <c r="EZ13" s="1229"/>
      <c r="FA13" s="1229"/>
      <c r="FB13" s="1229"/>
      <c r="FC13" s="1229"/>
      <c r="FD13" s="1229"/>
      <c r="FE13" s="1229"/>
      <c r="FF13" s="1229"/>
      <c r="FG13" s="1229"/>
      <c r="FH13" s="1229"/>
      <c r="FI13" s="1229"/>
      <c r="FJ13" s="1229"/>
      <c r="FK13" s="1229"/>
      <c r="FL13" s="1229"/>
      <c r="FM13" s="1229"/>
      <c r="FN13" s="1229"/>
      <c r="FO13" s="1229"/>
      <c r="FP13" s="1229"/>
      <c r="FQ13" s="1229"/>
      <c r="FR13" s="1229"/>
      <c r="FS13" s="1229"/>
      <c r="FT13" s="1229"/>
      <c r="FU13" s="1229"/>
      <c r="FV13" s="1229"/>
      <c r="FW13" s="1229"/>
      <c r="FX13" s="1229"/>
      <c r="FY13" s="1229"/>
      <c r="FZ13" s="1229"/>
      <c r="GA13" s="1229"/>
      <c r="GB13" s="1229"/>
      <c r="GC13" s="1229"/>
      <c r="GD13" s="1229"/>
      <c r="GE13" s="1229"/>
      <c r="GF13" s="1229"/>
      <c r="GG13" s="1229"/>
      <c r="GH13" s="1229"/>
      <c r="GI13" s="1229"/>
      <c r="GJ13" s="1229"/>
      <c r="GK13" s="1229"/>
      <c r="GL13" s="1229"/>
      <c r="GM13" s="1229"/>
      <c r="GN13" s="1229"/>
      <c r="GO13" s="1229"/>
      <c r="GP13" s="1229"/>
      <c r="GQ13" s="1229"/>
      <c r="GR13" s="1229"/>
      <c r="GS13" s="1229"/>
      <c r="GT13" s="1229"/>
      <c r="GU13" s="1229"/>
      <c r="GV13" s="1229"/>
      <c r="GW13" s="1229"/>
      <c r="GX13" s="1229"/>
      <c r="GY13" s="1229"/>
      <c r="GZ13" s="1229"/>
      <c r="HA13" s="1229"/>
      <c r="HB13" s="1229"/>
      <c r="HC13" s="1229"/>
      <c r="HD13" s="1229"/>
      <c r="HE13" s="1229"/>
      <c r="HF13" s="1229"/>
      <c r="HG13" s="1229"/>
      <c r="HH13" s="1229"/>
      <c r="HI13" s="1229"/>
      <c r="HJ13" s="1229"/>
      <c r="HK13" s="1229"/>
      <c r="HL13" s="1229"/>
      <c r="HM13" s="1229"/>
      <c r="HN13" s="1229"/>
      <c r="HO13" s="1229"/>
      <c r="HP13" s="1229"/>
      <c r="HQ13" s="1229"/>
      <c r="HR13" s="1229"/>
      <c r="HS13" s="1229"/>
      <c r="HT13" s="1229"/>
      <c r="HU13" s="1229"/>
      <c r="HV13" s="1229"/>
      <c r="HW13" s="1229"/>
      <c r="HX13" s="1229"/>
      <c r="HY13" s="1229"/>
      <c r="HZ13" s="1229"/>
      <c r="IA13" s="1229"/>
      <c r="IB13" s="1229"/>
      <c r="IC13" s="1229"/>
      <c r="ID13" s="1229"/>
      <c r="IE13" s="1229"/>
      <c r="IF13" s="1229"/>
      <c r="IG13" s="1229"/>
      <c r="IH13" s="1229"/>
      <c r="II13" s="1229"/>
      <c r="IJ13" s="1229"/>
      <c r="IK13" s="1229"/>
      <c r="IL13" s="1229"/>
      <c r="IM13" s="1229"/>
      <c r="IN13" s="1229"/>
      <c r="IO13" s="1229"/>
      <c r="IP13" s="1229"/>
      <c r="IQ13" s="1229"/>
      <c r="IR13" s="1229"/>
      <c r="IS13" s="1229"/>
      <c r="IT13" s="1229"/>
      <c r="IU13" s="1229"/>
      <c r="IV13" s="1229"/>
    </row>
    <row r="14" spans="1:256" ht="62.25" customHeight="1">
      <c r="A14" s="1436"/>
      <c r="B14" s="1422"/>
      <c r="C14" s="1423"/>
      <c r="D14" s="1424"/>
      <c r="E14" s="1438"/>
      <c r="F14" s="1438"/>
      <c r="G14" s="1438"/>
      <c r="H14" s="1439"/>
      <c r="I14" s="1438"/>
      <c r="J14" s="1441"/>
      <c r="IV14" s="1223"/>
    </row>
    <row r="15" spans="1:256" ht="23.25" customHeight="1">
      <c r="A15" s="1436"/>
      <c r="B15" s="1459"/>
      <c r="C15" s="1438"/>
      <c r="D15" s="1439"/>
      <c r="E15" s="1438"/>
      <c r="F15" s="1438"/>
      <c r="G15" s="1438"/>
      <c r="H15" s="1439"/>
      <c r="I15" s="1438"/>
      <c r="J15" s="1441"/>
      <c r="IV15" s="1223"/>
    </row>
    <row r="16" spans="1:256" ht="18.75" customHeight="1">
      <c r="A16" s="1436"/>
      <c r="B16" s="1459"/>
      <c r="C16" s="1438"/>
      <c r="D16" s="1439"/>
      <c r="E16" s="1438"/>
      <c r="F16" s="1438"/>
      <c r="G16" s="1438"/>
      <c r="H16" s="1439"/>
      <c r="I16" s="1438"/>
      <c r="J16" s="1441"/>
      <c r="IV16" s="1223"/>
    </row>
    <row r="17" spans="1:256" s="1228" customFormat="1" ht="30" customHeight="1">
      <c r="A17" s="1446"/>
      <c r="B17" s="1610" t="s">
        <v>1613</v>
      </c>
      <c r="C17" s="1611"/>
      <c r="D17" s="1611"/>
      <c r="E17" s="1611"/>
      <c r="F17" s="1611"/>
      <c r="G17" s="1611"/>
      <c r="H17" s="1611"/>
      <c r="I17" s="1612"/>
      <c r="J17" s="1452"/>
      <c r="AE17" s="1229"/>
      <c r="AF17" s="1229"/>
      <c r="AG17" s="1229"/>
      <c r="AH17" s="1229"/>
      <c r="AI17" s="1229"/>
      <c r="AJ17" s="1229"/>
      <c r="AK17" s="1229"/>
      <c r="AL17" s="1229"/>
      <c r="AM17" s="1229"/>
      <c r="AN17" s="1229"/>
      <c r="AO17" s="1229"/>
      <c r="AP17" s="1229"/>
      <c r="AQ17" s="1229"/>
      <c r="AR17" s="1229"/>
      <c r="AS17" s="1229"/>
      <c r="AT17" s="1229"/>
      <c r="AU17" s="1229"/>
      <c r="AV17" s="1229"/>
      <c r="AW17" s="1229"/>
      <c r="AX17" s="1229"/>
      <c r="AY17" s="1229"/>
      <c r="AZ17" s="1229"/>
      <c r="BA17" s="1229"/>
      <c r="BB17" s="1229"/>
      <c r="BC17" s="1229"/>
      <c r="BD17" s="1229"/>
      <c r="BE17" s="1229"/>
      <c r="BF17" s="1229"/>
      <c r="BG17" s="1229"/>
      <c r="BH17" s="1229"/>
      <c r="BI17" s="1229"/>
      <c r="BJ17" s="1229"/>
      <c r="BK17" s="1229"/>
      <c r="BL17" s="1229"/>
      <c r="BM17" s="1229"/>
      <c r="BN17" s="1229"/>
      <c r="BO17" s="1229"/>
      <c r="BP17" s="1229"/>
      <c r="BQ17" s="1229"/>
      <c r="BR17" s="1229"/>
      <c r="BS17" s="1229"/>
      <c r="BT17" s="1229"/>
      <c r="BU17" s="1229"/>
      <c r="BV17" s="1229"/>
      <c r="BW17" s="1229"/>
      <c r="BX17" s="1229"/>
      <c r="BY17" s="1229"/>
      <c r="BZ17" s="1229"/>
      <c r="CA17" s="1229"/>
      <c r="CB17" s="1229"/>
      <c r="CC17" s="1229"/>
      <c r="CD17" s="1229"/>
      <c r="CE17" s="1229"/>
      <c r="CF17" s="1229"/>
      <c r="CG17" s="1229"/>
      <c r="CH17" s="1229"/>
      <c r="CI17" s="1229"/>
      <c r="CJ17" s="1229"/>
      <c r="CK17" s="1229"/>
      <c r="CL17" s="1229"/>
      <c r="CM17" s="1229"/>
      <c r="CN17" s="1229"/>
      <c r="CO17" s="1229"/>
      <c r="CP17" s="1229"/>
      <c r="CQ17" s="1229"/>
      <c r="CR17" s="1229"/>
      <c r="CS17" s="1229"/>
      <c r="CT17" s="1229"/>
      <c r="CU17" s="1229"/>
      <c r="CV17" s="1229"/>
      <c r="CW17" s="1229"/>
      <c r="CX17" s="1229"/>
      <c r="CY17" s="1229"/>
      <c r="CZ17" s="1229"/>
      <c r="DA17" s="1229"/>
      <c r="DB17" s="1229"/>
      <c r="DC17" s="1229"/>
      <c r="DD17" s="1229"/>
      <c r="DE17" s="1229"/>
      <c r="DF17" s="1229"/>
      <c r="DG17" s="1229"/>
      <c r="DH17" s="1229"/>
      <c r="DI17" s="1229"/>
      <c r="DJ17" s="1229"/>
      <c r="DK17" s="1229"/>
      <c r="DL17" s="1229"/>
      <c r="DM17" s="1229"/>
      <c r="DN17" s="1229"/>
      <c r="DO17" s="1229"/>
      <c r="DP17" s="1229"/>
      <c r="DQ17" s="1229"/>
      <c r="DR17" s="1229"/>
      <c r="DS17" s="1229"/>
      <c r="DT17" s="1229"/>
      <c r="DU17" s="1229"/>
      <c r="DV17" s="1229"/>
      <c r="DW17" s="1229"/>
      <c r="DX17" s="1229"/>
      <c r="DY17" s="1229"/>
      <c r="DZ17" s="1229"/>
      <c r="EA17" s="1229"/>
      <c r="EB17" s="1229"/>
      <c r="EC17" s="1229"/>
      <c r="ED17" s="1229"/>
      <c r="EE17" s="1229"/>
      <c r="EF17" s="1229"/>
      <c r="EG17" s="1229"/>
      <c r="EH17" s="1229"/>
      <c r="EI17" s="1229"/>
      <c r="EJ17" s="1229"/>
      <c r="EK17" s="1229"/>
      <c r="EL17" s="1229"/>
      <c r="EM17" s="1229"/>
      <c r="EN17" s="1229"/>
      <c r="EO17" s="1229"/>
      <c r="EP17" s="1229"/>
      <c r="EQ17" s="1229"/>
      <c r="ER17" s="1229"/>
      <c r="ES17" s="1229"/>
      <c r="ET17" s="1229"/>
      <c r="EU17" s="1229"/>
      <c r="EV17" s="1229"/>
      <c r="EW17" s="1229"/>
      <c r="EX17" s="1229"/>
      <c r="EY17" s="1229"/>
      <c r="EZ17" s="1229"/>
      <c r="FA17" s="1229"/>
      <c r="FB17" s="1229"/>
      <c r="FC17" s="1229"/>
      <c r="FD17" s="1229"/>
      <c r="FE17" s="1229"/>
      <c r="FF17" s="1229"/>
      <c r="FG17" s="1229"/>
      <c r="FH17" s="1229"/>
      <c r="FI17" s="1229"/>
      <c r="FJ17" s="1229"/>
      <c r="FK17" s="1229"/>
      <c r="FL17" s="1229"/>
      <c r="FM17" s="1229"/>
      <c r="FN17" s="1229"/>
      <c r="FO17" s="1229"/>
      <c r="FP17" s="1229"/>
      <c r="FQ17" s="1229"/>
      <c r="FR17" s="1229"/>
      <c r="FS17" s="1229"/>
      <c r="FT17" s="1229"/>
      <c r="FU17" s="1229"/>
      <c r="FV17" s="1229"/>
      <c r="FW17" s="1229"/>
      <c r="FX17" s="1229"/>
      <c r="FY17" s="1229"/>
      <c r="FZ17" s="1229"/>
      <c r="GA17" s="1229"/>
      <c r="GB17" s="1229"/>
      <c r="GC17" s="1229"/>
      <c r="GD17" s="1229"/>
      <c r="GE17" s="1229"/>
      <c r="GF17" s="1229"/>
      <c r="GG17" s="1229"/>
      <c r="GH17" s="1229"/>
      <c r="GI17" s="1229"/>
      <c r="GJ17" s="1229"/>
      <c r="GK17" s="1229"/>
      <c r="GL17" s="1229"/>
      <c r="GM17" s="1229"/>
      <c r="GN17" s="1229"/>
      <c r="GO17" s="1229"/>
      <c r="GP17" s="1229"/>
      <c r="GQ17" s="1229"/>
      <c r="GR17" s="1229"/>
      <c r="GS17" s="1229"/>
      <c r="GT17" s="1229"/>
      <c r="GU17" s="1229"/>
      <c r="GV17" s="1229"/>
      <c r="GW17" s="1229"/>
      <c r="GX17" s="1229"/>
      <c r="GY17" s="1229"/>
      <c r="GZ17" s="1229"/>
      <c r="HA17" s="1229"/>
      <c r="HB17" s="1229"/>
      <c r="HC17" s="1229"/>
      <c r="HD17" s="1229"/>
      <c r="HE17" s="1229"/>
      <c r="HF17" s="1229"/>
      <c r="HG17" s="1229"/>
      <c r="HH17" s="1229"/>
      <c r="HI17" s="1229"/>
      <c r="HJ17" s="1229"/>
      <c r="HK17" s="1229"/>
      <c r="HL17" s="1229"/>
      <c r="HM17" s="1229"/>
      <c r="HN17" s="1229"/>
      <c r="HO17" s="1229"/>
      <c r="HP17" s="1229"/>
      <c r="HQ17" s="1229"/>
      <c r="HR17" s="1229"/>
      <c r="HS17" s="1229"/>
      <c r="HT17" s="1229"/>
      <c r="HU17" s="1229"/>
      <c r="HV17" s="1229"/>
      <c r="HW17" s="1229"/>
      <c r="HX17" s="1229"/>
      <c r="HY17" s="1229"/>
      <c r="HZ17" s="1229"/>
      <c r="IA17" s="1229"/>
      <c r="IB17" s="1229"/>
      <c r="IC17" s="1229"/>
      <c r="ID17" s="1229"/>
      <c r="IE17" s="1229"/>
      <c r="IF17" s="1229"/>
      <c r="IG17" s="1229"/>
      <c r="IH17" s="1229"/>
      <c r="II17" s="1229"/>
      <c r="IJ17" s="1229"/>
      <c r="IK17" s="1229"/>
      <c r="IL17" s="1229"/>
      <c r="IM17" s="1229"/>
      <c r="IN17" s="1229"/>
      <c r="IO17" s="1229"/>
      <c r="IP17" s="1229"/>
      <c r="IQ17" s="1229"/>
      <c r="IR17" s="1229"/>
      <c r="IS17" s="1229"/>
      <c r="IT17" s="1229"/>
      <c r="IU17" s="1229"/>
      <c r="IV17" s="1229"/>
    </row>
    <row r="18" spans="1:256" s="1228" customFormat="1" ht="30" customHeight="1">
      <c r="A18" s="1446"/>
      <c r="B18" s="1607" t="s">
        <v>1614</v>
      </c>
      <c r="C18" s="1608"/>
      <c r="D18" s="1608"/>
      <c r="E18" s="1608"/>
      <c r="F18" s="1608"/>
      <c r="G18" s="1608"/>
      <c r="H18" s="1608"/>
      <c r="I18" s="1609"/>
      <c r="J18" s="1452"/>
      <c r="AE18" s="1229"/>
      <c r="AF18" s="1229"/>
      <c r="AG18" s="1229"/>
      <c r="AH18" s="1229"/>
      <c r="AI18" s="1229"/>
      <c r="AJ18" s="1229"/>
      <c r="AK18" s="1229"/>
      <c r="AL18" s="1229"/>
      <c r="AM18" s="1229"/>
      <c r="AN18" s="1229"/>
      <c r="AO18" s="1229"/>
      <c r="AP18" s="1229"/>
      <c r="AQ18" s="1229"/>
      <c r="AR18" s="1229"/>
      <c r="AS18" s="1229"/>
      <c r="AT18" s="1229"/>
      <c r="AU18" s="1229"/>
      <c r="AV18" s="1229"/>
      <c r="AW18" s="1229"/>
      <c r="AX18" s="1229"/>
      <c r="AY18" s="1229"/>
      <c r="AZ18" s="1229"/>
      <c r="BA18" s="1229"/>
      <c r="BB18" s="1229"/>
      <c r="BC18" s="1229"/>
      <c r="BD18" s="1229"/>
      <c r="BE18" s="1229"/>
      <c r="BF18" s="1229"/>
      <c r="BG18" s="1229"/>
      <c r="BH18" s="1229"/>
      <c r="BI18" s="1229"/>
      <c r="BJ18" s="1229"/>
      <c r="BK18" s="1229"/>
      <c r="BL18" s="1229"/>
      <c r="BM18" s="1229"/>
      <c r="BN18" s="1229"/>
      <c r="BO18" s="1229"/>
      <c r="BP18" s="1229"/>
      <c r="BQ18" s="1229"/>
      <c r="BR18" s="1229"/>
      <c r="BS18" s="1229"/>
      <c r="BT18" s="1229"/>
      <c r="BU18" s="1229"/>
      <c r="BV18" s="1229"/>
      <c r="BW18" s="1229"/>
      <c r="BX18" s="1229"/>
      <c r="BY18" s="1229"/>
      <c r="BZ18" s="1229"/>
      <c r="CA18" s="1229"/>
      <c r="CB18" s="1229"/>
      <c r="CC18" s="1229"/>
      <c r="CD18" s="1229"/>
      <c r="CE18" s="1229"/>
      <c r="CF18" s="1229"/>
      <c r="CG18" s="1229"/>
      <c r="CH18" s="1229"/>
      <c r="CI18" s="1229"/>
      <c r="CJ18" s="1229"/>
      <c r="CK18" s="1229"/>
      <c r="CL18" s="1229"/>
      <c r="CM18" s="1229"/>
      <c r="CN18" s="1229"/>
      <c r="CO18" s="1229"/>
      <c r="CP18" s="1229"/>
      <c r="CQ18" s="1229"/>
      <c r="CR18" s="1229"/>
      <c r="CS18" s="1229"/>
      <c r="CT18" s="1229"/>
      <c r="CU18" s="1229"/>
      <c r="CV18" s="1229"/>
      <c r="CW18" s="1229"/>
      <c r="CX18" s="1229"/>
      <c r="CY18" s="1229"/>
      <c r="CZ18" s="1229"/>
      <c r="DA18" s="1229"/>
      <c r="DB18" s="1229"/>
      <c r="DC18" s="1229"/>
      <c r="DD18" s="1229"/>
      <c r="DE18" s="1229"/>
      <c r="DF18" s="1229"/>
      <c r="DG18" s="1229"/>
      <c r="DH18" s="1229"/>
      <c r="DI18" s="1229"/>
      <c r="DJ18" s="1229"/>
      <c r="DK18" s="1229"/>
      <c r="DL18" s="1229"/>
      <c r="DM18" s="1229"/>
      <c r="DN18" s="1229"/>
      <c r="DO18" s="1229"/>
      <c r="DP18" s="1229"/>
      <c r="DQ18" s="1229"/>
      <c r="DR18" s="1229"/>
      <c r="DS18" s="1229"/>
      <c r="DT18" s="1229"/>
      <c r="DU18" s="1229"/>
      <c r="DV18" s="1229"/>
      <c r="DW18" s="1229"/>
      <c r="DX18" s="1229"/>
      <c r="DY18" s="1229"/>
      <c r="DZ18" s="1229"/>
      <c r="EA18" s="1229"/>
      <c r="EB18" s="1229"/>
      <c r="EC18" s="1229"/>
      <c r="ED18" s="1229"/>
      <c r="EE18" s="1229"/>
      <c r="EF18" s="1229"/>
      <c r="EG18" s="1229"/>
      <c r="EH18" s="1229"/>
      <c r="EI18" s="1229"/>
      <c r="EJ18" s="1229"/>
      <c r="EK18" s="1229"/>
      <c r="EL18" s="1229"/>
      <c r="EM18" s="1229"/>
      <c r="EN18" s="1229"/>
      <c r="EO18" s="1229"/>
      <c r="EP18" s="1229"/>
      <c r="EQ18" s="1229"/>
      <c r="ER18" s="1229"/>
      <c r="ES18" s="1229"/>
      <c r="ET18" s="1229"/>
      <c r="EU18" s="1229"/>
      <c r="EV18" s="1229"/>
      <c r="EW18" s="1229"/>
      <c r="EX18" s="1229"/>
      <c r="EY18" s="1229"/>
      <c r="EZ18" s="1229"/>
      <c r="FA18" s="1229"/>
      <c r="FB18" s="1229"/>
      <c r="FC18" s="1229"/>
      <c r="FD18" s="1229"/>
      <c r="FE18" s="1229"/>
      <c r="FF18" s="1229"/>
      <c r="FG18" s="1229"/>
      <c r="FH18" s="1229"/>
      <c r="FI18" s="1229"/>
      <c r="FJ18" s="1229"/>
      <c r="FK18" s="1229"/>
      <c r="FL18" s="1229"/>
      <c r="FM18" s="1229"/>
      <c r="FN18" s="1229"/>
      <c r="FO18" s="1229"/>
      <c r="FP18" s="1229"/>
      <c r="FQ18" s="1229"/>
      <c r="FR18" s="1229"/>
      <c r="FS18" s="1229"/>
      <c r="FT18" s="1229"/>
      <c r="FU18" s="1229"/>
      <c r="FV18" s="1229"/>
      <c r="FW18" s="1229"/>
      <c r="FX18" s="1229"/>
      <c r="FY18" s="1229"/>
      <c r="FZ18" s="1229"/>
      <c r="GA18" s="1229"/>
      <c r="GB18" s="1229"/>
      <c r="GC18" s="1229"/>
      <c r="GD18" s="1229"/>
      <c r="GE18" s="1229"/>
      <c r="GF18" s="1229"/>
      <c r="GG18" s="1229"/>
      <c r="GH18" s="1229"/>
      <c r="GI18" s="1229"/>
      <c r="GJ18" s="1229"/>
      <c r="GK18" s="1229"/>
      <c r="GL18" s="1229"/>
      <c r="GM18" s="1229"/>
      <c r="GN18" s="1229"/>
      <c r="GO18" s="1229"/>
      <c r="GP18" s="1229"/>
      <c r="GQ18" s="1229"/>
      <c r="GR18" s="1229"/>
      <c r="GS18" s="1229"/>
      <c r="GT18" s="1229"/>
      <c r="GU18" s="1229"/>
      <c r="GV18" s="1229"/>
      <c r="GW18" s="1229"/>
      <c r="GX18" s="1229"/>
      <c r="GY18" s="1229"/>
      <c r="GZ18" s="1229"/>
      <c r="HA18" s="1229"/>
      <c r="HB18" s="1229"/>
      <c r="HC18" s="1229"/>
      <c r="HD18" s="1229"/>
      <c r="HE18" s="1229"/>
      <c r="HF18" s="1229"/>
      <c r="HG18" s="1229"/>
      <c r="HH18" s="1229"/>
      <c r="HI18" s="1229"/>
      <c r="HJ18" s="1229"/>
      <c r="HK18" s="1229"/>
      <c r="HL18" s="1229"/>
      <c r="HM18" s="1229"/>
      <c r="HN18" s="1229"/>
      <c r="HO18" s="1229"/>
      <c r="HP18" s="1229"/>
      <c r="HQ18" s="1229"/>
      <c r="HR18" s="1229"/>
      <c r="HS18" s="1229"/>
      <c r="HT18" s="1229"/>
      <c r="HU18" s="1229"/>
      <c r="HV18" s="1229"/>
      <c r="HW18" s="1229"/>
      <c r="HX18" s="1229"/>
      <c r="HY18" s="1229"/>
      <c r="HZ18" s="1229"/>
      <c r="IA18" s="1229"/>
      <c r="IB18" s="1229"/>
      <c r="IC18" s="1229"/>
      <c r="ID18" s="1229"/>
      <c r="IE18" s="1229"/>
      <c r="IF18" s="1229"/>
      <c r="IG18" s="1229"/>
      <c r="IH18" s="1229"/>
      <c r="II18" s="1229"/>
      <c r="IJ18" s="1229"/>
      <c r="IK18" s="1229"/>
      <c r="IL18" s="1229"/>
      <c r="IM18" s="1229"/>
      <c r="IN18" s="1229"/>
      <c r="IO18" s="1229"/>
      <c r="IP18" s="1229"/>
      <c r="IQ18" s="1229"/>
      <c r="IR18" s="1229"/>
      <c r="IS18" s="1229"/>
      <c r="IT18" s="1229"/>
      <c r="IU18" s="1229"/>
      <c r="IV18" s="1229"/>
    </row>
    <row r="19" spans="1:256" ht="21.75" customHeight="1" thickBot="1">
      <c r="A19" s="1436"/>
      <c r="B19" s="1438"/>
      <c r="C19" s="1438"/>
      <c r="D19" s="1439"/>
      <c r="E19" s="1460"/>
      <c r="F19" s="1438"/>
      <c r="G19" s="1438"/>
      <c r="H19" s="1438"/>
      <c r="I19" s="1438"/>
      <c r="J19" s="1441"/>
      <c r="AE19" s="871"/>
      <c r="AF19" s="871"/>
      <c r="AG19" s="871"/>
      <c r="AH19" s="871"/>
      <c r="AI19" s="871"/>
      <c r="AJ19" s="871"/>
      <c r="AK19" s="871"/>
      <c r="AL19" s="871"/>
      <c r="AM19" s="871"/>
      <c r="AN19" s="871"/>
      <c r="AO19" s="871"/>
      <c r="AP19" s="871"/>
      <c r="AQ19" s="871"/>
      <c r="AR19" s="871"/>
      <c r="AS19" s="871"/>
      <c r="AT19" s="871"/>
      <c r="AU19" s="871"/>
      <c r="AV19" s="871"/>
      <c r="AW19" s="871"/>
      <c r="AX19" s="871"/>
      <c r="AY19" s="871"/>
      <c r="AZ19" s="871"/>
      <c r="BA19" s="871"/>
      <c r="BB19" s="871"/>
      <c r="BC19" s="871"/>
      <c r="BD19" s="871"/>
      <c r="BE19" s="871"/>
      <c r="BF19" s="871"/>
      <c r="BG19" s="871"/>
      <c r="BH19" s="871"/>
      <c r="BI19" s="871"/>
      <c r="BJ19" s="871"/>
      <c r="BK19" s="871"/>
      <c r="BL19" s="871"/>
      <c r="BM19" s="871"/>
      <c r="BN19" s="871"/>
      <c r="BO19" s="871"/>
      <c r="BP19" s="871"/>
      <c r="BQ19" s="871"/>
      <c r="BR19" s="871"/>
      <c r="BS19" s="871"/>
      <c r="BT19" s="871"/>
      <c r="BU19" s="871"/>
      <c r="BV19" s="871"/>
      <c r="BW19" s="871"/>
      <c r="BX19" s="871"/>
      <c r="BY19" s="871"/>
      <c r="BZ19" s="871"/>
      <c r="CA19" s="871"/>
      <c r="CB19" s="871"/>
      <c r="CC19" s="871"/>
      <c r="CD19" s="871"/>
      <c r="CE19" s="871"/>
      <c r="CF19" s="871"/>
      <c r="CG19" s="871"/>
      <c r="CH19" s="871"/>
      <c r="CI19" s="871"/>
      <c r="CJ19" s="871"/>
      <c r="CK19" s="871"/>
      <c r="CL19" s="871"/>
      <c r="CM19" s="871"/>
      <c r="CN19" s="871"/>
      <c r="CO19" s="871"/>
      <c r="CP19" s="871"/>
      <c r="CQ19" s="871"/>
      <c r="CR19" s="871"/>
      <c r="CS19" s="871"/>
      <c r="CT19" s="871"/>
      <c r="CU19" s="871"/>
      <c r="CV19" s="871"/>
      <c r="CW19" s="871"/>
      <c r="CX19" s="871"/>
      <c r="CY19" s="871"/>
      <c r="CZ19" s="871"/>
      <c r="DA19" s="871"/>
      <c r="DB19" s="871"/>
      <c r="DC19" s="871"/>
      <c r="DD19" s="871"/>
      <c r="DE19" s="871"/>
      <c r="DF19" s="871"/>
      <c r="DG19" s="871"/>
      <c r="DH19" s="871"/>
      <c r="DI19" s="871"/>
      <c r="DJ19" s="871"/>
      <c r="DK19" s="871"/>
      <c r="DL19" s="871"/>
      <c r="DM19" s="871"/>
      <c r="DN19" s="871"/>
      <c r="DO19" s="871"/>
      <c r="DP19" s="871"/>
      <c r="DQ19" s="871"/>
      <c r="DR19" s="871"/>
      <c r="DS19" s="871"/>
      <c r="DT19" s="871"/>
      <c r="DU19" s="871"/>
      <c r="DV19" s="871"/>
      <c r="DW19" s="871"/>
      <c r="DX19" s="871"/>
      <c r="DY19" s="871"/>
      <c r="DZ19" s="871"/>
      <c r="EA19" s="871"/>
      <c r="EB19" s="871"/>
      <c r="EC19" s="871"/>
      <c r="ED19" s="871"/>
      <c r="EE19" s="871"/>
      <c r="EF19" s="871"/>
      <c r="EG19" s="871"/>
      <c r="EH19" s="871"/>
      <c r="EI19" s="871"/>
      <c r="EJ19" s="871"/>
      <c r="EK19" s="871"/>
      <c r="EL19" s="871"/>
      <c r="EM19" s="871"/>
      <c r="EN19" s="871"/>
      <c r="EO19" s="871"/>
      <c r="EP19" s="871"/>
      <c r="EQ19" s="871"/>
      <c r="ER19" s="871"/>
      <c r="ES19" s="871"/>
      <c r="ET19" s="871"/>
      <c r="EU19" s="871"/>
      <c r="EV19" s="871"/>
      <c r="EW19" s="871"/>
      <c r="EX19" s="871"/>
      <c r="EY19" s="871"/>
      <c r="EZ19" s="871"/>
      <c r="FA19" s="871"/>
      <c r="FB19" s="871"/>
      <c r="FC19" s="871"/>
      <c r="FD19" s="871"/>
      <c r="FE19" s="871"/>
      <c r="FF19" s="871"/>
      <c r="FG19" s="871"/>
      <c r="FH19" s="871"/>
      <c r="FI19" s="871"/>
      <c r="FJ19" s="871"/>
      <c r="FK19" s="871"/>
      <c r="FL19" s="871"/>
      <c r="FM19" s="871"/>
      <c r="FN19" s="871"/>
      <c r="FO19" s="871"/>
      <c r="FP19" s="871"/>
      <c r="FQ19" s="871"/>
      <c r="FR19" s="871"/>
      <c r="FS19" s="871"/>
      <c r="FT19" s="871"/>
      <c r="FU19" s="871"/>
      <c r="FV19" s="871"/>
      <c r="FW19" s="871"/>
      <c r="FX19" s="871"/>
      <c r="FY19" s="871"/>
      <c r="FZ19" s="871"/>
      <c r="GA19" s="871"/>
      <c r="GB19" s="871"/>
      <c r="GC19" s="871"/>
      <c r="GD19" s="871"/>
      <c r="GE19" s="871"/>
      <c r="GF19" s="871"/>
      <c r="GG19" s="871"/>
      <c r="GH19" s="871"/>
      <c r="GI19" s="871"/>
      <c r="GJ19" s="871"/>
      <c r="GK19" s="871"/>
      <c r="GL19" s="871"/>
      <c r="GM19" s="871"/>
      <c r="GN19" s="871"/>
      <c r="GO19" s="871"/>
      <c r="GP19" s="871"/>
      <c r="GQ19" s="871"/>
      <c r="GR19" s="871"/>
      <c r="GS19" s="871"/>
      <c r="GT19" s="871"/>
      <c r="GU19" s="871"/>
      <c r="GV19" s="871"/>
      <c r="GW19" s="871"/>
      <c r="GX19" s="871"/>
      <c r="GY19" s="871"/>
      <c r="GZ19" s="871"/>
      <c r="HA19" s="871"/>
      <c r="HB19" s="871"/>
      <c r="HC19" s="871"/>
      <c r="HD19" s="871"/>
      <c r="HE19" s="871"/>
      <c r="HF19" s="871"/>
      <c r="HG19" s="871"/>
      <c r="HH19" s="871"/>
      <c r="HI19" s="871"/>
      <c r="HJ19" s="871"/>
      <c r="HK19" s="871"/>
      <c r="HL19" s="871"/>
      <c r="HM19" s="871"/>
      <c r="HN19" s="871"/>
      <c r="HO19" s="871"/>
      <c r="HP19" s="871"/>
      <c r="HQ19" s="871"/>
      <c r="HR19" s="871"/>
      <c r="HS19" s="871"/>
      <c r="HT19" s="871"/>
      <c r="HU19" s="871"/>
      <c r="HV19" s="871"/>
      <c r="HW19" s="871"/>
      <c r="HX19" s="871"/>
      <c r="HY19" s="871"/>
      <c r="HZ19" s="871"/>
      <c r="IA19" s="871"/>
      <c r="IB19" s="871"/>
      <c r="IC19" s="871"/>
      <c r="ID19" s="871"/>
      <c r="IE19" s="871"/>
      <c r="IF19" s="871"/>
      <c r="IG19" s="871"/>
      <c r="IH19" s="871"/>
      <c r="II19" s="871"/>
      <c r="IJ19" s="871"/>
      <c r="IK19" s="871"/>
      <c r="IL19" s="871"/>
      <c r="IM19" s="871"/>
      <c r="IN19" s="871"/>
      <c r="IO19" s="871"/>
      <c r="IP19" s="871"/>
      <c r="IQ19" s="871"/>
      <c r="IR19" s="871"/>
      <c r="IS19" s="871"/>
      <c r="IT19" s="871"/>
      <c r="IU19" s="871"/>
      <c r="IV19" s="871"/>
    </row>
    <row r="20" spans="1:256" ht="54.75" customHeight="1" thickTop="1">
      <c r="A20" s="1444"/>
      <c r="B20" s="1224" t="s">
        <v>1615</v>
      </c>
      <c r="C20" s="1225"/>
      <c r="D20" s="1226"/>
      <c r="E20" s="1225"/>
      <c r="F20" s="1225"/>
      <c r="G20" s="1225"/>
      <c r="H20" s="1225"/>
      <c r="I20" s="1225"/>
      <c r="J20" s="1445"/>
      <c r="IV20" s="1223"/>
    </row>
    <row r="21" spans="1:256" ht="32.25" customHeight="1">
      <c r="A21" s="1436"/>
      <c r="B21" s="1455" t="s">
        <v>1619</v>
      </c>
      <c r="C21" s="1438"/>
      <c r="D21" s="1439"/>
      <c r="E21" s="1438"/>
      <c r="F21" s="1438"/>
      <c r="G21" s="1438"/>
      <c r="H21" s="1438"/>
      <c r="I21" s="1438"/>
      <c r="J21" s="1441"/>
      <c r="IV21" s="1223"/>
    </row>
    <row r="22" spans="1:256" ht="23.25" customHeight="1">
      <c r="A22" s="1436"/>
      <c r="B22" s="1459"/>
      <c r="C22" s="1438"/>
      <c r="D22" s="1439"/>
      <c r="E22" s="1438"/>
      <c r="F22" s="1438"/>
      <c r="G22" s="1438"/>
      <c r="H22" s="1439" t="s">
        <v>1419</v>
      </c>
      <c r="I22" s="1438"/>
      <c r="J22" s="1441"/>
      <c r="IV22" s="1223"/>
    </row>
    <row r="23" spans="1:256" s="1228" customFormat="1" ht="30" customHeight="1">
      <c r="A23" s="1446"/>
      <c r="B23" s="1427" t="s">
        <v>1620</v>
      </c>
      <c r="C23" s="1227"/>
      <c r="D23" s="865"/>
      <c r="E23" s="866"/>
      <c r="F23" s="867"/>
      <c r="G23" s="1450" t="s">
        <v>1420</v>
      </c>
      <c r="H23" s="1461"/>
      <c r="I23" s="1451" t="s">
        <v>917</v>
      </c>
      <c r="J23" s="1452"/>
      <c r="AE23" s="1229"/>
      <c r="AF23" s="1229"/>
      <c r="AG23" s="1229"/>
      <c r="AH23" s="1229"/>
      <c r="AI23" s="1229"/>
      <c r="AJ23" s="1229"/>
      <c r="AK23" s="1229"/>
      <c r="AL23" s="1229"/>
      <c r="AM23" s="1229"/>
      <c r="AN23" s="1229"/>
      <c r="AO23" s="1229"/>
      <c r="AP23" s="1229"/>
      <c r="AQ23" s="1229"/>
      <c r="AR23" s="1229"/>
      <c r="AS23" s="1229"/>
      <c r="AT23" s="1229"/>
      <c r="AU23" s="1229"/>
      <c r="AV23" s="1229"/>
      <c r="AW23" s="1229"/>
      <c r="AX23" s="1229"/>
      <c r="AY23" s="1229"/>
      <c r="AZ23" s="1229"/>
      <c r="BA23" s="1229"/>
      <c r="BB23" s="1229"/>
      <c r="BC23" s="1229"/>
      <c r="BD23" s="1229"/>
      <c r="BE23" s="1229"/>
      <c r="BF23" s="1229"/>
      <c r="BG23" s="1229"/>
      <c r="BH23" s="1229"/>
      <c r="BI23" s="1229"/>
      <c r="BJ23" s="1229"/>
      <c r="BK23" s="1229"/>
      <c r="BL23" s="1229"/>
      <c r="BM23" s="1229"/>
      <c r="BN23" s="1229"/>
      <c r="BO23" s="1229"/>
      <c r="BP23" s="1229"/>
      <c r="BQ23" s="1229"/>
      <c r="BR23" s="1229"/>
      <c r="BS23" s="1229"/>
      <c r="BT23" s="1229"/>
      <c r="BU23" s="1229"/>
      <c r="BV23" s="1229"/>
      <c r="BW23" s="1229"/>
      <c r="BX23" s="1229"/>
      <c r="BY23" s="1229"/>
      <c r="BZ23" s="1229"/>
      <c r="CA23" s="1229"/>
      <c r="CB23" s="1229"/>
      <c r="CC23" s="1229"/>
      <c r="CD23" s="1229"/>
      <c r="CE23" s="1229"/>
      <c r="CF23" s="1229"/>
      <c r="CG23" s="1229"/>
      <c r="CH23" s="1229"/>
      <c r="CI23" s="1229"/>
      <c r="CJ23" s="1229"/>
      <c r="CK23" s="1229"/>
      <c r="CL23" s="1229"/>
      <c r="CM23" s="1229"/>
      <c r="CN23" s="1229"/>
      <c r="CO23" s="1229"/>
      <c r="CP23" s="1229"/>
      <c r="CQ23" s="1229"/>
      <c r="CR23" s="1229"/>
      <c r="CS23" s="1229"/>
      <c r="CT23" s="1229"/>
      <c r="CU23" s="1229"/>
      <c r="CV23" s="1229"/>
      <c r="CW23" s="1229"/>
      <c r="CX23" s="1229"/>
      <c r="CY23" s="1229"/>
      <c r="CZ23" s="1229"/>
      <c r="DA23" s="1229"/>
      <c r="DB23" s="1229"/>
      <c r="DC23" s="1229"/>
      <c r="DD23" s="1229"/>
      <c r="DE23" s="1229"/>
      <c r="DF23" s="1229"/>
      <c r="DG23" s="1229"/>
      <c r="DH23" s="1229"/>
      <c r="DI23" s="1229"/>
      <c r="DJ23" s="1229"/>
      <c r="DK23" s="1229"/>
      <c r="DL23" s="1229"/>
      <c r="DM23" s="1229"/>
      <c r="DN23" s="1229"/>
      <c r="DO23" s="1229"/>
      <c r="DP23" s="1229"/>
      <c r="DQ23" s="1229"/>
      <c r="DR23" s="1229"/>
      <c r="DS23" s="1229"/>
      <c r="DT23" s="1229"/>
      <c r="DU23" s="1229"/>
      <c r="DV23" s="1229"/>
      <c r="DW23" s="1229"/>
      <c r="DX23" s="1229"/>
      <c r="DY23" s="1229"/>
      <c r="DZ23" s="1229"/>
      <c r="EA23" s="1229"/>
      <c r="EB23" s="1229"/>
      <c r="EC23" s="1229"/>
      <c r="ED23" s="1229"/>
      <c r="EE23" s="1229"/>
      <c r="EF23" s="1229"/>
      <c r="EG23" s="1229"/>
      <c r="EH23" s="1229"/>
      <c r="EI23" s="1229"/>
      <c r="EJ23" s="1229"/>
      <c r="EK23" s="1229"/>
      <c r="EL23" s="1229"/>
      <c r="EM23" s="1229"/>
      <c r="EN23" s="1229"/>
      <c r="EO23" s="1229"/>
      <c r="EP23" s="1229"/>
      <c r="EQ23" s="1229"/>
      <c r="ER23" s="1229"/>
      <c r="ES23" s="1229"/>
      <c r="ET23" s="1229"/>
      <c r="EU23" s="1229"/>
      <c r="EV23" s="1229"/>
      <c r="EW23" s="1229"/>
      <c r="EX23" s="1229"/>
      <c r="EY23" s="1229"/>
      <c r="EZ23" s="1229"/>
      <c r="FA23" s="1229"/>
      <c r="FB23" s="1229"/>
      <c r="FC23" s="1229"/>
      <c r="FD23" s="1229"/>
      <c r="FE23" s="1229"/>
      <c r="FF23" s="1229"/>
      <c r="FG23" s="1229"/>
      <c r="FH23" s="1229"/>
      <c r="FI23" s="1229"/>
      <c r="FJ23" s="1229"/>
      <c r="FK23" s="1229"/>
      <c r="FL23" s="1229"/>
      <c r="FM23" s="1229"/>
      <c r="FN23" s="1229"/>
      <c r="FO23" s="1229"/>
      <c r="FP23" s="1229"/>
      <c r="FQ23" s="1229"/>
      <c r="FR23" s="1229"/>
      <c r="FS23" s="1229"/>
      <c r="FT23" s="1229"/>
      <c r="FU23" s="1229"/>
      <c r="FV23" s="1229"/>
      <c r="FW23" s="1229"/>
      <c r="FX23" s="1229"/>
      <c r="FY23" s="1229"/>
      <c r="FZ23" s="1229"/>
      <c r="GA23" s="1229"/>
      <c r="GB23" s="1229"/>
      <c r="GC23" s="1229"/>
      <c r="GD23" s="1229"/>
      <c r="GE23" s="1229"/>
      <c r="GF23" s="1229"/>
      <c r="GG23" s="1229"/>
      <c r="GH23" s="1229"/>
      <c r="GI23" s="1229"/>
      <c r="GJ23" s="1229"/>
      <c r="GK23" s="1229"/>
      <c r="GL23" s="1229"/>
      <c r="GM23" s="1229"/>
      <c r="GN23" s="1229"/>
      <c r="GO23" s="1229"/>
      <c r="GP23" s="1229"/>
      <c r="GQ23" s="1229"/>
      <c r="GR23" s="1229"/>
      <c r="GS23" s="1229"/>
      <c r="GT23" s="1229"/>
      <c r="GU23" s="1229"/>
      <c r="GV23" s="1229"/>
      <c r="GW23" s="1229"/>
      <c r="GX23" s="1229"/>
      <c r="GY23" s="1229"/>
      <c r="GZ23" s="1229"/>
      <c r="HA23" s="1229"/>
      <c r="HB23" s="1229"/>
      <c r="HC23" s="1229"/>
      <c r="HD23" s="1229"/>
      <c r="HE23" s="1229"/>
      <c r="HF23" s="1229"/>
      <c r="HG23" s="1229"/>
      <c r="HH23" s="1229"/>
      <c r="HI23" s="1229"/>
      <c r="HJ23" s="1229"/>
      <c r="HK23" s="1229"/>
      <c r="HL23" s="1229"/>
      <c r="HM23" s="1229"/>
      <c r="HN23" s="1229"/>
      <c r="HO23" s="1229"/>
      <c r="HP23" s="1229"/>
      <c r="HQ23" s="1229"/>
      <c r="HR23" s="1229"/>
      <c r="HS23" s="1229"/>
      <c r="HT23" s="1229"/>
      <c r="HU23" s="1229"/>
      <c r="HV23" s="1229"/>
      <c r="HW23" s="1229"/>
      <c r="HX23" s="1229"/>
      <c r="HY23" s="1229"/>
      <c r="HZ23" s="1229"/>
      <c r="IA23" s="1229"/>
      <c r="IB23" s="1229"/>
      <c r="IC23" s="1229"/>
      <c r="ID23" s="1229"/>
      <c r="IE23" s="1229"/>
      <c r="IF23" s="1229"/>
      <c r="IG23" s="1229"/>
      <c r="IH23" s="1229"/>
      <c r="II23" s="1229"/>
      <c r="IJ23" s="1229"/>
      <c r="IK23" s="1229"/>
      <c r="IL23" s="1229"/>
      <c r="IM23" s="1229"/>
      <c r="IN23" s="1229"/>
      <c r="IO23" s="1229"/>
      <c r="IP23" s="1229"/>
      <c r="IQ23" s="1229"/>
      <c r="IR23" s="1229"/>
      <c r="IS23" s="1229"/>
      <c r="IT23" s="1229"/>
      <c r="IU23" s="1229"/>
      <c r="IV23" s="1229"/>
    </row>
    <row r="24" spans="1:256" s="1228" customFormat="1" ht="30" customHeight="1">
      <c r="A24" s="1446"/>
      <c r="B24" s="1426" t="s">
        <v>1621</v>
      </c>
      <c r="C24" s="1230"/>
      <c r="D24" s="868"/>
      <c r="E24" s="869"/>
      <c r="F24" s="870"/>
      <c r="G24" s="1450" t="s">
        <v>1616</v>
      </c>
      <c r="H24" s="1461"/>
      <c r="I24" s="1451" t="s">
        <v>917</v>
      </c>
      <c r="J24" s="1452"/>
      <c r="AE24" s="1229"/>
      <c r="AF24" s="1229"/>
      <c r="AG24" s="1229"/>
      <c r="AH24" s="1229"/>
      <c r="AI24" s="1229"/>
      <c r="AJ24" s="1229"/>
      <c r="AK24" s="1229"/>
      <c r="AL24" s="1229"/>
      <c r="AM24" s="1229"/>
      <c r="AN24" s="1229"/>
      <c r="AO24" s="1229"/>
      <c r="AP24" s="1229"/>
      <c r="AQ24" s="1229"/>
      <c r="AR24" s="1229"/>
      <c r="AS24" s="1229"/>
      <c r="AT24" s="1229"/>
      <c r="AU24" s="1229"/>
      <c r="AV24" s="1229"/>
      <c r="AW24" s="1229"/>
      <c r="AX24" s="1229"/>
      <c r="AY24" s="1229"/>
      <c r="AZ24" s="1229"/>
      <c r="BA24" s="1229"/>
      <c r="BB24" s="1229"/>
      <c r="BC24" s="1229"/>
      <c r="BD24" s="1229"/>
      <c r="BE24" s="1229"/>
      <c r="BF24" s="1229"/>
      <c r="BG24" s="1229"/>
      <c r="BH24" s="1229"/>
      <c r="BI24" s="1229"/>
      <c r="BJ24" s="1229"/>
      <c r="BK24" s="1229"/>
      <c r="BL24" s="1229"/>
      <c r="BM24" s="1229"/>
      <c r="BN24" s="1229"/>
      <c r="BO24" s="1229"/>
      <c r="BP24" s="1229"/>
      <c r="BQ24" s="1229"/>
      <c r="BR24" s="1229"/>
      <c r="BS24" s="1229"/>
      <c r="BT24" s="1229"/>
      <c r="BU24" s="1229"/>
      <c r="BV24" s="1229"/>
      <c r="BW24" s="1229"/>
      <c r="BX24" s="1229"/>
      <c r="BY24" s="1229"/>
      <c r="BZ24" s="1229"/>
      <c r="CA24" s="1229"/>
      <c r="CB24" s="1229"/>
      <c r="CC24" s="1229"/>
      <c r="CD24" s="1229"/>
      <c r="CE24" s="1229"/>
      <c r="CF24" s="1229"/>
      <c r="CG24" s="1229"/>
      <c r="CH24" s="1229"/>
      <c r="CI24" s="1229"/>
      <c r="CJ24" s="1229"/>
      <c r="CK24" s="1229"/>
      <c r="CL24" s="1229"/>
      <c r="CM24" s="1229"/>
      <c r="CN24" s="1229"/>
      <c r="CO24" s="1229"/>
      <c r="CP24" s="1229"/>
      <c r="CQ24" s="1229"/>
      <c r="CR24" s="1229"/>
      <c r="CS24" s="1229"/>
      <c r="CT24" s="1229"/>
      <c r="CU24" s="1229"/>
      <c r="CV24" s="1229"/>
      <c r="CW24" s="1229"/>
      <c r="CX24" s="1229"/>
      <c r="CY24" s="1229"/>
      <c r="CZ24" s="1229"/>
      <c r="DA24" s="1229"/>
      <c r="DB24" s="1229"/>
      <c r="DC24" s="1229"/>
      <c r="DD24" s="1229"/>
      <c r="DE24" s="1229"/>
      <c r="DF24" s="1229"/>
      <c r="DG24" s="1229"/>
      <c r="DH24" s="1229"/>
      <c r="DI24" s="1229"/>
      <c r="DJ24" s="1229"/>
      <c r="DK24" s="1229"/>
      <c r="DL24" s="1229"/>
      <c r="DM24" s="1229"/>
      <c r="DN24" s="1229"/>
      <c r="DO24" s="1229"/>
      <c r="DP24" s="1229"/>
      <c r="DQ24" s="1229"/>
      <c r="DR24" s="1229"/>
      <c r="DS24" s="1229"/>
      <c r="DT24" s="1229"/>
      <c r="DU24" s="1229"/>
      <c r="DV24" s="1229"/>
      <c r="DW24" s="1229"/>
      <c r="DX24" s="1229"/>
      <c r="DY24" s="1229"/>
      <c r="DZ24" s="1229"/>
      <c r="EA24" s="1229"/>
      <c r="EB24" s="1229"/>
      <c r="EC24" s="1229"/>
      <c r="ED24" s="1229"/>
      <c r="EE24" s="1229"/>
      <c r="EF24" s="1229"/>
      <c r="EG24" s="1229"/>
      <c r="EH24" s="1229"/>
      <c r="EI24" s="1229"/>
      <c r="EJ24" s="1229"/>
      <c r="EK24" s="1229"/>
      <c r="EL24" s="1229"/>
      <c r="EM24" s="1229"/>
      <c r="EN24" s="1229"/>
      <c r="EO24" s="1229"/>
      <c r="EP24" s="1229"/>
      <c r="EQ24" s="1229"/>
      <c r="ER24" s="1229"/>
      <c r="ES24" s="1229"/>
      <c r="ET24" s="1229"/>
      <c r="EU24" s="1229"/>
      <c r="EV24" s="1229"/>
      <c r="EW24" s="1229"/>
      <c r="EX24" s="1229"/>
      <c r="EY24" s="1229"/>
      <c r="EZ24" s="1229"/>
      <c r="FA24" s="1229"/>
      <c r="FB24" s="1229"/>
      <c r="FC24" s="1229"/>
      <c r="FD24" s="1229"/>
      <c r="FE24" s="1229"/>
      <c r="FF24" s="1229"/>
      <c r="FG24" s="1229"/>
      <c r="FH24" s="1229"/>
      <c r="FI24" s="1229"/>
      <c r="FJ24" s="1229"/>
      <c r="FK24" s="1229"/>
      <c r="FL24" s="1229"/>
      <c r="FM24" s="1229"/>
      <c r="FN24" s="1229"/>
      <c r="FO24" s="1229"/>
      <c r="FP24" s="1229"/>
      <c r="FQ24" s="1229"/>
      <c r="FR24" s="1229"/>
      <c r="FS24" s="1229"/>
      <c r="FT24" s="1229"/>
      <c r="FU24" s="1229"/>
      <c r="FV24" s="1229"/>
      <c r="FW24" s="1229"/>
      <c r="FX24" s="1229"/>
      <c r="FY24" s="1229"/>
      <c r="FZ24" s="1229"/>
      <c r="GA24" s="1229"/>
      <c r="GB24" s="1229"/>
      <c r="GC24" s="1229"/>
      <c r="GD24" s="1229"/>
      <c r="GE24" s="1229"/>
      <c r="GF24" s="1229"/>
      <c r="GG24" s="1229"/>
      <c r="GH24" s="1229"/>
      <c r="GI24" s="1229"/>
      <c r="GJ24" s="1229"/>
      <c r="GK24" s="1229"/>
      <c r="GL24" s="1229"/>
      <c r="GM24" s="1229"/>
      <c r="GN24" s="1229"/>
      <c r="GO24" s="1229"/>
      <c r="GP24" s="1229"/>
      <c r="GQ24" s="1229"/>
      <c r="GR24" s="1229"/>
      <c r="GS24" s="1229"/>
      <c r="GT24" s="1229"/>
      <c r="GU24" s="1229"/>
      <c r="GV24" s="1229"/>
      <c r="GW24" s="1229"/>
      <c r="GX24" s="1229"/>
      <c r="GY24" s="1229"/>
      <c r="GZ24" s="1229"/>
      <c r="HA24" s="1229"/>
      <c r="HB24" s="1229"/>
      <c r="HC24" s="1229"/>
      <c r="HD24" s="1229"/>
      <c r="HE24" s="1229"/>
      <c r="HF24" s="1229"/>
      <c r="HG24" s="1229"/>
      <c r="HH24" s="1229"/>
      <c r="HI24" s="1229"/>
      <c r="HJ24" s="1229"/>
      <c r="HK24" s="1229"/>
      <c r="HL24" s="1229"/>
      <c r="HM24" s="1229"/>
      <c r="HN24" s="1229"/>
      <c r="HO24" s="1229"/>
      <c r="HP24" s="1229"/>
      <c r="HQ24" s="1229"/>
      <c r="HR24" s="1229"/>
      <c r="HS24" s="1229"/>
      <c r="HT24" s="1229"/>
      <c r="HU24" s="1229"/>
      <c r="HV24" s="1229"/>
      <c r="HW24" s="1229"/>
      <c r="HX24" s="1229"/>
      <c r="HY24" s="1229"/>
      <c r="HZ24" s="1229"/>
      <c r="IA24" s="1229"/>
      <c r="IB24" s="1229"/>
      <c r="IC24" s="1229"/>
      <c r="ID24" s="1229"/>
      <c r="IE24" s="1229"/>
      <c r="IF24" s="1229"/>
      <c r="IG24" s="1229"/>
      <c r="IH24" s="1229"/>
      <c r="II24" s="1229"/>
      <c r="IJ24" s="1229"/>
      <c r="IK24" s="1229"/>
      <c r="IL24" s="1229"/>
      <c r="IM24" s="1229"/>
      <c r="IN24" s="1229"/>
      <c r="IO24" s="1229"/>
      <c r="IP24" s="1229"/>
      <c r="IQ24" s="1229"/>
      <c r="IR24" s="1229"/>
      <c r="IS24" s="1229"/>
      <c r="IT24" s="1229"/>
      <c r="IU24" s="1229"/>
      <c r="IV24" s="1229"/>
    </row>
    <row r="25" spans="1:256" ht="21.75" customHeight="1">
      <c r="A25" s="1436"/>
      <c r="B25" s="1438"/>
      <c r="C25" s="1438"/>
      <c r="D25" s="1439"/>
      <c r="E25" s="1460"/>
      <c r="F25" s="1438"/>
      <c r="G25" s="1438"/>
      <c r="H25" s="1438"/>
      <c r="I25" s="1438"/>
      <c r="J25" s="1441"/>
      <c r="AE25" s="871"/>
      <c r="AF25" s="871"/>
      <c r="AG25" s="871"/>
      <c r="AH25" s="871"/>
      <c r="AI25" s="871"/>
      <c r="AJ25" s="871"/>
      <c r="AK25" s="871"/>
      <c r="AL25" s="871"/>
      <c r="AM25" s="871"/>
      <c r="AN25" s="871"/>
      <c r="AO25" s="871"/>
      <c r="AP25" s="871"/>
      <c r="AQ25" s="871"/>
      <c r="AR25" s="871"/>
      <c r="AS25" s="871"/>
      <c r="AT25" s="871"/>
      <c r="AU25" s="871"/>
      <c r="AV25" s="871"/>
      <c r="AW25" s="871"/>
      <c r="AX25" s="871"/>
      <c r="AY25" s="871"/>
      <c r="AZ25" s="871"/>
      <c r="BA25" s="871"/>
      <c r="BB25" s="871"/>
      <c r="BC25" s="871"/>
      <c r="BD25" s="871"/>
      <c r="BE25" s="871"/>
      <c r="BF25" s="871"/>
      <c r="BG25" s="871"/>
      <c r="BH25" s="871"/>
      <c r="BI25" s="871"/>
      <c r="BJ25" s="871"/>
      <c r="BK25" s="871"/>
      <c r="BL25" s="871"/>
      <c r="BM25" s="871"/>
      <c r="BN25" s="871"/>
      <c r="BO25" s="871"/>
      <c r="BP25" s="871"/>
      <c r="BQ25" s="871"/>
      <c r="BR25" s="871"/>
      <c r="BS25" s="871"/>
      <c r="BT25" s="871"/>
      <c r="BU25" s="871"/>
      <c r="BV25" s="871"/>
      <c r="BW25" s="871"/>
      <c r="BX25" s="871"/>
      <c r="BY25" s="871"/>
      <c r="BZ25" s="871"/>
      <c r="CA25" s="871"/>
      <c r="CB25" s="871"/>
      <c r="CC25" s="871"/>
      <c r="CD25" s="871"/>
      <c r="CE25" s="871"/>
      <c r="CF25" s="871"/>
      <c r="CG25" s="871"/>
      <c r="CH25" s="871"/>
      <c r="CI25" s="871"/>
      <c r="CJ25" s="871"/>
      <c r="CK25" s="871"/>
      <c r="CL25" s="871"/>
      <c r="CM25" s="871"/>
      <c r="CN25" s="871"/>
      <c r="CO25" s="871"/>
      <c r="CP25" s="871"/>
      <c r="CQ25" s="871"/>
      <c r="CR25" s="871"/>
      <c r="CS25" s="871"/>
      <c r="CT25" s="871"/>
      <c r="CU25" s="871"/>
      <c r="CV25" s="871"/>
      <c r="CW25" s="871"/>
      <c r="CX25" s="871"/>
      <c r="CY25" s="871"/>
      <c r="CZ25" s="871"/>
      <c r="DA25" s="871"/>
      <c r="DB25" s="871"/>
      <c r="DC25" s="871"/>
      <c r="DD25" s="871"/>
      <c r="DE25" s="871"/>
      <c r="DF25" s="871"/>
      <c r="DG25" s="871"/>
      <c r="DH25" s="871"/>
      <c r="DI25" s="871"/>
      <c r="DJ25" s="871"/>
      <c r="DK25" s="871"/>
      <c r="DL25" s="871"/>
      <c r="DM25" s="871"/>
      <c r="DN25" s="871"/>
      <c r="DO25" s="871"/>
      <c r="DP25" s="871"/>
      <c r="DQ25" s="871"/>
      <c r="DR25" s="871"/>
      <c r="DS25" s="871"/>
      <c r="DT25" s="871"/>
      <c r="DU25" s="871"/>
      <c r="DV25" s="871"/>
      <c r="DW25" s="871"/>
      <c r="DX25" s="871"/>
      <c r="DY25" s="871"/>
      <c r="DZ25" s="871"/>
      <c r="EA25" s="871"/>
      <c r="EB25" s="871"/>
      <c r="EC25" s="871"/>
      <c r="ED25" s="871"/>
      <c r="EE25" s="871"/>
      <c r="EF25" s="871"/>
      <c r="EG25" s="871"/>
      <c r="EH25" s="871"/>
      <c r="EI25" s="871"/>
      <c r="EJ25" s="871"/>
      <c r="EK25" s="871"/>
      <c r="EL25" s="871"/>
      <c r="EM25" s="871"/>
      <c r="EN25" s="871"/>
      <c r="EO25" s="871"/>
      <c r="EP25" s="871"/>
      <c r="EQ25" s="871"/>
      <c r="ER25" s="871"/>
      <c r="ES25" s="871"/>
      <c r="ET25" s="871"/>
      <c r="EU25" s="871"/>
      <c r="EV25" s="871"/>
      <c r="EW25" s="871"/>
      <c r="EX25" s="871"/>
      <c r="EY25" s="871"/>
      <c r="EZ25" s="871"/>
      <c r="FA25" s="871"/>
      <c r="FB25" s="871"/>
      <c r="FC25" s="871"/>
      <c r="FD25" s="871"/>
      <c r="FE25" s="871"/>
      <c r="FF25" s="871"/>
      <c r="FG25" s="871"/>
      <c r="FH25" s="871"/>
      <c r="FI25" s="871"/>
      <c r="FJ25" s="871"/>
      <c r="FK25" s="871"/>
      <c r="FL25" s="871"/>
      <c r="FM25" s="871"/>
      <c r="FN25" s="871"/>
      <c r="FO25" s="871"/>
      <c r="FP25" s="871"/>
      <c r="FQ25" s="871"/>
      <c r="FR25" s="871"/>
      <c r="FS25" s="871"/>
      <c r="FT25" s="871"/>
      <c r="FU25" s="871"/>
      <c r="FV25" s="871"/>
      <c r="FW25" s="871"/>
      <c r="FX25" s="871"/>
      <c r="FY25" s="871"/>
      <c r="FZ25" s="871"/>
      <c r="GA25" s="871"/>
      <c r="GB25" s="871"/>
      <c r="GC25" s="871"/>
      <c r="GD25" s="871"/>
      <c r="GE25" s="871"/>
      <c r="GF25" s="871"/>
      <c r="GG25" s="871"/>
      <c r="GH25" s="871"/>
      <c r="GI25" s="871"/>
      <c r="GJ25" s="871"/>
      <c r="GK25" s="871"/>
      <c r="GL25" s="871"/>
      <c r="GM25" s="871"/>
      <c r="GN25" s="871"/>
      <c r="GO25" s="871"/>
      <c r="GP25" s="871"/>
      <c r="GQ25" s="871"/>
      <c r="GR25" s="871"/>
      <c r="GS25" s="871"/>
      <c r="GT25" s="871"/>
      <c r="GU25" s="871"/>
      <c r="GV25" s="871"/>
      <c r="GW25" s="871"/>
      <c r="GX25" s="871"/>
      <c r="GY25" s="871"/>
      <c r="GZ25" s="871"/>
      <c r="HA25" s="871"/>
      <c r="HB25" s="871"/>
      <c r="HC25" s="871"/>
      <c r="HD25" s="871"/>
      <c r="HE25" s="871"/>
      <c r="HF25" s="871"/>
      <c r="HG25" s="871"/>
      <c r="HH25" s="871"/>
      <c r="HI25" s="871"/>
      <c r="HJ25" s="871"/>
      <c r="HK25" s="871"/>
      <c r="HL25" s="871"/>
      <c r="HM25" s="871"/>
      <c r="HN25" s="871"/>
      <c r="HO25" s="871"/>
      <c r="HP25" s="871"/>
      <c r="HQ25" s="871"/>
      <c r="HR25" s="871"/>
      <c r="HS25" s="871"/>
      <c r="HT25" s="871"/>
      <c r="HU25" s="871"/>
      <c r="HV25" s="871"/>
      <c r="HW25" s="871"/>
      <c r="HX25" s="871"/>
      <c r="HY25" s="871"/>
      <c r="HZ25" s="871"/>
      <c r="IA25" s="871"/>
      <c r="IB25" s="871"/>
      <c r="IC25" s="871"/>
      <c r="ID25" s="871"/>
      <c r="IE25" s="871"/>
      <c r="IF25" s="871"/>
      <c r="IG25" s="871"/>
      <c r="IH25" s="871"/>
      <c r="II25" s="871"/>
      <c r="IJ25" s="871"/>
      <c r="IK25" s="871"/>
      <c r="IL25" s="871"/>
      <c r="IM25" s="871"/>
      <c r="IN25" s="871"/>
      <c r="IO25" s="871"/>
      <c r="IP25" s="871"/>
      <c r="IQ25" s="871"/>
      <c r="IR25" s="871"/>
      <c r="IS25" s="871"/>
      <c r="IT25" s="871"/>
      <c r="IU25" s="871"/>
      <c r="IV25" s="871"/>
    </row>
    <row r="26" spans="1:256" ht="24">
      <c r="A26" s="1436"/>
      <c r="B26" s="1475" t="s">
        <v>126</v>
      </c>
      <c r="C26" s="1475" t="s">
        <v>902</v>
      </c>
      <c r="D26" s="1475"/>
      <c r="E26" s="1471" t="s">
        <v>1001</v>
      </c>
      <c r="F26" s="1471"/>
      <c r="G26" s="1487"/>
      <c r="H26" s="1487"/>
      <c r="I26" s="1487"/>
      <c r="J26" s="1488"/>
      <c r="IV26" s="1223"/>
    </row>
    <row r="27" spans="1:256" ht="24.75" thickBot="1">
      <c r="A27" s="1436"/>
      <c r="B27" s="1475" t="s">
        <v>1002</v>
      </c>
      <c r="C27" s="1489">
        <f>EligBasisLimits!C26</f>
        <v>0</v>
      </c>
      <c r="D27" s="1477" t="s">
        <v>1003</v>
      </c>
      <c r="E27" s="1490">
        <f>ROUND(+C27*0.75,2)</f>
        <v>0</v>
      </c>
      <c r="F27" s="1471"/>
      <c r="G27" s="1472" t="s">
        <v>1405</v>
      </c>
      <c r="H27" s="1613" t="s">
        <v>1603</v>
      </c>
      <c r="I27" s="1613"/>
      <c r="J27" s="1614"/>
      <c r="AE27" s="871"/>
      <c r="AF27" s="871"/>
      <c r="AG27" s="871"/>
      <c r="AH27" s="871"/>
      <c r="AI27" s="871"/>
      <c r="AJ27" s="871"/>
      <c r="AK27" s="871"/>
      <c r="AL27" s="871"/>
      <c r="AM27" s="871"/>
      <c r="AN27" s="871"/>
      <c r="AO27" s="871"/>
      <c r="AP27" s="871"/>
      <c r="AQ27" s="871"/>
      <c r="AR27" s="871"/>
      <c r="AS27" s="871"/>
      <c r="AT27" s="871"/>
      <c r="AU27" s="871"/>
      <c r="AV27" s="871"/>
      <c r="AW27" s="871"/>
      <c r="AX27" s="871"/>
      <c r="AY27" s="871"/>
      <c r="AZ27" s="871"/>
      <c r="BA27" s="871"/>
      <c r="BB27" s="871"/>
      <c r="BC27" s="871"/>
      <c r="BD27" s="871"/>
      <c r="BE27" s="871"/>
      <c r="BF27" s="871"/>
      <c r="BG27" s="871"/>
      <c r="BH27" s="871"/>
      <c r="BI27" s="871"/>
      <c r="BJ27" s="871"/>
      <c r="BK27" s="871"/>
      <c r="BL27" s="871"/>
      <c r="BM27" s="871"/>
      <c r="BN27" s="871"/>
      <c r="BO27" s="871"/>
      <c r="BP27" s="871"/>
      <c r="BQ27" s="871"/>
      <c r="BR27" s="871"/>
      <c r="BS27" s="871"/>
      <c r="BT27" s="871"/>
      <c r="BU27" s="871"/>
      <c r="BV27" s="871"/>
      <c r="BW27" s="871"/>
      <c r="BX27" s="871"/>
      <c r="BY27" s="871"/>
      <c r="BZ27" s="871"/>
      <c r="CA27" s="871"/>
      <c r="CB27" s="871"/>
      <c r="CC27" s="871"/>
      <c r="CD27" s="871"/>
      <c r="CE27" s="871"/>
      <c r="CF27" s="871"/>
      <c r="CG27" s="871"/>
      <c r="CH27" s="871"/>
      <c r="CI27" s="871"/>
      <c r="CJ27" s="871"/>
      <c r="CK27" s="871"/>
      <c r="CL27" s="871"/>
      <c r="CM27" s="871"/>
      <c r="CN27" s="871"/>
      <c r="CO27" s="871"/>
      <c r="CP27" s="871"/>
      <c r="CQ27" s="871"/>
      <c r="CR27" s="871"/>
      <c r="CS27" s="871"/>
      <c r="CT27" s="871"/>
      <c r="CU27" s="871"/>
      <c r="CV27" s="871"/>
      <c r="CW27" s="871"/>
      <c r="CX27" s="871"/>
      <c r="CY27" s="871"/>
      <c r="CZ27" s="871"/>
      <c r="DA27" s="871"/>
      <c r="DB27" s="871"/>
      <c r="DC27" s="871"/>
      <c r="DD27" s="871"/>
      <c r="DE27" s="871"/>
      <c r="DF27" s="871"/>
      <c r="DG27" s="871"/>
      <c r="DH27" s="871"/>
      <c r="DI27" s="871"/>
      <c r="DJ27" s="871"/>
      <c r="DK27" s="871"/>
      <c r="DL27" s="871"/>
      <c r="DM27" s="871"/>
      <c r="DN27" s="871"/>
      <c r="DO27" s="871"/>
      <c r="DP27" s="871"/>
      <c r="DQ27" s="871"/>
      <c r="DR27" s="871"/>
      <c r="DS27" s="871"/>
      <c r="DT27" s="871"/>
      <c r="DU27" s="871"/>
      <c r="DV27" s="871"/>
      <c r="DW27" s="871"/>
      <c r="DX27" s="871"/>
      <c r="DY27" s="871"/>
      <c r="DZ27" s="871"/>
      <c r="EA27" s="871"/>
      <c r="EB27" s="871"/>
      <c r="EC27" s="871"/>
      <c r="ED27" s="871"/>
      <c r="EE27" s="871"/>
      <c r="EF27" s="871"/>
      <c r="EG27" s="871"/>
      <c r="EH27" s="871"/>
      <c r="EI27" s="871"/>
      <c r="EJ27" s="871"/>
      <c r="EK27" s="871"/>
      <c r="EL27" s="871"/>
      <c r="EM27" s="871"/>
      <c r="EN27" s="871"/>
      <c r="EO27" s="871"/>
      <c r="EP27" s="871"/>
      <c r="EQ27" s="871"/>
      <c r="ER27" s="871"/>
      <c r="ES27" s="871"/>
      <c r="ET27" s="871"/>
      <c r="EU27" s="871"/>
      <c r="EV27" s="871"/>
      <c r="EW27" s="871"/>
      <c r="EX27" s="871"/>
      <c r="EY27" s="871"/>
      <c r="EZ27" s="871"/>
      <c r="FA27" s="871"/>
      <c r="FB27" s="871"/>
      <c r="FC27" s="871"/>
      <c r="FD27" s="871"/>
      <c r="FE27" s="871"/>
      <c r="FF27" s="871"/>
      <c r="FG27" s="871"/>
      <c r="FH27" s="871"/>
      <c r="FI27" s="871"/>
      <c r="FJ27" s="871"/>
      <c r="FK27" s="871"/>
      <c r="FL27" s="871"/>
      <c r="FM27" s="871"/>
      <c r="FN27" s="871"/>
      <c r="FO27" s="871"/>
      <c r="FP27" s="871"/>
      <c r="FQ27" s="871"/>
      <c r="FR27" s="871"/>
      <c r="FS27" s="871"/>
      <c r="FT27" s="871"/>
      <c r="FU27" s="871"/>
      <c r="FV27" s="871"/>
      <c r="FW27" s="871"/>
      <c r="FX27" s="871"/>
      <c r="FY27" s="871"/>
      <c r="FZ27" s="871"/>
      <c r="GA27" s="871"/>
      <c r="GB27" s="871"/>
      <c r="GC27" s="871"/>
      <c r="GD27" s="871"/>
      <c r="GE27" s="871"/>
      <c r="GF27" s="871"/>
      <c r="GG27" s="871"/>
      <c r="GH27" s="871"/>
      <c r="GI27" s="871"/>
      <c r="GJ27" s="871"/>
      <c r="GK27" s="871"/>
      <c r="GL27" s="871"/>
      <c r="GM27" s="871"/>
      <c r="GN27" s="871"/>
      <c r="GO27" s="871"/>
      <c r="GP27" s="871"/>
      <c r="GQ27" s="871"/>
      <c r="GR27" s="871"/>
      <c r="GS27" s="871"/>
      <c r="GT27" s="871"/>
      <c r="GU27" s="871"/>
      <c r="GV27" s="871"/>
      <c r="GW27" s="871"/>
      <c r="GX27" s="871"/>
      <c r="GY27" s="871"/>
      <c r="GZ27" s="871"/>
      <c r="HA27" s="871"/>
      <c r="HB27" s="871"/>
      <c r="HC27" s="871"/>
      <c r="HD27" s="871"/>
      <c r="HE27" s="871"/>
      <c r="HF27" s="871"/>
      <c r="HG27" s="871"/>
      <c r="HH27" s="871"/>
      <c r="HI27" s="871"/>
      <c r="HJ27" s="871"/>
      <c r="HK27" s="871"/>
      <c r="HL27" s="871"/>
      <c r="HM27" s="871"/>
      <c r="HN27" s="871"/>
      <c r="HO27" s="871"/>
      <c r="HP27" s="871"/>
      <c r="HQ27" s="871"/>
      <c r="HR27" s="871"/>
      <c r="HS27" s="871"/>
      <c r="HT27" s="871"/>
      <c r="HU27" s="871"/>
      <c r="HV27" s="871"/>
      <c r="HW27" s="871"/>
      <c r="HX27" s="871"/>
      <c r="HY27" s="871"/>
      <c r="HZ27" s="871"/>
      <c r="IA27" s="871"/>
      <c r="IB27" s="871"/>
      <c r="IC27" s="871"/>
      <c r="ID27" s="871"/>
      <c r="IE27" s="871"/>
      <c r="IF27" s="871"/>
      <c r="IG27" s="871"/>
      <c r="IH27" s="871"/>
      <c r="II27" s="871"/>
      <c r="IJ27" s="871"/>
      <c r="IK27" s="871"/>
      <c r="IL27" s="871"/>
      <c r="IM27" s="871"/>
      <c r="IN27" s="871"/>
      <c r="IO27" s="871"/>
      <c r="IP27" s="871"/>
      <c r="IQ27" s="871"/>
      <c r="IR27" s="871"/>
      <c r="IS27" s="871"/>
      <c r="IT27" s="871"/>
      <c r="IU27" s="871"/>
      <c r="IV27" s="871"/>
    </row>
    <row r="28" spans="1:256" ht="24.75" customHeight="1" thickTop="1">
      <c r="A28" s="1436"/>
      <c r="B28" s="1475" t="s">
        <v>1004</v>
      </c>
      <c r="C28" s="1489">
        <f>EligBasisLimits!C27</f>
        <v>0</v>
      </c>
      <c r="D28" s="1477" t="s">
        <v>1005</v>
      </c>
      <c r="E28" s="1491">
        <f>C28*1</f>
        <v>0</v>
      </c>
      <c r="F28" s="1471"/>
      <c r="G28" s="1492"/>
      <c r="H28" s="1471"/>
      <c r="I28" s="1471"/>
      <c r="J28" s="1493"/>
      <c r="IV28" s="1223"/>
    </row>
    <row r="29" spans="1:256" ht="24.75" customHeight="1">
      <c r="A29" s="1436"/>
      <c r="B29" s="1475" t="s">
        <v>1006</v>
      </c>
      <c r="C29" s="1489">
        <f>EligBasisLimits!C28</f>
        <v>0</v>
      </c>
      <c r="D29" s="1477" t="s">
        <v>1007</v>
      </c>
      <c r="E29" s="1491">
        <f>C29*2</f>
        <v>0</v>
      </c>
      <c r="F29" s="1471"/>
      <c r="G29" s="1494"/>
      <c r="H29" s="1494"/>
      <c r="I29" s="1487"/>
      <c r="J29" s="1495"/>
      <c r="AE29" s="871"/>
      <c r="AF29" s="871"/>
      <c r="AG29" s="871"/>
      <c r="AH29" s="871"/>
      <c r="AI29" s="871"/>
      <c r="AJ29" s="871"/>
      <c r="AK29" s="871"/>
      <c r="AL29" s="871"/>
      <c r="AM29" s="871"/>
      <c r="AN29" s="871"/>
      <c r="AO29" s="871"/>
      <c r="AP29" s="871"/>
      <c r="AQ29" s="871"/>
      <c r="AR29" s="871"/>
      <c r="AS29" s="871"/>
      <c r="AT29" s="871"/>
      <c r="AU29" s="871"/>
      <c r="AV29" s="871"/>
      <c r="AW29" s="871"/>
      <c r="AX29" s="871"/>
      <c r="AY29" s="871"/>
      <c r="AZ29" s="871"/>
      <c r="BA29" s="871"/>
      <c r="BB29" s="871"/>
      <c r="BC29" s="871"/>
      <c r="BD29" s="871"/>
      <c r="BE29" s="871"/>
      <c r="BF29" s="871"/>
      <c r="BG29" s="871"/>
      <c r="BH29" s="871"/>
      <c r="BI29" s="871"/>
      <c r="BJ29" s="871"/>
      <c r="BK29" s="871"/>
      <c r="BL29" s="871"/>
      <c r="BM29" s="871"/>
      <c r="BN29" s="871"/>
      <c r="BO29" s="871"/>
      <c r="BP29" s="871"/>
      <c r="BQ29" s="871"/>
      <c r="BR29" s="871"/>
      <c r="BS29" s="871"/>
      <c r="BT29" s="871"/>
      <c r="BU29" s="871"/>
      <c r="BV29" s="871"/>
      <c r="BW29" s="871"/>
      <c r="BX29" s="871"/>
      <c r="BY29" s="871"/>
      <c r="BZ29" s="871"/>
      <c r="CA29" s="871"/>
      <c r="CB29" s="871"/>
      <c r="CC29" s="871"/>
      <c r="CD29" s="871"/>
      <c r="CE29" s="871"/>
      <c r="CF29" s="871"/>
      <c r="CG29" s="871"/>
      <c r="CH29" s="871"/>
      <c r="CI29" s="871"/>
      <c r="CJ29" s="871"/>
      <c r="CK29" s="871"/>
      <c r="CL29" s="871"/>
      <c r="CM29" s="871"/>
      <c r="CN29" s="871"/>
      <c r="CO29" s="871"/>
      <c r="CP29" s="871"/>
      <c r="CQ29" s="871"/>
      <c r="CR29" s="871"/>
      <c r="CS29" s="871"/>
      <c r="CT29" s="871"/>
      <c r="CU29" s="871"/>
      <c r="CV29" s="871"/>
      <c r="CW29" s="871"/>
      <c r="CX29" s="871"/>
      <c r="CY29" s="871"/>
      <c r="CZ29" s="871"/>
      <c r="DA29" s="871"/>
      <c r="DB29" s="871"/>
      <c r="DC29" s="871"/>
      <c r="DD29" s="871"/>
      <c r="DE29" s="871"/>
      <c r="DF29" s="871"/>
      <c r="DG29" s="871"/>
      <c r="DH29" s="871"/>
      <c r="DI29" s="871"/>
      <c r="DJ29" s="871"/>
      <c r="DK29" s="871"/>
      <c r="DL29" s="871"/>
      <c r="DM29" s="871"/>
      <c r="DN29" s="871"/>
      <c r="DO29" s="871"/>
      <c r="DP29" s="871"/>
      <c r="DQ29" s="871"/>
      <c r="DR29" s="871"/>
      <c r="DS29" s="871"/>
      <c r="DT29" s="871"/>
      <c r="DU29" s="871"/>
      <c r="DV29" s="871"/>
      <c r="DW29" s="871"/>
      <c r="DX29" s="871"/>
      <c r="DY29" s="871"/>
      <c r="DZ29" s="871"/>
      <c r="EA29" s="871"/>
      <c r="EB29" s="871"/>
      <c r="EC29" s="871"/>
      <c r="ED29" s="871"/>
      <c r="EE29" s="871"/>
      <c r="EF29" s="871"/>
      <c r="EG29" s="871"/>
      <c r="EH29" s="871"/>
      <c r="EI29" s="871"/>
      <c r="EJ29" s="871"/>
      <c r="EK29" s="871"/>
      <c r="EL29" s="871"/>
      <c r="EM29" s="871"/>
      <c r="EN29" s="871"/>
      <c r="EO29" s="871"/>
      <c r="EP29" s="871"/>
      <c r="EQ29" s="871"/>
      <c r="ER29" s="871"/>
      <c r="ES29" s="871"/>
      <c r="ET29" s="871"/>
      <c r="EU29" s="871"/>
      <c r="EV29" s="871"/>
      <c r="EW29" s="871"/>
      <c r="EX29" s="871"/>
      <c r="EY29" s="871"/>
      <c r="EZ29" s="871"/>
      <c r="FA29" s="871"/>
      <c r="FB29" s="871"/>
      <c r="FC29" s="871"/>
      <c r="FD29" s="871"/>
      <c r="FE29" s="871"/>
      <c r="FF29" s="871"/>
      <c r="FG29" s="871"/>
      <c r="FH29" s="871"/>
      <c r="FI29" s="871"/>
      <c r="FJ29" s="871"/>
      <c r="FK29" s="871"/>
      <c r="FL29" s="871"/>
      <c r="FM29" s="871"/>
      <c r="FN29" s="871"/>
      <c r="FO29" s="871"/>
      <c r="FP29" s="871"/>
      <c r="FQ29" s="871"/>
      <c r="FR29" s="871"/>
      <c r="FS29" s="871"/>
      <c r="FT29" s="871"/>
      <c r="FU29" s="871"/>
      <c r="FV29" s="871"/>
      <c r="FW29" s="871"/>
      <c r="FX29" s="871"/>
      <c r="FY29" s="871"/>
      <c r="FZ29" s="871"/>
      <c r="GA29" s="871"/>
      <c r="GB29" s="871"/>
      <c r="GC29" s="871"/>
      <c r="GD29" s="871"/>
      <c r="GE29" s="871"/>
      <c r="GF29" s="871"/>
      <c r="GG29" s="871"/>
      <c r="GH29" s="871"/>
      <c r="GI29" s="871"/>
      <c r="GJ29" s="871"/>
      <c r="GK29" s="871"/>
      <c r="GL29" s="871"/>
      <c r="GM29" s="871"/>
      <c r="GN29" s="871"/>
      <c r="GO29" s="871"/>
      <c r="GP29" s="871"/>
      <c r="GQ29" s="871"/>
      <c r="GR29" s="871"/>
      <c r="GS29" s="871"/>
      <c r="GT29" s="871"/>
      <c r="GU29" s="871"/>
      <c r="GV29" s="871"/>
      <c r="GW29" s="871"/>
      <c r="GX29" s="871"/>
      <c r="GY29" s="871"/>
      <c r="GZ29" s="871"/>
      <c r="HA29" s="871"/>
      <c r="HB29" s="871"/>
      <c r="HC29" s="871"/>
      <c r="HD29" s="871"/>
      <c r="HE29" s="871"/>
      <c r="HF29" s="871"/>
      <c r="HG29" s="871"/>
      <c r="HH29" s="871"/>
      <c r="HI29" s="871"/>
      <c r="HJ29" s="871"/>
      <c r="HK29" s="871"/>
      <c r="HL29" s="871"/>
      <c r="HM29" s="871"/>
      <c r="HN29" s="871"/>
      <c r="HO29" s="871"/>
      <c r="HP29" s="871"/>
      <c r="HQ29" s="871"/>
      <c r="HR29" s="871"/>
      <c r="HS29" s="871"/>
      <c r="HT29" s="871"/>
      <c r="HU29" s="871"/>
      <c r="HV29" s="871"/>
      <c r="HW29" s="871"/>
      <c r="HX29" s="871"/>
      <c r="HY29" s="871"/>
      <c r="HZ29" s="871"/>
      <c r="IA29" s="871"/>
      <c r="IB29" s="871"/>
      <c r="IC29" s="871"/>
      <c r="ID29" s="871"/>
      <c r="IE29" s="871"/>
      <c r="IF29" s="871"/>
      <c r="IG29" s="871"/>
      <c r="IH29" s="871"/>
      <c r="II29" s="871"/>
      <c r="IJ29" s="871"/>
      <c r="IK29" s="871"/>
      <c r="IL29" s="871"/>
      <c r="IM29" s="871"/>
      <c r="IN29" s="871"/>
      <c r="IO29" s="871"/>
      <c r="IP29" s="871"/>
      <c r="IQ29" s="871"/>
      <c r="IR29" s="871"/>
      <c r="IS29" s="871"/>
      <c r="IT29" s="871"/>
      <c r="IU29" s="871"/>
      <c r="IV29" s="871"/>
    </row>
    <row r="30" spans="1:256" ht="24.75" customHeight="1" thickBot="1">
      <c r="A30" s="1436"/>
      <c r="B30" s="1475" t="s">
        <v>1008</v>
      </c>
      <c r="C30" s="1489">
        <f>EligBasisLimits!C29</f>
        <v>0</v>
      </c>
      <c r="D30" s="1477" t="s">
        <v>1009</v>
      </c>
      <c r="E30" s="1491">
        <f>C30*3</f>
        <v>0</v>
      </c>
      <c r="F30" s="1471"/>
      <c r="G30" s="1472" t="s">
        <v>1421</v>
      </c>
      <c r="H30" s="1602">
        <f>IF(H23="Y",H27/E34,"")</f>
      </c>
      <c r="I30" s="1602"/>
      <c r="J30" s="1603"/>
      <c r="IV30" s="1223"/>
    </row>
    <row r="31" spans="1:256" ht="24.75" customHeight="1" thickTop="1">
      <c r="A31" s="1462"/>
      <c r="B31" s="1475" t="s">
        <v>1010</v>
      </c>
      <c r="C31" s="1489">
        <f>EligBasisLimits!C30</f>
        <v>0</v>
      </c>
      <c r="D31" s="1477" t="s">
        <v>1011</v>
      </c>
      <c r="E31" s="1491">
        <f>C31*4</f>
        <v>0</v>
      </c>
      <c r="F31" s="1471"/>
      <c r="G31" s="1496"/>
      <c r="H31" s="1497"/>
      <c r="I31" s="1498"/>
      <c r="J31" s="1499"/>
      <c r="AE31" s="871"/>
      <c r="AF31" s="871"/>
      <c r="AG31" s="871"/>
      <c r="AH31" s="871"/>
      <c r="AI31" s="871"/>
      <c r="AJ31" s="871"/>
      <c r="AK31" s="871"/>
      <c r="AL31" s="871"/>
      <c r="AM31" s="871"/>
      <c r="AN31" s="871"/>
      <c r="AO31" s="871"/>
      <c r="AP31" s="871"/>
      <c r="AQ31" s="871"/>
      <c r="AR31" s="871"/>
      <c r="AS31" s="871"/>
      <c r="AT31" s="871"/>
      <c r="AU31" s="871"/>
      <c r="AV31" s="871"/>
      <c r="AW31" s="871"/>
      <c r="AX31" s="871"/>
      <c r="AY31" s="871"/>
      <c r="AZ31" s="871"/>
      <c r="BA31" s="871"/>
      <c r="BB31" s="871"/>
      <c r="BC31" s="871"/>
      <c r="BD31" s="871"/>
      <c r="BE31" s="871"/>
      <c r="BF31" s="871"/>
      <c r="BG31" s="871"/>
      <c r="BH31" s="871"/>
      <c r="BI31" s="871"/>
      <c r="BJ31" s="871"/>
      <c r="BK31" s="871"/>
      <c r="BL31" s="871"/>
      <c r="BM31" s="871"/>
      <c r="BN31" s="871"/>
      <c r="BO31" s="871"/>
      <c r="BP31" s="871"/>
      <c r="BQ31" s="871"/>
      <c r="BR31" s="871"/>
      <c r="BS31" s="871"/>
      <c r="BT31" s="871"/>
      <c r="BU31" s="871"/>
      <c r="BV31" s="871"/>
      <c r="BW31" s="871"/>
      <c r="BX31" s="871"/>
      <c r="BY31" s="871"/>
      <c r="BZ31" s="871"/>
      <c r="CA31" s="871"/>
      <c r="CB31" s="871"/>
      <c r="CC31" s="871"/>
      <c r="CD31" s="871"/>
      <c r="CE31" s="871"/>
      <c r="CF31" s="871"/>
      <c r="CG31" s="871"/>
      <c r="CH31" s="871"/>
      <c r="CI31" s="871"/>
      <c r="CJ31" s="871"/>
      <c r="CK31" s="871"/>
      <c r="CL31" s="871"/>
      <c r="CM31" s="871"/>
      <c r="CN31" s="871"/>
      <c r="CO31" s="871"/>
      <c r="CP31" s="871"/>
      <c r="CQ31" s="871"/>
      <c r="CR31" s="871"/>
      <c r="CS31" s="871"/>
      <c r="CT31" s="871"/>
      <c r="CU31" s="871"/>
      <c r="CV31" s="871"/>
      <c r="CW31" s="871"/>
      <c r="CX31" s="871"/>
      <c r="CY31" s="871"/>
      <c r="CZ31" s="871"/>
      <c r="DA31" s="871"/>
      <c r="DB31" s="871"/>
      <c r="DC31" s="871"/>
      <c r="DD31" s="871"/>
      <c r="DE31" s="871"/>
      <c r="DF31" s="871"/>
      <c r="DG31" s="871"/>
      <c r="DH31" s="871"/>
      <c r="DI31" s="871"/>
      <c r="DJ31" s="871"/>
      <c r="DK31" s="871"/>
      <c r="DL31" s="871"/>
      <c r="DM31" s="871"/>
      <c r="DN31" s="871"/>
      <c r="DO31" s="871"/>
      <c r="DP31" s="871"/>
      <c r="DQ31" s="871"/>
      <c r="DR31" s="871"/>
      <c r="DS31" s="871"/>
      <c r="DT31" s="871"/>
      <c r="DU31" s="871"/>
      <c r="DV31" s="871"/>
      <c r="DW31" s="871"/>
      <c r="DX31" s="871"/>
      <c r="DY31" s="871"/>
      <c r="DZ31" s="871"/>
      <c r="EA31" s="871"/>
      <c r="EB31" s="871"/>
      <c r="EC31" s="871"/>
      <c r="ED31" s="871"/>
      <c r="EE31" s="871"/>
      <c r="EF31" s="871"/>
      <c r="EG31" s="871"/>
      <c r="EH31" s="871"/>
      <c r="EI31" s="871"/>
      <c r="EJ31" s="871"/>
      <c r="EK31" s="871"/>
      <c r="EL31" s="871"/>
      <c r="EM31" s="871"/>
      <c r="EN31" s="871"/>
      <c r="EO31" s="871"/>
      <c r="EP31" s="871"/>
      <c r="EQ31" s="871"/>
      <c r="ER31" s="871"/>
      <c r="ES31" s="871"/>
      <c r="ET31" s="871"/>
      <c r="EU31" s="871"/>
      <c r="EV31" s="871"/>
      <c r="EW31" s="871"/>
      <c r="EX31" s="871"/>
      <c r="EY31" s="871"/>
      <c r="EZ31" s="871"/>
      <c r="FA31" s="871"/>
      <c r="FB31" s="871"/>
      <c r="FC31" s="871"/>
      <c r="FD31" s="871"/>
      <c r="FE31" s="871"/>
      <c r="FF31" s="871"/>
      <c r="FG31" s="871"/>
      <c r="FH31" s="871"/>
      <c r="FI31" s="871"/>
      <c r="FJ31" s="871"/>
      <c r="FK31" s="871"/>
      <c r="FL31" s="871"/>
      <c r="FM31" s="871"/>
      <c r="FN31" s="871"/>
      <c r="FO31" s="871"/>
      <c r="FP31" s="871"/>
      <c r="FQ31" s="871"/>
      <c r="FR31" s="871"/>
      <c r="FS31" s="871"/>
      <c r="FT31" s="871"/>
      <c r="FU31" s="871"/>
      <c r="FV31" s="871"/>
      <c r="FW31" s="871"/>
      <c r="FX31" s="871"/>
      <c r="FY31" s="871"/>
      <c r="FZ31" s="871"/>
      <c r="GA31" s="871"/>
      <c r="GB31" s="871"/>
      <c r="GC31" s="871"/>
      <c r="GD31" s="871"/>
      <c r="GE31" s="871"/>
      <c r="GF31" s="871"/>
      <c r="GG31" s="871"/>
      <c r="GH31" s="871"/>
      <c r="GI31" s="871"/>
      <c r="GJ31" s="871"/>
      <c r="GK31" s="871"/>
      <c r="GL31" s="871"/>
      <c r="GM31" s="871"/>
      <c r="GN31" s="871"/>
      <c r="GO31" s="871"/>
      <c r="GP31" s="871"/>
      <c r="GQ31" s="871"/>
      <c r="GR31" s="871"/>
      <c r="GS31" s="871"/>
      <c r="GT31" s="871"/>
      <c r="GU31" s="871"/>
      <c r="GV31" s="871"/>
      <c r="GW31" s="871"/>
      <c r="GX31" s="871"/>
      <c r="GY31" s="871"/>
      <c r="GZ31" s="871"/>
      <c r="HA31" s="871"/>
      <c r="HB31" s="871"/>
      <c r="HC31" s="871"/>
      <c r="HD31" s="871"/>
      <c r="HE31" s="871"/>
      <c r="HF31" s="871"/>
      <c r="HG31" s="871"/>
      <c r="HH31" s="871"/>
      <c r="HI31" s="871"/>
      <c r="HJ31" s="871"/>
      <c r="HK31" s="871"/>
      <c r="HL31" s="871"/>
      <c r="HM31" s="871"/>
      <c r="HN31" s="871"/>
      <c r="HO31" s="871"/>
      <c r="HP31" s="871"/>
      <c r="HQ31" s="871"/>
      <c r="HR31" s="871"/>
      <c r="HS31" s="871"/>
      <c r="HT31" s="871"/>
      <c r="HU31" s="871"/>
      <c r="HV31" s="871"/>
      <c r="HW31" s="871"/>
      <c r="HX31" s="871"/>
      <c r="HY31" s="871"/>
      <c r="HZ31" s="871"/>
      <c r="IA31" s="871"/>
      <c r="IB31" s="871"/>
      <c r="IC31" s="871"/>
      <c r="ID31" s="871"/>
      <c r="IE31" s="871"/>
      <c r="IF31" s="871"/>
      <c r="IG31" s="871"/>
      <c r="IH31" s="871"/>
      <c r="II31" s="871"/>
      <c r="IJ31" s="871"/>
      <c r="IK31" s="871"/>
      <c r="IL31" s="871"/>
      <c r="IM31" s="871"/>
      <c r="IN31" s="871"/>
      <c r="IO31" s="871"/>
      <c r="IP31" s="871"/>
      <c r="IQ31" s="871"/>
      <c r="IR31" s="871"/>
      <c r="IS31" s="871"/>
      <c r="IT31" s="871"/>
      <c r="IU31" s="871"/>
      <c r="IV31" s="871"/>
    </row>
    <row r="32" spans="1:256" ht="24.75" customHeight="1">
      <c r="A32" s="1436"/>
      <c r="B32" s="1475" t="s">
        <v>1012</v>
      </c>
      <c r="C32" s="1489">
        <f>EligBasisLimits!C31</f>
        <v>0</v>
      </c>
      <c r="D32" s="1477" t="s">
        <v>1013</v>
      </c>
      <c r="E32" s="1491">
        <f>C32*5</f>
        <v>0</v>
      </c>
      <c r="F32" s="1471"/>
      <c r="G32" s="1472"/>
      <c r="H32" s="1500"/>
      <c r="I32" s="1500"/>
      <c r="J32" s="1501"/>
      <c r="IV32" s="1223"/>
    </row>
    <row r="33" spans="1:256" ht="24.75" customHeight="1" thickBot="1">
      <c r="A33" s="1436"/>
      <c r="B33" s="1480"/>
      <c r="C33" s="1480"/>
      <c r="D33" s="1481"/>
      <c r="E33" s="1482"/>
      <c r="F33" s="1471"/>
      <c r="G33" s="1472" t="s">
        <v>1622</v>
      </c>
      <c r="H33" s="1602">
        <f>IF(H24="Y",H27/C34,"")</f>
      </c>
      <c r="I33" s="1602"/>
      <c r="J33" s="1603"/>
      <c r="AE33" s="871"/>
      <c r="AF33" s="871"/>
      <c r="AG33" s="871"/>
      <c r="AH33" s="871"/>
      <c r="AI33" s="871"/>
      <c r="AJ33" s="871"/>
      <c r="AK33" s="871"/>
      <c r="AL33" s="871"/>
      <c r="AM33" s="871"/>
      <c r="AN33" s="871"/>
      <c r="AO33" s="871"/>
      <c r="AP33" s="871"/>
      <c r="AQ33" s="871"/>
      <c r="AR33" s="871"/>
      <c r="AS33" s="871"/>
      <c r="AT33" s="871"/>
      <c r="AU33" s="871"/>
      <c r="AV33" s="871"/>
      <c r="AW33" s="871"/>
      <c r="AX33" s="871"/>
      <c r="AY33" s="871"/>
      <c r="AZ33" s="871"/>
      <c r="BA33" s="871"/>
      <c r="BB33" s="871"/>
      <c r="BC33" s="871"/>
      <c r="BD33" s="871"/>
      <c r="BE33" s="871"/>
      <c r="BF33" s="871"/>
      <c r="BG33" s="871"/>
      <c r="BH33" s="871"/>
      <c r="BI33" s="871"/>
      <c r="BJ33" s="871"/>
      <c r="BK33" s="871"/>
      <c r="BL33" s="871"/>
      <c r="BM33" s="871"/>
      <c r="BN33" s="871"/>
      <c r="BO33" s="871"/>
      <c r="BP33" s="871"/>
      <c r="BQ33" s="871"/>
      <c r="BR33" s="871"/>
      <c r="BS33" s="871"/>
      <c r="BT33" s="871"/>
      <c r="BU33" s="871"/>
      <c r="BV33" s="871"/>
      <c r="BW33" s="871"/>
      <c r="BX33" s="871"/>
      <c r="BY33" s="871"/>
      <c r="BZ33" s="871"/>
      <c r="CA33" s="871"/>
      <c r="CB33" s="871"/>
      <c r="CC33" s="871"/>
      <c r="CD33" s="871"/>
      <c r="CE33" s="871"/>
      <c r="CF33" s="871"/>
      <c r="CG33" s="871"/>
      <c r="CH33" s="871"/>
      <c r="CI33" s="871"/>
      <c r="CJ33" s="871"/>
      <c r="CK33" s="871"/>
      <c r="CL33" s="871"/>
      <c r="CM33" s="871"/>
      <c r="CN33" s="871"/>
      <c r="CO33" s="871"/>
      <c r="CP33" s="871"/>
      <c r="CQ33" s="871"/>
      <c r="CR33" s="871"/>
      <c r="CS33" s="871"/>
      <c r="CT33" s="871"/>
      <c r="CU33" s="871"/>
      <c r="CV33" s="871"/>
      <c r="CW33" s="871"/>
      <c r="CX33" s="871"/>
      <c r="CY33" s="871"/>
      <c r="CZ33" s="871"/>
      <c r="DA33" s="871"/>
      <c r="DB33" s="871"/>
      <c r="DC33" s="871"/>
      <c r="DD33" s="871"/>
      <c r="DE33" s="871"/>
      <c r="DF33" s="871"/>
      <c r="DG33" s="871"/>
      <c r="DH33" s="871"/>
      <c r="DI33" s="871"/>
      <c r="DJ33" s="871"/>
      <c r="DK33" s="871"/>
      <c r="DL33" s="871"/>
      <c r="DM33" s="871"/>
      <c r="DN33" s="871"/>
      <c r="DO33" s="871"/>
      <c r="DP33" s="871"/>
      <c r="DQ33" s="871"/>
      <c r="DR33" s="871"/>
      <c r="DS33" s="871"/>
      <c r="DT33" s="871"/>
      <c r="DU33" s="871"/>
      <c r="DV33" s="871"/>
      <c r="DW33" s="871"/>
      <c r="DX33" s="871"/>
      <c r="DY33" s="871"/>
      <c r="DZ33" s="871"/>
      <c r="EA33" s="871"/>
      <c r="EB33" s="871"/>
      <c r="EC33" s="871"/>
      <c r="ED33" s="871"/>
      <c r="EE33" s="871"/>
      <c r="EF33" s="871"/>
      <c r="EG33" s="871"/>
      <c r="EH33" s="871"/>
      <c r="EI33" s="871"/>
      <c r="EJ33" s="871"/>
      <c r="EK33" s="871"/>
      <c r="EL33" s="871"/>
      <c r="EM33" s="871"/>
      <c r="EN33" s="871"/>
      <c r="EO33" s="871"/>
      <c r="EP33" s="871"/>
      <c r="EQ33" s="871"/>
      <c r="ER33" s="871"/>
      <c r="ES33" s="871"/>
      <c r="ET33" s="871"/>
      <c r="EU33" s="871"/>
      <c r="EV33" s="871"/>
      <c r="EW33" s="871"/>
      <c r="EX33" s="871"/>
      <c r="EY33" s="871"/>
      <c r="EZ33" s="871"/>
      <c r="FA33" s="871"/>
      <c r="FB33" s="871"/>
      <c r="FC33" s="871"/>
      <c r="FD33" s="871"/>
      <c r="FE33" s="871"/>
      <c r="FF33" s="871"/>
      <c r="FG33" s="871"/>
      <c r="FH33" s="871"/>
      <c r="FI33" s="871"/>
      <c r="FJ33" s="871"/>
      <c r="FK33" s="871"/>
      <c r="FL33" s="871"/>
      <c r="FM33" s="871"/>
      <c r="FN33" s="871"/>
      <c r="FO33" s="871"/>
      <c r="FP33" s="871"/>
      <c r="FQ33" s="871"/>
      <c r="FR33" s="871"/>
      <c r="FS33" s="871"/>
      <c r="FT33" s="871"/>
      <c r="FU33" s="871"/>
      <c r="FV33" s="871"/>
      <c r="FW33" s="871"/>
      <c r="FX33" s="871"/>
      <c r="FY33" s="871"/>
      <c r="FZ33" s="871"/>
      <c r="GA33" s="871"/>
      <c r="GB33" s="871"/>
      <c r="GC33" s="871"/>
      <c r="GD33" s="871"/>
      <c r="GE33" s="871"/>
      <c r="GF33" s="871"/>
      <c r="GG33" s="871"/>
      <c r="GH33" s="871"/>
      <c r="GI33" s="871"/>
      <c r="GJ33" s="871"/>
      <c r="GK33" s="871"/>
      <c r="GL33" s="871"/>
      <c r="GM33" s="871"/>
      <c r="GN33" s="871"/>
      <c r="GO33" s="871"/>
      <c r="GP33" s="871"/>
      <c r="GQ33" s="871"/>
      <c r="GR33" s="871"/>
      <c r="GS33" s="871"/>
      <c r="GT33" s="871"/>
      <c r="GU33" s="871"/>
      <c r="GV33" s="871"/>
      <c r="GW33" s="871"/>
      <c r="GX33" s="871"/>
      <c r="GY33" s="871"/>
      <c r="GZ33" s="871"/>
      <c r="HA33" s="871"/>
      <c r="HB33" s="871"/>
      <c r="HC33" s="871"/>
      <c r="HD33" s="871"/>
      <c r="HE33" s="871"/>
      <c r="HF33" s="871"/>
      <c r="HG33" s="871"/>
      <c r="HH33" s="871"/>
      <c r="HI33" s="871"/>
      <c r="HJ33" s="871"/>
      <c r="HK33" s="871"/>
      <c r="HL33" s="871"/>
      <c r="HM33" s="871"/>
      <c r="HN33" s="871"/>
      <c r="HO33" s="871"/>
      <c r="HP33" s="871"/>
      <c r="HQ33" s="871"/>
      <c r="HR33" s="871"/>
      <c r="HS33" s="871"/>
      <c r="HT33" s="871"/>
      <c r="HU33" s="871"/>
      <c r="HV33" s="871"/>
      <c r="HW33" s="871"/>
      <c r="HX33" s="871"/>
      <c r="HY33" s="871"/>
      <c r="HZ33" s="871"/>
      <c r="IA33" s="871"/>
      <c r="IB33" s="871"/>
      <c r="IC33" s="871"/>
      <c r="ID33" s="871"/>
      <c r="IE33" s="871"/>
      <c r="IF33" s="871"/>
      <c r="IG33" s="871"/>
      <c r="IH33" s="871"/>
      <c r="II33" s="871"/>
      <c r="IJ33" s="871"/>
      <c r="IK33" s="871"/>
      <c r="IL33" s="871"/>
      <c r="IM33" s="871"/>
      <c r="IN33" s="871"/>
      <c r="IO33" s="871"/>
      <c r="IP33" s="871"/>
      <c r="IQ33" s="871"/>
      <c r="IR33" s="871"/>
      <c r="IS33" s="871"/>
      <c r="IT33" s="871"/>
      <c r="IU33" s="871"/>
      <c r="IV33" s="871"/>
    </row>
    <row r="34" spans="1:256" ht="38.25" customHeight="1" thickBot="1" thickTop="1">
      <c r="A34" s="1436"/>
      <c r="B34" s="1471" t="s">
        <v>976</v>
      </c>
      <c r="C34" s="1502">
        <f>SUM(C27:C32)</f>
        <v>0</v>
      </c>
      <c r="D34" s="1477"/>
      <c r="E34" s="1502">
        <f>SUM(E27:E32)</f>
        <v>0</v>
      </c>
      <c r="F34" s="1471"/>
      <c r="G34" s="1492"/>
      <c r="H34" s="1471"/>
      <c r="I34" s="1471"/>
      <c r="J34" s="1503"/>
      <c r="IV34" s="1223"/>
    </row>
    <row r="35" spans="1:256" ht="24.75" customHeight="1" hidden="1" thickBot="1" thickTop="1">
      <c r="A35" s="1436"/>
      <c r="B35" s="1471"/>
      <c r="C35" s="1471"/>
      <c r="D35" s="1475"/>
      <c r="E35" s="1471"/>
      <c r="F35" s="1471"/>
      <c r="G35" s="1471"/>
      <c r="H35" s="1471"/>
      <c r="I35" s="1471"/>
      <c r="J35" s="1504"/>
      <c r="AE35" s="871"/>
      <c r="AF35" s="871"/>
      <c r="AG35" s="871"/>
      <c r="AH35" s="871"/>
      <c r="AI35" s="871"/>
      <c r="AJ35" s="871"/>
      <c r="AK35" s="871"/>
      <c r="AL35" s="871"/>
      <c r="AM35" s="871"/>
      <c r="AN35" s="871"/>
      <c r="AO35" s="871"/>
      <c r="AP35" s="871"/>
      <c r="AQ35" s="871"/>
      <c r="AR35" s="871"/>
      <c r="AS35" s="871"/>
      <c r="AT35" s="871"/>
      <c r="AU35" s="871"/>
      <c r="AV35" s="871"/>
      <c r="AW35" s="871"/>
      <c r="AX35" s="871"/>
      <c r="AY35" s="871"/>
      <c r="AZ35" s="871"/>
      <c r="BA35" s="871"/>
      <c r="BB35" s="871"/>
      <c r="BC35" s="871"/>
      <c r="BD35" s="871"/>
      <c r="BE35" s="871"/>
      <c r="BF35" s="871"/>
      <c r="BG35" s="871"/>
      <c r="BH35" s="871"/>
      <c r="BI35" s="871"/>
      <c r="BJ35" s="871"/>
      <c r="BK35" s="871"/>
      <c r="BL35" s="871"/>
      <c r="BM35" s="871"/>
      <c r="BN35" s="871"/>
      <c r="BO35" s="871"/>
      <c r="BP35" s="871"/>
      <c r="BQ35" s="871"/>
      <c r="BR35" s="871"/>
      <c r="BS35" s="871"/>
      <c r="BT35" s="871"/>
      <c r="BU35" s="871"/>
      <c r="BV35" s="871"/>
      <c r="BW35" s="871"/>
      <c r="BX35" s="871"/>
      <c r="BY35" s="871"/>
      <c r="BZ35" s="871"/>
      <c r="CA35" s="871"/>
      <c r="CB35" s="871"/>
      <c r="CC35" s="871"/>
      <c r="CD35" s="871"/>
      <c r="CE35" s="871"/>
      <c r="CF35" s="871"/>
      <c r="CG35" s="871"/>
      <c r="CH35" s="871"/>
      <c r="CI35" s="871"/>
      <c r="CJ35" s="871"/>
      <c r="CK35" s="871"/>
      <c r="CL35" s="871"/>
      <c r="CM35" s="871"/>
      <c r="CN35" s="871"/>
      <c r="CO35" s="871"/>
      <c r="CP35" s="871"/>
      <c r="CQ35" s="871"/>
      <c r="CR35" s="871"/>
      <c r="CS35" s="871"/>
      <c r="CT35" s="871"/>
      <c r="CU35" s="871"/>
      <c r="CV35" s="871"/>
      <c r="CW35" s="871"/>
      <c r="CX35" s="871"/>
      <c r="CY35" s="871"/>
      <c r="CZ35" s="871"/>
      <c r="DA35" s="871"/>
      <c r="DB35" s="871"/>
      <c r="DC35" s="871"/>
      <c r="DD35" s="871"/>
      <c r="DE35" s="871"/>
      <c r="DF35" s="871"/>
      <c r="DG35" s="871"/>
      <c r="DH35" s="871"/>
      <c r="DI35" s="871"/>
      <c r="DJ35" s="871"/>
      <c r="DK35" s="871"/>
      <c r="DL35" s="871"/>
      <c r="DM35" s="871"/>
      <c r="DN35" s="871"/>
      <c r="DO35" s="871"/>
      <c r="DP35" s="871"/>
      <c r="DQ35" s="871"/>
      <c r="DR35" s="871"/>
      <c r="DS35" s="871"/>
      <c r="DT35" s="871"/>
      <c r="DU35" s="871"/>
      <c r="DV35" s="871"/>
      <c r="DW35" s="871"/>
      <c r="DX35" s="871"/>
      <c r="DY35" s="871"/>
      <c r="DZ35" s="871"/>
      <c r="EA35" s="871"/>
      <c r="EB35" s="871"/>
      <c r="EC35" s="871"/>
      <c r="ED35" s="871"/>
      <c r="EE35" s="871"/>
      <c r="EF35" s="871"/>
      <c r="EG35" s="871"/>
      <c r="EH35" s="871"/>
      <c r="EI35" s="871"/>
      <c r="EJ35" s="871"/>
      <c r="EK35" s="871"/>
      <c r="EL35" s="871"/>
      <c r="EM35" s="871"/>
      <c r="EN35" s="871"/>
      <c r="EO35" s="871"/>
      <c r="EP35" s="871"/>
      <c r="EQ35" s="871"/>
      <c r="ER35" s="871"/>
      <c r="ES35" s="871"/>
      <c r="ET35" s="871"/>
      <c r="EU35" s="871"/>
      <c r="EV35" s="871"/>
      <c r="EW35" s="871"/>
      <c r="EX35" s="871"/>
      <c r="EY35" s="871"/>
      <c r="EZ35" s="871"/>
      <c r="FA35" s="871"/>
      <c r="FB35" s="871"/>
      <c r="FC35" s="871"/>
      <c r="FD35" s="871"/>
      <c r="FE35" s="871"/>
      <c r="FF35" s="871"/>
      <c r="FG35" s="871"/>
      <c r="FH35" s="871"/>
      <c r="FI35" s="871"/>
      <c r="FJ35" s="871"/>
      <c r="FK35" s="871"/>
      <c r="FL35" s="871"/>
      <c r="FM35" s="871"/>
      <c r="FN35" s="871"/>
      <c r="FO35" s="871"/>
      <c r="FP35" s="871"/>
      <c r="FQ35" s="871"/>
      <c r="FR35" s="871"/>
      <c r="FS35" s="871"/>
      <c r="FT35" s="871"/>
      <c r="FU35" s="871"/>
      <c r="FV35" s="871"/>
      <c r="FW35" s="871"/>
      <c r="FX35" s="871"/>
      <c r="FY35" s="871"/>
      <c r="FZ35" s="871"/>
      <c r="GA35" s="871"/>
      <c r="GB35" s="871"/>
      <c r="GC35" s="871"/>
      <c r="GD35" s="871"/>
      <c r="GE35" s="871"/>
      <c r="GF35" s="871"/>
      <c r="GG35" s="871"/>
      <c r="GH35" s="871"/>
      <c r="GI35" s="871"/>
      <c r="GJ35" s="871"/>
      <c r="GK35" s="871"/>
      <c r="GL35" s="871"/>
      <c r="GM35" s="871"/>
      <c r="GN35" s="871"/>
      <c r="GO35" s="871"/>
      <c r="GP35" s="871"/>
      <c r="GQ35" s="871"/>
      <c r="GR35" s="871"/>
      <c r="GS35" s="871"/>
      <c r="GT35" s="871"/>
      <c r="GU35" s="871"/>
      <c r="GV35" s="871"/>
      <c r="GW35" s="871"/>
      <c r="GX35" s="871"/>
      <c r="GY35" s="871"/>
      <c r="GZ35" s="871"/>
      <c r="HA35" s="871"/>
      <c r="HB35" s="871"/>
      <c r="HC35" s="871"/>
      <c r="HD35" s="871"/>
      <c r="HE35" s="871"/>
      <c r="HF35" s="871"/>
      <c r="HG35" s="871"/>
      <c r="HH35" s="871"/>
      <c r="HI35" s="871"/>
      <c r="HJ35" s="871"/>
      <c r="HK35" s="871"/>
      <c r="HL35" s="871"/>
      <c r="HM35" s="871"/>
      <c r="HN35" s="871"/>
      <c r="HO35" s="871"/>
      <c r="HP35" s="871"/>
      <c r="HQ35" s="871"/>
      <c r="HR35" s="871"/>
      <c r="HS35" s="871"/>
      <c r="HT35" s="871"/>
      <c r="HU35" s="871"/>
      <c r="HV35" s="871"/>
      <c r="HW35" s="871"/>
      <c r="HX35" s="871"/>
      <c r="HY35" s="871"/>
      <c r="HZ35" s="871"/>
      <c r="IA35" s="871"/>
      <c r="IB35" s="871"/>
      <c r="IC35" s="871"/>
      <c r="ID35" s="871"/>
      <c r="IE35" s="871"/>
      <c r="IF35" s="871"/>
      <c r="IG35" s="871"/>
      <c r="IH35" s="871"/>
      <c r="II35" s="871"/>
      <c r="IJ35" s="871"/>
      <c r="IK35" s="871"/>
      <c r="IL35" s="871"/>
      <c r="IM35" s="871"/>
      <c r="IN35" s="871"/>
      <c r="IO35" s="871"/>
      <c r="IP35" s="871"/>
      <c r="IQ35" s="871"/>
      <c r="IR35" s="871"/>
      <c r="IS35" s="871"/>
      <c r="IT35" s="871"/>
      <c r="IU35" s="871"/>
      <c r="IV35" s="871"/>
    </row>
    <row r="36" spans="1:10" s="1231" customFormat="1" ht="24.75" customHeight="1" thickBot="1" thickTop="1">
      <c r="A36" s="1463"/>
      <c r="B36" s="1505"/>
      <c r="C36" s="1506"/>
      <c r="D36" s="1507"/>
      <c r="E36" s="1508"/>
      <c r="F36" s="1508"/>
      <c r="G36" s="1508"/>
      <c r="H36" s="1508"/>
      <c r="I36" s="1508"/>
      <c r="J36" s="1509"/>
    </row>
    <row r="37" spans="1:256" ht="24.75" thickTop="1">
      <c r="A37" s="1444"/>
      <c r="B37" s="1225"/>
      <c r="C37" s="1225"/>
      <c r="D37" s="1226"/>
      <c r="E37" s="1225"/>
      <c r="F37" s="1225"/>
      <c r="G37" s="1225"/>
      <c r="H37" s="1225"/>
      <c r="I37" s="1225"/>
      <c r="J37" s="1445"/>
      <c r="IV37" s="1223"/>
    </row>
    <row r="38" spans="1:256" ht="31.5">
      <c r="A38" s="1436"/>
      <c r="B38" s="1464" t="s">
        <v>1617</v>
      </c>
      <c r="C38" s="1438"/>
      <c r="D38" s="1439"/>
      <c r="E38" s="1438"/>
      <c r="F38" s="1438"/>
      <c r="G38" s="1438"/>
      <c r="H38" s="1438"/>
      <c r="I38" s="1438"/>
      <c r="J38" s="1441"/>
      <c r="IV38" s="1223"/>
    </row>
    <row r="39" spans="1:256" ht="24">
      <c r="A39" s="1436"/>
      <c r="B39" s="1455" t="s">
        <v>1623</v>
      </c>
      <c r="C39" s="1438"/>
      <c r="D39" s="1439"/>
      <c r="E39" s="1438"/>
      <c r="F39" s="1438"/>
      <c r="G39" s="1438"/>
      <c r="H39" s="1438"/>
      <c r="I39" s="1438"/>
      <c r="J39" s="1441"/>
      <c r="IV39" s="1223"/>
    </row>
    <row r="40" spans="1:256" ht="24">
      <c r="A40" s="1436"/>
      <c r="B40" s="1438"/>
      <c r="C40" s="1465"/>
      <c r="D40" s="1439"/>
      <c r="E40" s="1438"/>
      <c r="F40" s="1438"/>
      <c r="G40" s="1438"/>
      <c r="H40" s="1438"/>
      <c r="I40" s="1438"/>
      <c r="J40" s="1441"/>
      <c r="IV40" s="1223"/>
    </row>
    <row r="41" spans="1:256" ht="24.75" thickBot="1">
      <c r="A41" s="1473"/>
      <c r="B41" s="1474" t="s">
        <v>1023</v>
      </c>
      <c r="C41" s="1474"/>
      <c r="D41" s="1475"/>
      <c r="E41" s="1471"/>
      <c r="F41" s="1471"/>
      <c r="G41" s="1438"/>
      <c r="H41" s="1438"/>
      <c r="I41" s="1438"/>
      <c r="J41" s="1441"/>
      <c r="IV41" s="1223"/>
    </row>
    <row r="42" spans="1:256" ht="45" customHeight="1" thickTop="1">
      <c r="A42" s="1473"/>
      <c r="B42" s="1475" t="s">
        <v>126</v>
      </c>
      <c r="C42" s="1475" t="s">
        <v>902</v>
      </c>
      <c r="D42" s="1475"/>
      <c r="E42" s="1471" t="s">
        <v>1001</v>
      </c>
      <c r="F42" s="1471"/>
      <c r="G42" s="1438"/>
      <c r="H42" s="1438"/>
      <c r="I42" s="1438"/>
      <c r="J42" s="1441"/>
      <c r="IV42" s="1223"/>
    </row>
    <row r="43" spans="1:256" ht="31.5" customHeight="1">
      <c r="A43" s="1473"/>
      <c r="B43" s="1475" t="s">
        <v>1002</v>
      </c>
      <c r="C43" s="1476">
        <f aca="true" t="shared" si="0" ref="C43:C48">+C27</f>
        <v>0</v>
      </c>
      <c r="D43" s="1477" t="s">
        <v>1003</v>
      </c>
      <c r="E43" s="1478">
        <f>ROUND(+C43*0.75,2)</f>
        <v>0</v>
      </c>
      <c r="F43" s="1471"/>
      <c r="G43" s="1438"/>
      <c r="H43" s="1438"/>
      <c r="I43" s="1438"/>
      <c r="J43" s="1441"/>
      <c r="IV43" s="1223"/>
    </row>
    <row r="44" spans="1:256" ht="30.75" customHeight="1">
      <c r="A44" s="1473"/>
      <c r="B44" s="1475" t="s">
        <v>1004</v>
      </c>
      <c r="C44" s="1476">
        <f t="shared" si="0"/>
        <v>0</v>
      </c>
      <c r="D44" s="1477" t="s">
        <v>1005</v>
      </c>
      <c r="E44" s="1479">
        <f>C44*1</f>
        <v>0</v>
      </c>
      <c r="F44" s="1471"/>
      <c r="G44" s="1438"/>
      <c r="H44" s="1438"/>
      <c r="I44" s="1440"/>
      <c r="J44" s="1466"/>
      <c r="IV44" s="1223"/>
    </row>
    <row r="45" spans="1:256" ht="30.75" customHeight="1">
      <c r="A45" s="1473"/>
      <c r="B45" s="1475" t="s">
        <v>1006</v>
      </c>
      <c r="C45" s="1476">
        <f t="shared" si="0"/>
        <v>0</v>
      </c>
      <c r="D45" s="1477" t="s">
        <v>1007</v>
      </c>
      <c r="E45" s="1479">
        <f>C45*2</f>
        <v>0</v>
      </c>
      <c r="F45" s="1471"/>
      <c r="G45" s="1438"/>
      <c r="H45" s="1438"/>
      <c r="I45" s="1440"/>
      <c r="J45" s="1466"/>
      <c r="IV45" s="1223"/>
    </row>
    <row r="46" spans="1:256" ht="30.75" customHeight="1">
      <c r="A46" s="1473"/>
      <c r="B46" s="1475" t="s">
        <v>1008</v>
      </c>
      <c r="C46" s="1476">
        <f t="shared" si="0"/>
        <v>0</v>
      </c>
      <c r="D46" s="1477" t="s">
        <v>1009</v>
      </c>
      <c r="E46" s="1479">
        <f>C46*3</f>
        <v>0</v>
      </c>
      <c r="F46" s="1471"/>
      <c r="G46" s="1438"/>
      <c r="H46" s="1438"/>
      <c r="I46" s="1440"/>
      <c r="J46" s="1466"/>
      <c r="IV46" s="1223"/>
    </row>
    <row r="47" spans="1:256" ht="30.75" customHeight="1">
      <c r="A47" s="1473"/>
      <c r="B47" s="1475" t="s">
        <v>1010</v>
      </c>
      <c r="C47" s="1476">
        <f t="shared" si="0"/>
        <v>0</v>
      </c>
      <c r="D47" s="1477" t="s">
        <v>1011</v>
      </c>
      <c r="E47" s="1479">
        <f>C47*4</f>
        <v>0</v>
      </c>
      <c r="F47" s="1471"/>
      <c r="G47" s="1438"/>
      <c r="H47" s="1438"/>
      <c r="I47" s="1440"/>
      <c r="J47" s="1466"/>
      <c r="IV47" s="1223"/>
    </row>
    <row r="48" spans="1:256" ht="30.75" customHeight="1">
      <c r="A48" s="1473"/>
      <c r="B48" s="1475" t="s">
        <v>1012</v>
      </c>
      <c r="C48" s="1476">
        <f t="shared" si="0"/>
        <v>0</v>
      </c>
      <c r="D48" s="1477" t="s">
        <v>1013</v>
      </c>
      <c r="E48" s="1479">
        <f>C48*5</f>
        <v>0</v>
      </c>
      <c r="F48" s="1471"/>
      <c r="G48" s="1438"/>
      <c r="H48" s="1438"/>
      <c r="I48" s="1438"/>
      <c r="J48" s="1441"/>
      <c r="IV48" s="1223"/>
    </row>
    <row r="49" spans="1:256" ht="24.75" thickBot="1">
      <c r="A49" s="1473"/>
      <c r="B49" s="1480"/>
      <c r="C49" s="1480"/>
      <c r="D49" s="1481"/>
      <c r="E49" s="1482"/>
      <c r="F49" s="1471"/>
      <c r="G49" s="1438"/>
      <c r="H49" s="1438"/>
      <c r="I49" s="1438"/>
      <c r="J49" s="1441"/>
      <c r="IV49" s="1223"/>
    </row>
    <row r="50" spans="1:256" ht="30.75" customHeight="1" thickBot="1" thickTop="1">
      <c r="A50" s="1473"/>
      <c r="B50" s="1471" t="s">
        <v>1024</v>
      </c>
      <c r="C50" s="1471"/>
      <c r="D50" s="1475"/>
      <c r="E50" s="1483">
        <f>SUM(E43:E48)</f>
        <v>0</v>
      </c>
      <c r="F50" s="1471"/>
      <c r="G50" s="1472" t="s">
        <v>1424</v>
      </c>
      <c r="H50" s="1604">
        <f>'FORM-10 (A-F)'!J215</f>
        <v>0</v>
      </c>
      <c r="I50" s="1604"/>
      <c r="J50" s="1605"/>
      <c r="IV50" s="1223"/>
    </row>
    <row r="51" spans="1:256" ht="24.75" thickTop="1">
      <c r="A51" s="1473"/>
      <c r="B51" s="1471"/>
      <c r="C51" s="1471"/>
      <c r="D51" s="1475"/>
      <c r="E51" s="1471"/>
      <c r="F51" s="1471"/>
      <c r="G51" s="1438"/>
      <c r="H51" s="1438"/>
      <c r="I51" s="1438"/>
      <c r="J51" s="1441"/>
      <c r="IV51" s="1223"/>
    </row>
    <row r="52" spans="1:10" ht="30.75" customHeight="1" thickBot="1">
      <c r="A52" s="1484"/>
      <c r="B52" s="1471" t="s">
        <v>1025</v>
      </c>
      <c r="C52" s="1471"/>
      <c r="D52" s="1475" t="s">
        <v>985</v>
      </c>
      <c r="E52" s="1485" t="s">
        <v>1026</v>
      </c>
      <c r="F52" s="1486"/>
      <c r="G52" s="1438"/>
      <c r="H52" s="1438"/>
      <c r="I52" s="1440"/>
      <c r="J52" s="1466"/>
    </row>
    <row r="53" spans="1:10" ht="30.75" customHeight="1" thickTop="1">
      <c r="A53" s="1484"/>
      <c r="B53" s="1471" t="s">
        <v>1027</v>
      </c>
      <c r="C53" s="1471"/>
      <c r="D53" s="1475"/>
      <c r="E53" s="1471" t="s">
        <v>1028</v>
      </c>
      <c r="F53" s="1471"/>
      <c r="G53" s="1438"/>
      <c r="H53" s="1438"/>
      <c r="I53" s="1440"/>
      <c r="J53" s="1466"/>
    </row>
    <row r="54" spans="1:10" ht="24">
      <c r="A54" s="1436"/>
      <c r="B54" s="1438"/>
      <c r="C54" s="1438"/>
      <c r="D54" s="1439"/>
      <c r="E54" s="1438"/>
      <c r="F54" s="1438"/>
      <c r="G54" s="1438"/>
      <c r="H54" s="1438"/>
      <c r="I54" s="1440"/>
      <c r="J54" s="1441"/>
    </row>
    <row r="55" spans="1:10" ht="25.5" thickBot="1">
      <c r="A55" s="1462"/>
      <c r="B55" s="1438"/>
      <c r="C55" s="1438" t="s">
        <v>1423</v>
      </c>
      <c r="D55" s="1439" t="s">
        <v>985</v>
      </c>
      <c r="E55" s="873">
        <f>IF(OR(E50=0,E50=""),0,H50/E50)</f>
        <v>0</v>
      </c>
      <c r="F55" s="1438"/>
      <c r="G55" s="1438"/>
      <c r="H55" s="1438"/>
      <c r="I55" s="1440"/>
      <c r="J55" s="1466"/>
    </row>
    <row r="56" spans="1:10" ht="26.25" thickBot="1" thickTop="1">
      <c r="A56" s="1467"/>
      <c r="B56" s="1468"/>
      <c r="C56" s="1468"/>
      <c r="D56" s="1469"/>
      <c r="E56" s="1468"/>
      <c r="F56" s="1468"/>
      <c r="G56" s="1468"/>
      <c r="H56" s="1468"/>
      <c r="I56" s="1468"/>
      <c r="J56" s="1470"/>
    </row>
    <row r="88" ht="24.75">
      <c r="B88" s="1233"/>
    </row>
  </sheetData>
  <sheetProtection/>
  <mergeCells count="7">
    <mergeCell ref="H33:J33"/>
    <mergeCell ref="H50:J50"/>
    <mergeCell ref="C4:E4"/>
    <mergeCell ref="B18:I18"/>
    <mergeCell ref="B17:I17"/>
    <mergeCell ref="H27:J27"/>
    <mergeCell ref="H30:J30"/>
  </mergeCells>
  <printOptions horizontalCentered="1" verticalCentered="1"/>
  <pageMargins left="0.25" right="0.25" top="0.75" bottom="0.75" header="0.3" footer="0.3"/>
  <pageSetup horizontalDpi="600" verticalDpi="600" orientation="portrait" scale="42" r:id="rId1"/>
  <headerFooter alignWithMargins="0">
    <oddHeader>&amp;L&amp;YUnified Application for Housing Production Programs&amp;R&amp;Yrevised - &amp;D</oddHeader>
  </headerFooter>
</worksheet>
</file>

<file path=xl/worksheets/sheet15.xml><?xml version="1.0" encoding="utf-8"?>
<worksheet xmlns="http://schemas.openxmlformats.org/spreadsheetml/2006/main" xmlns:r="http://schemas.openxmlformats.org/officeDocument/2006/relationships">
  <sheetPr codeName="Sheet10"/>
  <dimension ref="A1:IT75"/>
  <sheetViews>
    <sheetView showGridLines="0" showZeros="0" view="pageBreakPreview" zoomScale="50" zoomScaleNormal="50" zoomScaleSheetLayoutView="50" zoomScalePageLayoutView="0" workbookViewId="0" topLeftCell="A1">
      <selection activeCell="F37" sqref="F37"/>
    </sheetView>
  </sheetViews>
  <sheetFormatPr defaultColWidth="9.77734375" defaultRowHeight="15"/>
  <cols>
    <col min="1" max="1" width="19.77734375" style="1336" customWidth="1"/>
    <col min="2" max="2" width="3.3359375" style="1338" customWidth="1"/>
    <col min="3" max="3" width="25.77734375" style="1337" customWidth="1"/>
    <col min="4" max="4" width="6.6640625" style="1337" hidden="1" customWidth="1"/>
    <col min="5" max="5" width="10.6640625" style="1338" customWidth="1"/>
    <col min="6" max="6" width="34.4453125" style="1338" customWidth="1"/>
    <col min="7" max="7" width="23.10546875" style="1337" customWidth="1"/>
    <col min="8" max="9" width="3.21484375" style="1237" customWidth="1"/>
    <col min="10" max="10" width="40.21484375" style="1237" customWidth="1"/>
    <col min="11" max="11" width="3.21484375" style="1237" customWidth="1"/>
    <col min="12" max="12" width="37.77734375" style="1237" customWidth="1"/>
    <col min="13" max="13" width="4.21484375" style="1237" customWidth="1"/>
    <col min="14" max="14" width="1.88671875" style="1237" customWidth="1"/>
    <col min="15" max="16384" width="9.77734375" style="1237" customWidth="1"/>
  </cols>
  <sheetData>
    <row r="1" spans="1:13" ht="54" customHeight="1">
      <c r="A1" s="1234" t="s">
        <v>1605</v>
      </c>
      <c r="B1" s="1235"/>
      <c r="C1" s="1235"/>
      <c r="D1" s="1235"/>
      <c r="E1" s="1235"/>
      <c r="F1" s="1235"/>
      <c r="G1" s="1236"/>
      <c r="H1" s="820"/>
      <c r="I1" s="820"/>
      <c r="J1" s="820"/>
      <c r="K1" s="820"/>
      <c r="L1" s="820"/>
      <c r="M1" s="820"/>
    </row>
    <row r="2" spans="1:13" ht="21">
      <c r="A2" s="838"/>
      <c r="B2" s="1235"/>
      <c r="C2" s="1235"/>
      <c r="D2" s="1235"/>
      <c r="E2" s="1235"/>
      <c r="F2" s="1235"/>
      <c r="G2" s="1235"/>
      <c r="H2" s="820"/>
      <c r="I2" s="820"/>
      <c r="J2" s="820"/>
      <c r="K2" s="820"/>
      <c r="L2" s="820"/>
      <c r="M2" s="820"/>
    </row>
    <row r="3" spans="1:253" ht="21">
      <c r="A3" s="1238"/>
      <c r="B3" s="1235"/>
      <c r="C3" s="1235"/>
      <c r="D3" s="1235"/>
      <c r="E3" s="1235"/>
      <c r="F3" s="1239"/>
      <c r="G3" s="1239"/>
      <c r="H3" s="1239"/>
      <c r="I3" s="1239"/>
      <c r="J3" s="1239"/>
      <c r="K3" s="1239"/>
      <c r="L3" s="1239"/>
      <c r="M3" s="1239"/>
      <c r="N3" s="1240"/>
      <c r="O3" s="1240"/>
      <c r="P3" s="1240"/>
      <c r="Q3" s="1240"/>
      <c r="R3" s="1240"/>
      <c r="S3" s="1240"/>
      <c r="T3" s="1240"/>
      <c r="Y3" s="1240"/>
      <c r="Z3" s="1240"/>
      <c r="AA3" s="1240"/>
      <c r="AB3" s="1240"/>
      <c r="AC3" s="1240"/>
      <c r="AD3" s="1240"/>
      <c r="AE3" s="1240"/>
      <c r="AF3" s="1240"/>
      <c r="AG3" s="1240"/>
      <c r="AH3" s="1240"/>
      <c r="AI3" s="1240"/>
      <c r="AJ3" s="1240"/>
      <c r="AK3" s="1240"/>
      <c r="AL3" s="1240"/>
      <c r="AM3" s="1240"/>
      <c r="AN3" s="1240"/>
      <c r="AO3" s="1240"/>
      <c r="AP3" s="1240"/>
      <c r="AQ3" s="1240"/>
      <c r="AR3" s="1240"/>
      <c r="AS3" s="1240"/>
      <c r="AT3" s="1240"/>
      <c r="AU3" s="1240"/>
      <c r="AV3" s="1240"/>
      <c r="AW3" s="1240"/>
      <c r="AX3" s="1240"/>
      <c r="AY3" s="1240"/>
      <c r="AZ3" s="1240"/>
      <c r="BA3" s="1240"/>
      <c r="BB3" s="1240"/>
      <c r="BC3" s="1240"/>
      <c r="BD3" s="1240"/>
      <c r="BE3" s="1240"/>
      <c r="BF3" s="1240"/>
      <c r="BG3" s="1240"/>
      <c r="BH3" s="1240"/>
      <c r="BI3" s="1240"/>
      <c r="BJ3" s="1240"/>
      <c r="BK3" s="1240"/>
      <c r="BL3" s="1240"/>
      <c r="BM3" s="1240"/>
      <c r="BN3" s="1240"/>
      <c r="BO3" s="1240"/>
      <c r="BP3" s="1240"/>
      <c r="BQ3" s="1240"/>
      <c r="BR3" s="1240"/>
      <c r="BS3" s="1240"/>
      <c r="BT3" s="1240"/>
      <c r="BU3" s="1240"/>
      <c r="BV3" s="1240"/>
      <c r="BW3" s="1240"/>
      <c r="BX3" s="1240"/>
      <c r="BY3" s="1240"/>
      <c r="BZ3" s="1240"/>
      <c r="CA3" s="1240"/>
      <c r="CB3" s="1240"/>
      <c r="CC3" s="1240"/>
      <c r="CD3" s="1240"/>
      <c r="CE3" s="1240"/>
      <c r="CF3" s="1240"/>
      <c r="CG3" s="1240"/>
      <c r="CH3" s="1240"/>
      <c r="CI3" s="1240"/>
      <c r="CJ3" s="1240"/>
      <c r="CK3" s="1240"/>
      <c r="CL3" s="1240"/>
      <c r="CM3" s="1240"/>
      <c r="CN3" s="1240"/>
      <c r="CO3" s="1240"/>
      <c r="CP3" s="1240"/>
      <c r="CQ3" s="1240"/>
      <c r="CR3" s="1240"/>
      <c r="CS3" s="1240"/>
      <c r="CT3" s="1240"/>
      <c r="CU3" s="1240"/>
      <c r="CV3" s="1240"/>
      <c r="CW3" s="1240"/>
      <c r="CX3" s="1240"/>
      <c r="CY3" s="1240"/>
      <c r="CZ3" s="1240"/>
      <c r="DA3" s="1240"/>
      <c r="DB3" s="1240"/>
      <c r="DC3" s="1240"/>
      <c r="DD3" s="1240"/>
      <c r="DE3" s="1240"/>
      <c r="DF3" s="1240"/>
      <c r="DG3" s="1240"/>
      <c r="DH3" s="1240"/>
      <c r="DI3" s="1240"/>
      <c r="DJ3" s="1240"/>
      <c r="DK3" s="1240"/>
      <c r="DL3" s="1240"/>
      <c r="DM3" s="1240"/>
      <c r="DN3" s="1240"/>
      <c r="DO3" s="1240"/>
      <c r="DP3" s="1240"/>
      <c r="DQ3" s="1240"/>
      <c r="DR3" s="1240"/>
      <c r="DS3" s="1240"/>
      <c r="DT3" s="1240"/>
      <c r="DU3" s="1240"/>
      <c r="DV3" s="1240"/>
      <c r="DW3" s="1240"/>
      <c r="DX3" s="1240"/>
      <c r="DY3" s="1240"/>
      <c r="DZ3" s="1240"/>
      <c r="EA3" s="1240"/>
      <c r="EB3" s="1240"/>
      <c r="EC3" s="1240"/>
      <c r="ED3" s="1240"/>
      <c r="EE3" s="1240"/>
      <c r="EF3" s="1240"/>
      <c r="EG3" s="1240"/>
      <c r="EH3" s="1240"/>
      <c r="EI3" s="1240"/>
      <c r="EJ3" s="1240"/>
      <c r="EK3" s="1240"/>
      <c r="EL3" s="1240"/>
      <c r="EM3" s="1240"/>
      <c r="EN3" s="1240"/>
      <c r="EO3" s="1240"/>
      <c r="EP3" s="1240"/>
      <c r="EQ3" s="1240"/>
      <c r="ER3" s="1240"/>
      <c r="ES3" s="1240"/>
      <c r="ET3" s="1240"/>
      <c r="EU3" s="1240"/>
      <c r="EV3" s="1240"/>
      <c r="EW3" s="1240"/>
      <c r="EX3" s="1240"/>
      <c r="EY3" s="1240"/>
      <c r="EZ3" s="1240"/>
      <c r="FA3" s="1240"/>
      <c r="FB3" s="1240"/>
      <c r="FC3" s="1240"/>
      <c r="FD3" s="1240"/>
      <c r="FE3" s="1240"/>
      <c r="FF3" s="1240"/>
      <c r="FG3" s="1240"/>
      <c r="FH3" s="1240"/>
      <c r="FI3" s="1240"/>
      <c r="FJ3" s="1240"/>
      <c r="FK3" s="1240"/>
      <c r="FL3" s="1240"/>
      <c r="FM3" s="1240"/>
      <c r="FN3" s="1240"/>
      <c r="FO3" s="1240"/>
      <c r="FP3" s="1240"/>
      <c r="FQ3" s="1240"/>
      <c r="FR3" s="1240"/>
      <c r="FS3" s="1240"/>
      <c r="FT3" s="1240"/>
      <c r="FU3" s="1240"/>
      <c r="FV3" s="1240"/>
      <c r="FW3" s="1240"/>
      <c r="FX3" s="1240"/>
      <c r="FY3" s="1240"/>
      <c r="FZ3" s="1240"/>
      <c r="GA3" s="1240"/>
      <c r="GB3" s="1240"/>
      <c r="GC3" s="1240"/>
      <c r="GD3" s="1240"/>
      <c r="GE3" s="1240"/>
      <c r="GF3" s="1240"/>
      <c r="GG3" s="1240"/>
      <c r="GH3" s="1240"/>
      <c r="GI3" s="1240"/>
      <c r="GJ3" s="1240"/>
      <c r="GK3" s="1240"/>
      <c r="GL3" s="1240"/>
      <c r="GM3" s="1240"/>
      <c r="GN3" s="1240"/>
      <c r="GO3" s="1240"/>
      <c r="GP3" s="1240"/>
      <c r="GQ3" s="1240"/>
      <c r="GR3" s="1240"/>
      <c r="GS3" s="1240"/>
      <c r="GT3" s="1240"/>
      <c r="GU3" s="1240"/>
      <c r="GV3" s="1240"/>
      <c r="GW3" s="1240"/>
      <c r="GX3" s="1240"/>
      <c r="GY3" s="1240"/>
      <c r="GZ3" s="1240"/>
      <c r="HA3" s="1240"/>
      <c r="HB3" s="1240"/>
      <c r="HC3" s="1240"/>
      <c r="HD3" s="1240"/>
      <c r="HE3" s="1240"/>
      <c r="HF3" s="1240"/>
      <c r="HG3" s="1240"/>
      <c r="HH3" s="1240"/>
      <c r="HI3" s="1240"/>
      <c r="HJ3" s="1240"/>
      <c r="HK3" s="1240"/>
      <c r="HL3" s="1240"/>
      <c r="HM3" s="1240"/>
      <c r="HN3" s="1240"/>
      <c r="HO3" s="1240"/>
      <c r="HP3" s="1240"/>
      <c r="HQ3" s="1240"/>
      <c r="HR3" s="1240"/>
      <c r="HS3" s="1240"/>
      <c r="HT3" s="1240"/>
      <c r="HU3" s="1240"/>
      <c r="HV3" s="1240"/>
      <c r="HW3" s="1240"/>
      <c r="HX3" s="1240"/>
      <c r="HY3" s="1240"/>
      <c r="HZ3" s="1240"/>
      <c r="IA3" s="1240"/>
      <c r="IB3" s="1240"/>
      <c r="IC3" s="1240"/>
      <c r="ID3" s="1240"/>
      <c r="IE3" s="1240"/>
      <c r="IF3" s="1240"/>
      <c r="IG3" s="1240"/>
      <c r="IH3" s="1240"/>
      <c r="II3" s="1240"/>
      <c r="IJ3" s="1240"/>
      <c r="IK3" s="1240"/>
      <c r="IL3" s="1240"/>
      <c r="IM3" s="1240"/>
      <c r="IN3" s="1240"/>
      <c r="IO3" s="1240"/>
      <c r="IP3" s="1240"/>
      <c r="IQ3" s="1240"/>
      <c r="IR3" s="1240"/>
      <c r="IS3" s="1240"/>
    </row>
    <row r="4" spans="1:253" ht="21" thickBot="1">
      <c r="A4" s="1238" t="s">
        <v>918</v>
      </c>
      <c r="B4" s="1239"/>
      <c r="C4" s="1241">
        <f>Breakdown!C5</f>
        <v>0</v>
      </c>
      <c r="D4" s="1242"/>
      <c r="E4" s="1235"/>
      <c r="F4" s="1239"/>
      <c r="G4" s="1239"/>
      <c r="H4" s="1239"/>
      <c r="I4" s="1239"/>
      <c r="J4" s="1239"/>
      <c r="K4" s="1239"/>
      <c r="L4" s="1239"/>
      <c r="M4" s="1239"/>
      <c r="N4" s="1240"/>
      <c r="O4" s="1240"/>
      <c r="P4" s="1240"/>
      <c r="Q4" s="1240"/>
      <c r="R4" s="1240"/>
      <c r="S4" s="1240"/>
      <c r="T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1240"/>
      <c r="DG4" s="1240"/>
      <c r="DH4" s="1240"/>
      <c r="DI4" s="1240"/>
      <c r="DJ4" s="1240"/>
      <c r="DK4" s="1240"/>
      <c r="DL4" s="1240"/>
      <c r="DM4" s="1240"/>
      <c r="DN4" s="1240"/>
      <c r="DO4" s="1240"/>
      <c r="DP4" s="1240"/>
      <c r="DQ4" s="1240"/>
      <c r="DR4" s="1240"/>
      <c r="DS4" s="1240"/>
      <c r="DT4" s="1240"/>
      <c r="DU4" s="1240"/>
      <c r="DV4" s="1240"/>
      <c r="DW4" s="1240"/>
      <c r="DX4" s="1240"/>
      <c r="DY4" s="1240"/>
      <c r="DZ4" s="1240"/>
      <c r="EA4" s="1240"/>
      <c r="EB4" s="1240"/>
      <c r="EC4" s="1240"/>
      <c r="ED4" s="1240"/>
      <c r="EE4" s="1240"/>
      <c r="EF4" s="1240"/>
      <c r="EG4" s="1240"/>
      <c r="EH4" s="1240"/>
      <c r="EI4" s="1240"/>
      <c r="EJ4" s="1240"/>
      <c r="EK4" s="1240"/>
      <c r="EL4" s="1240"/>
      <c r="EM4" s="1240"/>
      <c r="EN4" s="1240"/>
      <c r="EO4" s="1240"/>
      <c r="EP4" s="1240"/>
      <c r="EQ4" s="1240"/>
      <c r="ER4" s="1240"/>
      <c r="ES4" s="1240"/>
      <c r="ET4" s="1240"/>
      <c r="EU4" s="1240"/>
      <c r="EV4" s="1240"/>
      <c r="EW4" s="1240"/>
      <c r="EX4" s="1240"/>
      <c r="EY4" s="1240"/>
      <c r="EZ4" s="1240"/>
      <c r="FA4" s="1240"/>
      <c r="FB4" s="1240"/>
      <c r="FC4" s="1240"/>
      <c r="FD4" s="1240"/>
      <c r="FE4" s="1240"/>
      <c r="FF4" s="1240"/>
      <c r="FG4" s="1240"/>
      <c r="FH4" s="1240"/>
      <c r="FI4" s="1240"/>
      <c r="FJ4" s="1240"/>
      <c r="FK4" s="1240"/>
      <c r="FL4" s="1240"/>
      <c r="FM4" s="1240"/>
      <c r="FN4" s="1240"/>
      <c r="FO4" s="1240"/>
      <c r="FP4" s="1240"/>
      <c r="FQ4" s="1240"/>
      <c r="FR4" s="1240"/>
      <c r="FS4" s="1240"/>
      <c r="FT4" s="1240"/>
      <c r="FU4" s="1240"/>
      <c r="FV4" s="1240"/>
      <c r="FW4" s="1240"/>
      <c r="FX4" s="1240"/>
      <c r="FY4" s="1240"/>
      <c r="FZ4" s="1240"/>
      <c r="GA4" s="1240"/>
      <c r="GB4" s="1240"/>
      <c r="GC4" s="1240"/>
      <c r="GD4" s="1240"/>
      <c r="GE4" s="1240"/>
      <c r="GF4" s="1240"/>
      <c r="GG4" s="1240"/>
      <c r="GH4" s="1240"/>
      <c r="GI4" s="1240"/>
      <c r="GJ4" s="1240"/>
      <c r="GK4" s="1240"/>
      <c r="GL4" s="1240"/>
      <c r="GM4" s="1240"/>
      <c r="GN4" s="1240"/>
      <c r="GO4" s="1240"/>
      <c r="GP4" s="1240"/>
      <c r="GQ4" s="1240"/>
      <c r="GR4" s="1240"/>
      <c r="GS4" s="1240"/>
      <c r="GT4" s="1240"/>
      <c r="GU4" s="1240"/>
      <c r="GV4" s="1240"/>
      <c r="GW4" s="1240"/>
      <c r="GX4" s="1240"/>
      <c r="GY4" s="1240"/>
      <c r="GZ4" s="1240"/>
      <c r="HA4" s="1240"/>
      <c r="HB4" s="1240"/>
      <c r="HC4" s="1240"/>
      <c r="HD4" s="1240"/>
      <c r="HE4" s="1240"/>
      <c r="HF4" s="1240"/>
      <c r="HG4" s="1240"/>
      <c r="HH4" s="1240"/>
      <c r="HI4" s="1240"/>
      <c r="HJ4" s="1240"/>
      <c r="HK4" s="1240"/>
      <c r="HL4" s="1240"/>
      <c r="HM4" s="1240"/>
      <c r="HN4" s="1240"/>
      <c r="HO4" s="1240"/>
      <c r="HP4" s="1240"/>
      <c r="HQ4" s="1240"/>
      <c r="HR4" s="1240"/>
      <c r="HS4" s="1240"/>
      <c r="HT4" s="1240"/>
      <c r="HU4" s="1240"/>
      <c r="HV4" s="1240"/>
      <c r="HW4" s="1240"/>
      <c r="HX4" s="1240"/>
      <c r="HY4" s="1240"/>
      <c r="HZ4" s="1240"/>
      <c r="IA4" s="1240"/>
      <c r="IB4" s="1240"/>
      <c r="IC4" s="1240"/>
      <c r="ID4" s="1240"/>
      <c r="IE4" s="1240"/>
      <c r="IF4" s="1240"/>
      <c r="IG4" s="1240"/>
      <c r="IH4" s="1240"/>
      <c r="II4" s="1240"/>
      <c r="IJ4" s="1240"/>
      <c r="IK4" s="1240"/>
      <c r="IL4" s="1240"/>
      <c r="IM4" s="1240"/>
      <c r="IN4" s="1240"/>
      <c r="IO4" s="1240"/>
      <c r="IP4" s="1240"/>
      <c r="IQ4" s="1240"/>
      <c r="IR4" s="1240"/>
      <c r="IS4" s="1240"/>
    </row>
    <row r="5" spans="1:13" ht="21" thickTop="1">
      <c r="A5" s="838"/>
      <c r="B5" s="1235"/>
      <c r="C5" s="1235"/>
      <c r="D5" s="1235"/>
      <c r="E5" s="1235"/>
      <c r="F5" s="1235"/>
      <c r="G5" s="1235"/>
      <c r="H5" s="820"/>
      <c r="I5" s="820"/>
      <c r="J5" s="820"/>
      <c r="K5" s="820"/>
      <c r="L5" s="820"/>
      <c r="M5" s="820"/>
    </row>
    <row r="6" spans="1:13" ht="21">
      <c r="A6" s="838"/>
      <c r="B6" s="1235"/>
      <c r="C6" s="1235"/>
      <c r="D6" s="1235"/>
      <c r="E6" s="1235"/>
      <c r="F6" s="1235"/>
      <c r="G6" s="1235"/>
      <c r="H6" s="820"/>
      <c r="I6" s="820"/>
      <c r="J6" s="820"/>
      <c r="K6" s="820"/>
      <c r="L6" s="820"/>
      <c r="M6" s="820"/>
    </row>
    <row r="7" spans="1:13" ht="24">
      <c r="A7" s="1243" t="s">
        <v>1029</v>
      </c>
      <c r="B7" s="1235"/>
      <c r="C7" s="1235"/>
      <c r="D7" s="1235"/>
      <c r="E7" s="1235"/>
      <c r="F7" s="1235"/>
      <c r="G7" s="1236"/>
      <c r="H7" s="820"/>
      <c r="I7" s="820"/>
      <c r="J7" s="820"/>
      <c r="K7" s="820"/>
      <c r="L7" s="820"/>
      <c r="M7" s="820"/>
    </row>
    <row r="8" spans="1:13" ht="21" thickBot="1">
      <c r="A8" s="1244"/>
      <c r="B8" s="1235"/>
      <c r="C8" s="1235"/>
      <c r="D8" s="1235"/>
      <c r="E8" s="1235"/>
      <c r="F8" s="1235"/>
      <c r="G8" s="1245"/>
      <c r="H8" s="820"/>
      <c r="I8" s="820"/>
      <c r="J8" s="820"/>
      <c r="K8" s="820"/>
      <c r="L8" s="820"/>
      <c r="M8" s="820"/>
    </row>
    <row r="9" spans="1:13" ht="27.75" customHeight="1" thickTop="1">
      <c r="A9" s="1246" t="s">
        <v>1030</v>
      </c>
      <c r="B9" s="1247"/>
      <c r="C9" s="1248"/>
      <c r="D9" s="1247"/>
      <c r="E9" s="1249" t="s">
        <v>1031</v>
      </c>
      <c r="F9" s="1250"/>
      <c r="G9" s="1251" t="s">
        <v>1032</v>
      </c>
      <c r="H9" s="820"/>
      <c r="I9" s="820"/>
      <c r="J9" s="1252" t="s">
        <v>1033</v>
      </c>
      <c r="K9" s="1253"/>
      <c r="L9" s="1253"/>
      <c r="M9" s="1254"/>
    </row>
    <row r="10" spans="1:13" ht="27.75" customHeight="1">
      <c r="A10" s="1255" t="s">
        <v>1034</v>
      </c>
      <c r="B10" s="1256"/>
      <c r="C10" s="1257" t="s">
        <v>1035</v>
      </c>
      <c r="D10" s="1256"/>
      <c r="E10" s="1258"/>
      <c r="F10" s="1259"/>
      <c r="G10" s="1260" t="s">
        <v>1036</v>
      </c>
      <c r="H10" s="820"/>
      <c r="I10" s="820"/>
      <c r="J10" s="1261"/>
      <c r="K10" s="1245"/>
      <c r="L10" s="1235"/>
      <c r="M10" s="1262"/>
    </row>
    <row r="11" spans="1:13" ht="27.75" customHeight="1">
      <c r="A11" s="1255">
        <v>1</v>
      </c>
      <c r="B11" s="1256" t="s">
        <v>1037</v>
      </c>
      <c r="C11" s="1263">
        <v>500000</v>
      </c>
      <c r="D11" s="1256"/>
      <c r="E11" s="1258">
        <v>0.1175</v>
      </c>
      <c r="F11" s="1259"/>
      <c r="G11" s="1260" t="s">
        <v>1038</v>
      </c>
      <c r="H11" s="820"/>
      <c r="I11" s="820"/>
      <c r="J11" s="1264" t="s">
        <v>1039</v>
      </c>
      <c r="K11" s="1239"/>
      <c r="L11" s="1265">
        <v>12300000</v>
      </c>
      <c r="M11" s="1262"/>
    </row>
    <row r="12" spans="1:13" ht="27.75" customHeight="1">
      <c r="A12" s="1255">
        <v>500001</v>
      </c>
      <c r="B12" s="1256" t="s">
        <v>1037</v>
      </c>
      <c r="C12" s="1263">
        <v>1000000</v>
      </c>
      <c r="D12" s="1256"/>
      <c r="E12" s="1258">
        <v>0.1075</v>
      </c>
      <c r="F12" s="1259" t="s">
        <v>1040</v>
      </c>
      <c r="G12" s="1266">
        <f>ROUND(+E11*C11,0)</f>
        <v>58750</v>
      </c>
      <c r="H12" s="820"/>
      <c r="I12" s="820"/>
      <c r="J12" s="1264"/>
      <c r="K12" s="1259"/>
      <c r="L12" s="1235"/>
      <c r="M12" s="1262"/>
    </row>
    <row r="13" spans="1:13" ht="27.75" customHeight="1" thickBot="1">
      <c r="A13" s="1255">
        <v>1000001</v>
      </c>
      <c r="B13" s="1256" t="s">
        <v>1037</v>
      </c>
      <c r="C13" s="1263">
        <v>5000000</v>
      </c>
      <c r="D13" s="1256"/>
      <c r="E13" s="1258">
        <v>0.095</v>
      </c>
      <c r="F13" s="1259" t="s">
        <v>1041</v>
      </c>
      <c r="G13" s="1266">
        <f>ROUND((C12-A12)*E12+G12,0)</f>
        <v>112500</v>
      </c>
      <c r="H13" s="820"/>
      <c r="I13" s="820"/>
      <c r="J13" s="1267" t="s">
        <v>1042</v>
      </c>
      <c r="K13" s="1268"/>
      <c r="L13" s="1269">
        <f>IF(OR(L11=0,L11=""),0,VLOOKUP(L11,$A$11:$G$17,1))</f>
        <v>10000001</v>
      </c>
      <c r="M13" s="1262"/>
    </row>
    <row r="14" spans="1:13" ht="27.75" customHeight="1" thickTop="1">
      <c r="A14" s="1255">
        <v>5000001</v>
      </c>
      <c r="B14" s="1256" t="s">
        <v>1037</v>
      </c>
      <c r="C14" s="1263">
        <v>10000000</v>
      </c>
      <c r="D14" s="1256"/>
      <c r="E14" s="1258">
        <f>(0.09+0.0875+0.085+0.0825+0.08)/5</f>
        <v>0.085</v>
      </c>
      <c r="F14" s="1259" t="s">
        <v>1043</v>
      </c>
      <c r="G14" s="1266">
        <f>ROUND((C13-A13)*E13+G13,0)</f>
        <v>492500</v>
      </c>
      <c r="H14" s="820"/>
      <c r="I14" s="820"/>
      <c r="J14" s="1264"/>
      <c r="K14" s="1259"/>
      <c r="L14" s="1235"/>
      <c r="M14" s="1262"/>
    </row>
    <row r="15" spans="1:13" ht="27.75" customHeight="1">
      <c r="A15" s="1255">
        <v>10000001</v>
      </c>
      <c r="B15" s="1256" t="s">
        <v>1037</v>
      </c>
      <c r="C15" s="1263">
        <v>15000000</v>
      </c>
      <c r="D15" s="1256"/>
      <c r="E15" s="1258">
        <v>0.07</v>
      </c>
      <c r="F15" s="1259" t="s">
        <v>1044</v>
      </c>
      <c r="G15" s="1266">
        <f>ROUND((C14-A14)*E14+G14,0)</f>
        <v>917500</v>
      </c>
      <c r="H15" s="820"/>
      <c r="I15" s="820"/>
      <c r="J15" s="1264" t="s">
        <v>1045</v>
      </c>
      <c r="K15" s="1259"/>
      <c r="L15" s="1265">
        <f>L11-L13</f>
        <v>2299999</v>
      </c>
      <c r="M15" s="1262"/>
    </row>
    <row r="16" spans="1:13" ht="27.75" customHeight="1">
      <c r="A16" s="1255">
        <v>15000001</v>
      </c>
      <c r="B16" s="1256" t="s">
        <v>1037</v>
      </c>
      <c r="C16" s="1263">
        <v>20000000</v>
      </c>
      <c r="D16" s="1256"/>
      <c r="E16" s="1258">
        <v>0.067</v>
      </c>
      <c r="F16" s="1259" t="s">
        <v>1046</v>
      </c>
      <c r="G16" s="1266">
        <f>ROUND((C15-A15)*E15+G15,0)</f>
        <v>1267500</v>
      </c>
      <c r="H16" s="820"/>
      <c r="I16" s="820"/>
      <c r="J16" s="1264"/>
      <c r="K16" s="1259"/>
      <c r="L16" s="1235"/>
      <c r="M16" s="1262"/>
    </row>
    <row r="17" spans="1:13" ht="27.75" customHeight="1" thickBot="1">
      <c r="A17" s="1270">
        <v>20000001</v>
      </c>
      <c r="B17" s="1271" t="s">
        <v>1047</v>
      </c>
      <c r="C17" s="1272"/>
      <c r="D17" s="1271"/>
      <c r="E17" s="1273">
        <v>0.062</v>
      </c>
      <c r="F17" s="1274" t="s">
        <v>1048</v>
      </c>
      <c r="G17" s="1275">
        <f>ROUND((C16-A16)*E16+G16,0)</f>
        <v>1602500</v>
      </c>
      <c r="H17" s="820"/>
      <c r="I17" s="820"/>
      <c r="J17" s="1267" t="s">
        <v>1049</v>
      </c>
      <c r="K17" s="1268"/>
      <c r="L17" s="1276">
        <f>IF(OR(L11=0,L11=""),0,VLOOKUP(L11,$A$11:$G$17,5))</f>
        <v>0.07</v>
      </c>
      <c r="M17" s="1262"/>
    </row>
    <row r="18" spans="1:13" ht="27.75" customHeight="1" thickTop="1">
      <c r="A18" s="838"/>
      <c r="B18" s="1235"/>
      <c r="C18" s="1235"/>
      <c r="D18" s="1235"/>
      <c r="E18" s="1235"/>
      <c r="F18" s="1235"/>
      <c r="G18" s="1235"/>
      <c r="H18" s="820"/>
      <c r="I18" s="820"/>
      <c r="J18" s="1264"/>
      <c r="K18" s="1259"/>
      <c r="L18" s="1235"/>
      <c r="M18" s="1262"/>
    </row>
    <row r="19" spans="1:13" ht="27.75" customHeight="1">
      <c r="A19" s="838"/>
      <c r="B19" s="1235"/>
      <c r="C19" s="1235"/>
      <c r="D19" s="1235"/>
      <c r="E19" s="1235"/>
      <c r="F19" s="1235"/>
      <c r="G19" s="1235"/>
      <c r="H19" s="820"/>
      <c r="I19" s="820"/>
      <c r="J19" s="1264" t="s">
        <v>1050</v>
      </c>
      <c r="K19" s="1259"/>
      <c r="L19" s="1265">
        <f>ROUND(+L15*L17,0)</f>
        <v>161000</v>
      </c>
      <c r="M19" s="1262"/>
    </row>
    <row r="20" spans="1:13" ht="27.75" customHeight="1">
      <c r="A20" s="838"/>
      <c r="B20" s="1235"/>
      <c r="C20" s="1235"/>
      <c r="D20" s="1235"/>
      <c r="E20" s="1235"/>
      <c r="F20" s="1235"/>
      <c r="G20" s="1235"/>
      <c r="H20" s="820"/>
      <c r="I20" s="820"/>
      <c r="J20" s="1264"/>
      <c r="K20" s="1259"/>
      <c r="L20" s="1235"/>
      <c r="M20" s="1262"/>
    </row>
    <row r="21" spans="1:13" ht="27.75" customHeight="1" thickBot="1">
      <c r="A21" s="838"/>
      <c r="B21" s="1235"/>
      <c r="C21" s="1235"/>
      <c r="D21" s="1235"/>
      <c r="E21" s="1235"/>
      <c r="F21" s="1235"/>
      <c r="G21" s="1235"/>
      <c r="H21" s="820"/>
      <c r="I21" s="820"/>
      <c r="J21" s="1267" t="s">
        <v>1051</v>
      </c>
      <c r="K21" s="1268"/>
      <c r="L21" s="1269">
        <f>IF(OR(L11=0,L11=""),0,VLOOKUP(L11,$A$11:$G$17,7))</f>
        <v>917500</v>
      </c>
      <c r="M21" s="1262"/>
    </row>
    <row r="22" spans="1:13" ht="27.75" customHeight="1" thickTop="1">
      <c r="A22" s="1277"/>
      <c r="B22" s="1278"/>
      <c r="C22" s="1278"/>
      <c r="D22" s="1279"/>
      <c r="E22" s="1279"/>
      <c r="F22" s="1280" t="s">
        <v>1052</v>
      </c>
      <c r="G22" s="1235"/>
      <c r="H22" s="820"/>
      <c r="I22" s="820"/>
      <c r="J22" s="1264"/>
      <c r="K22" s="1259"/>
      <c r="L22" s="1245"/>
      <c r="M22" s="1262"/>
    </row>
    <row r="23" spans="1:13" ht="27.75" customHeight="1" thickBot="1">
      <c r="A23" s="1281"/>
      <c r="B23" s="1256"/>
      <c r="C23" s="1239"/>
      <c r="D23" s="1235"/>
      <c r="E23" s="1235"/>
      <c r="F23" s="1282" t="s">
        <v>1053</v>
      </c>
      <c r="G23" s="1235"/>
      <c r="H23" s="820"/>
      <c r="I23" s="820"/>
      <c r="J23" s="1283" t="s">
        <v>1054</v>
      </c>
      <c r="K23" s="1274"/>
      <c r="L23" s="1284">
        <f>L19+L21</f>
        <v>1078500</v>
      </c>
      <c r="M23" s="1285"/>
    </row>
    <row r="24" spans="1:13" ht="27.75" customHeight="1" thickBot="1" thickTop="1">
      <c r="A24" s="1281"/>
      <c r="B24" s="1239"/>
      <c r="C24" s="1239"/>
      <c r="D24" s="1235"/>
      <c r="E24" s="1235"/>
      <c r="F24" s="1282" t="s">
        <v>1055</v>
      </c>
      <c r="G24" s="1235"/>
      <c r="H24" s="820"/>
      <c r="I24" s="820"/>
      <c r="J24" s="820"/>
      <c r="K24" s="820"/>
      <c r="L24" s="820"/>
      <c r="M24" s="820"/>
    </row>
    <row r="25" spans="1:13" ht="27.75" customHeight="1" thickTop="1">
      <c r="A25" s="1281" t="s">
        <v>1056</v>
      </c>
      <c r="B25" s="1235"/>
      <c r="C25" s="1235"/>
      <c r="D25" s="1235"/>
      <c r="E25" s="1286" t="str">
        <f aca="true" t="shared" si="0" ref="E25:E35">IF(OR(F25="",F25=0),"$","")</f>
        <v>$</v>
      </c>
      <c r="F25" s="1287">
        <f>+Breakdown!F18</f>
        <v>0</v>
      </c>
      <c r="G25" s="1235"/>
      <c r="H25" s="820"/>
      <c r="I25" s="820"/>
      <c r="J25" s="1252" t="s">
        <v>1057</v>
      </c>
      <c r="K25" s="1253"/>
      <c r="L25" s="1279"/>
      <c r="M25" s="1254"/>
    </row>
    <row r="26" spans="1:13" ht="27.75" customHeight="1">
      <c r="A26" s="1281" t="s">
        <v>1058</v>
      </c>
      <c r="B26" s="1235"/>
      <c r="C26" s="1235"/>
      <c r="D26" s="1235"/>
      <c r="E26" s="1286" t="str">
        <f t="shared" si="0"/>
        <v>$</v>
      </c>
      <c r="F26" s="1287">
        <f>+Breakdown!F19</f>
        <v>0</v>
      </c>
      <c r="G26" s="1235"/>
      <c r="H26" s="820"/>
      <c r="I26" s="820"/>
      <c r="J26" s="1288"/>
      <c r="K26" s="1245"/>
      <c r="L26" s="1245"/>
      <c r="M26" s="1262"/>
    </row>
    <row r="27" spans="1:13" ht="27.75" customHeight="1">
      <c r="A27" s="1281" t="s">
        <v>1059</v>
      </c>
      <c r="B27" s="1235"/>
      <c r="C27" s="1235"/>
      <c r="D27" s="1235"/>
      <c r="E27" s="1286" t="e">
        <f t="shared" si="0"/>
        <v>#REF!</v>
      </c>
      <c r="F27" s="1287" t="e">
        <f>+Breakdown!#REF!</f>
        <v>#REF!</v>
      </c>
      <c r="G27" s="1235"/>
      <c r="H27" s="820"/>
      <c r="I27" s="820"/>
      <c r="J27" s="1264" t="s">
        <v>1039</v>
      </c>
      <c r="K27" s="1286" t="e">
        <f>IF(OR(L27="",L27=0),"$","")</f>
        <v>#REF!</v>
      </c>
      <c r="L27" s="1289" t="e">
        <f>F39</f>
        <v>#REF!</v>
      </c>
      <c r="M27" s="1262"/>
    </row>
    <row r="28" spans="1:13" ht="27.75" customHeight="1">
      <c r="A28" s="1281" t="s">
        <v>1060</v>
      </c>
      <c r="B28" s="1235"/>
      <c r="C28" s="1235"/>
      <c r="D28" s="1235"/>
      <c r="E28" s="1286" t="str">
        <f t="shared" si="0"/>
        <v>$</v>
      </c>
      <c r="F28" s="1287">
        <f>+Breakdown!F22</f>
        <v>0</v>
      </c>
      <c r="G28" s="1235"/>
      <c r="H28" s="820"/>
      <c r="I28" s="820"/>
      <c r="J28" s="1264"/>
      <c r="K28" s="1259"/>
      <c r="L28" s="1239"/>
      <c r="M28" s="1262"/>
    </row>
    <row r="29" spans="1:13" ht="27.75" customHeight="1" thickBot="1">
      <c r="A29" s="1281" t="s">
        <v>1061</v>
      </c>
      <c r="B29" s="1235"/>
      <c r="C29" s="1235"/>
      <c r="D29" s="1235"/>
      <c r="E29" s="1286" t="str">
        <f t="shared" si="0"/>
        <v>$</v>
      </c>
      <c r="F29" s="1287">
        <f>+Breakdown!F23</f>
        <v>0</v>
      </c>
      <c r="G29" s="1235"/>
      <c r="H29" s="820"/>
      <c r="I29" s="820"/>
      <c r="J29" s="1267" t="s">
        <v>1042</v>
      </c>
      <c r="K29" s="1290" t="e">
        <f>IF(OR(L29="",L29=0),"$","")</f>
        <v>#REF!</v>
      </c>
      <c r="L29" s="1291" t="e">
        <f>IF(OR($L$27=0,$L$27=""),0,VLOOKUP($L$27,$A$11:$G$17,1))</f>
        <v>#REF!</v>
      </c>
      <c r="M29" s="1262"/>
    </row>
    <row r="30" spans="1:13" ht="27.75" customHeight="1" thickTop="1">
      <c r="A30" s="1281" t="s">
        <v>1062</v>
      </c>
      <c r="B30" s="1235"/>
      <c r="C30" s="1235"/>
      <c r="D30" s="1235"/>
      <c r="E30" s="1286" t="str">
        <f t="shared" si="0"/>
        <v>$</v>
      </c>
      <c r="F30" s="1287">
        <f>+Breakdown!F24</f>
        <v>0</v>
      </c>
      <c r="G30" s="1235"/>
      <c r="H30" s="820"/>
      <c r="I30" s="820"/>
      <c r="J30" s="1264"/>
      <c r="K30" s="1259"/>
      <c r="L30" s="1259"/>
      <c r="M30" s="1262"/>
    </row>
    <row r="31" spans="1:13" ht="27.75" customHeight="1">
      <c r="A31" s="1281" t="s">
        <v>1147</v>
      </c>
      <c r="B31" s="1235"/>
      <c r="C31" s="1235"/>
      <c r="D31" s="1235"/>
      <c r="E31" s="1286" t="str">
        <f t="shared" si="0"/>
        <v>$</v>
      </c>
      <c r="F31" s="1287">
        <f>+Breakdown!F21</f>
        <v>0</v>
      </c>
      <c r="G31" s="1235"/>
      <c r="H31" s="820"/>
      <c r="I31" s="820"/>
      <c r="J31" s="1264" t="s">
        <v>1045</v>
      </c>
      <c r="K31" s="1286" t="e">
        <f>IF(OR(L31="",L31=0),"$","")</f>
        <v>#REF!</v>
      </c>
      <c r="L31" s="1292" t="e">
        <f>L27-L29</f>
        <v>#REF!</v>
      </c>
      <c r="M31" s="1262"/>
    </row>
    <row r="32" spans="1:13" ht="27.75" customHeight="1">
      <c r="A32" s="1281" t="s">
        <v>1148</v>
      </c>
      <c r="B32" s="1235"/>
      <c r="C32" s="1235"/>
      <c r="D32" s="1235"/>
      <c r="E32" s="1286" t="str">
        <f t="shared" si="0"/>
        <v>$</v>
      </c>
      <c r="F32" s="1287">
        <f>+Breakdown!F26</f>
        <v>0</v>
      </c>
      <c r="G32" s="1235"/>
      <c r="H32" s="820"/>
      <c r="I32" s="820"/>
      <c r="J32" s="1264"/>
      <c r="K32" s="1259"/>
      <c r="L32" s="1259"/>
      <c r="M32" s="1262"/>
    </row>
    <row r="33" spans="1:13" ht="27.75" customHeight="1" thickBot="1">
      <c r="A33" s="1281" t="s">
        <v>1175</v>
      </c>
      <c r="B33" s="1235"/>
      <c r="C33" s="1293"/>
      <c r="D33" s="1235"/>
      <c r="E33" s="1286" t="str">
        <f t="shared" si="0"/>
        <v>$</v>
      </c>
      <c r="F33" s="1287">
        <f>+Breakdown!F27</f>
        <v>0</v>
      </c>
      <c r="G33" s="1235"/>
      <c r="H33" s="820"/>
      <c r="I33" s="820"/>
      <c r="J33" s="1267" t="s">
        <v>1049</v>
      </c>
      <c r="K33" s="1268"/>
      <c r="L33" s="1294" t="e">
        <f>IF(OR($L$27=0,$L$27=""),0,VLOOKUP($L$27,$A$11:$G$17,5))</f>
        <v>#REF!</v>
      </c>
      <c r="M33" s="1295" t="e">
        <f>IF(OR(L33="",L33=0),"%","")</f>
        <v>#REF!</v>
      </c>
    </row>
    <row r="34" spans="1:13" ht="27.75" customHeight="1" thickTop="1">
      <c r="A34" s="1281" t="s">
        <v>1376</v>
      </c>
      <c r="B34" s="1235"/>
      <c r="C34" s="1293"/>
      <c r="D34" s="1235"/>
      <c r="E34" s="1286"/>
      <c r="F34" s="1287" t="e">
        <f>+Breakdown!#REF!</f>
        <v>#REF!</v>
      </c>
      <c r="G34" s="1235"/>
      <c r="H34" s="820"/>
      <c r="I34" s="820"/>
      <c r="J34" s="1264"/>
      <c r="K34" s="1259"/>
      <c r="L34" s="1259"/>
      <c r="M34" s="1262"/>
    </row>
    <row r="35" spans="1:13" ht="27.75" customHeight="1">
      <c r="A35" s="1281" t="s">
        <v>1063</v>
      </c>
      <c r="B35" s="1235"/>
      <c r="C35" s="1296">
        <v>0</v>
      </c>
      <c r="D35" s="1235"/>
      <c r="E35" s="1286" t="e">
        <f t="shared" si="0"/>
        <v>#REF!</v>
      </c>
      <c r="F35" s="1287" t="e">
        <f>Breakdown!#REF!</f>
        <v>#REF!</v>
      </c>
      <c r="G35" s="1235"/>
      <c r="H35" s="820"/>
      <c r="I35" s="820"/>
      <c r="J35" s="1264" t="s">
        <v>1050</v>
      </c>
      <c r="K35" s="1286" t="e">
        <f>IF(OR(L35="",L35=0),"$","")</f>
        <v>#REF!</v>
      </c>
      <c r="L35" s="1292" t="e">
        <f>ROUND(+L31*L33,0)</f>
        <v>#REF!</v>
      </c>
      <c r="M35" s="1262"/>
    </row>
    <row r="36" spans="1:13" ht="27.75" customHeight="1">
      <c r="A36" s="1281"/>
      <c r="B36" s="1235"/>
      <c r="C36" s="1235"/>
      <c r="D36" s="1235"/>
      <c r="E36" s="1235"/>
      <c r="F36" s="1295"/>
      <c r="G36" s="1235"/>
      <c r="H36" s="820"/>
      <c r="I36" s="820"/>
      <c r="J36" s="1264"/>
      <c r="K36" s="1259"/>
      <c r="L36" s="1259"/>
      <c r="M36" s="1262"/>
    </row>
    <row r="37" spans="1:13" ht="27.75" customHeight="1" thickBot="1">
      <c r="A37" s="1297" t="s">
        <v>1064</v>
      </c>
      <c r="B37" s="1298"/>
      <c r="C37" s="1298"/>
      <c r="D37" s="1298"/>
      <c r="E37" s="1290" t="str">
        <f>IF(OR(F37="",F37=0),"$","")</f>
        <v>$</v>
      </c>
      <c r="F37" s="1299">
        <f>+Breakdown!F31</f>
        <v>0</v>
      </c>
      <c r="G37" s="1235"/>
      <c r="H37" s="820"/>
      <c r="I37" s="820"/>
      <c r="J37" s="1267" t="s">
        <v>1065</v>
      </c>
      <c r="K37" s="1290" t="e">
        <f>IF(OR(L37="",L37=0),"$","")</f>
        <v>#REF!</v>
      </c>
      <c r="L37" s="1291" t="e">
        <f>IF(OR($L$27=0,$L$27=""),0,VLOOKUP($L$27,$A$11:$G$17,7))</f>
        <v>#REF!</v>
      </c>
      <c r="M37" s="1262"/>
    </row>
    <row r="38" spans="1:13" ht="27.75" customHeight="1" thickTop="1">
      <c r="A38" s="1281"/>
      <c r="B38" s="1235"/>
      <c r="C38" s="1235"/>
      <c r="D38" s="1235"/>
      <c r="E38" s="1235"/>
      <c r="F38" s="1262"/>
      <c r="G38" s="1235"/>
      <c r="H38" s="820"/>
      <c r="I38" s="820"/>
      <c r="J38" s="1264"/>
      <c r="K38" s="1259"/>
      <c r="L38" s="1239"/>
      <c r="M38" s="1262"/>
    </row>
    <row r="39" spans="1:13" ht="27.75" customHeight="1" thickBot="1">
      <c r="A39" s="1300" t="s">
        <v>1074</v>
      </c>
      <c r="B39" s="1301"/>
      <c r="C39" s="1301"/>
      <c r="D39" s="1302"/>
      <c r="E39" s="1303" t="e">
        <f>IF(OR(F39="",F39=0),"$","")</f>
        <v>#REF!</v>
      </c>
      <c r="F39" s="1304" t="e">
        <f>SUM(F25:F37)</f>
        <v>#REF!</v>
      </c>
      <c r="G39" s="1235"/>
      <c r="H39" s="820"/>
      <c r="I39" s="820"/>
      <c r="J39" s="1264" t="s">
        <v>1054</v>
      </c>
      <c r="K39" s="1286" t="e">
        <f>IF(OR(L39="",L39=0),"$","")</f>
        <v>#REF!</v>
      </c>
      <c r="L39" s="1272" t="e">
        <f>L35+L37</f>
        <v>#REF!</v>
      </c>
      <c r="M39" s="1262"/>
    </row>
    <row r="40" spans="1:13" ht="27.75" customHeight="1" thickTop="1">
      <c r="A40" s="838"/>
      <c r="B40" s="1235"/>
      <c r="C40" s="1235"/>
      <c r="D40" s="1235"/>
      <c r="E40" s="1235"/>
      <c r="F40" s="1235"/>
      <c r="G40" s="1235"/>
      <c r="H40" s="820"/>
      <c r="I40" s="820"/>
      <c r="J40" s="1264"/>
      <c r="K40" s="1259"/>
      <c r="L40" s="1259"/>
      <c r="M40" s="1262"/>
    </row>
    <row r="41" spans="1:13" ht="27.75" customHeight="1">
      <c r="A41" s="838"/>
      <c r="B41" s="1235"/>
      <c r="C41" s="1235"/>
      <c r="D41" s="1235"/>
      <c r="E41" s="1235"/>
      <c r="F41" s="1235"/>
      <c r="G41" s="1235"/>
      <c r="H41" s="820"/>
      <c r="I41" s="820"/>
      <c r="J41" s="1264" t="e">
        <f>IF(OR(L39="",L39=0),"","Budgeted Contractor Profit &amp; OH")</f>
        <v>#REF!</v>
      </c>
      <c r="K41" s="820"/>
      <c r="L41" s="1305">
        <f>+Breakdown!F30</f>
        <v>0</v>
      </c>
      <c r="M41" s="1262"/>
    </row>
    <row r="42" spans="1:13" ht="27.75" customHeight="1" thickBot="1">
      <c r="A42" s="838"/>
      <c r="B42" s="1235"/>
      <c r="C42" s="1235"/>
      <c r="D42" s="1235"/>
      <c r="E42" s="1235"/>
      <c r="F42" s="1235"/>
      <c r="G42" s="1235"/>
      <c r="H42" s="820"/>
      <c r="I42" s="820"/>
      <c r="J42" s="1306"/>
      <c r="K42" s="1302"/>
      <c r="L42" s="1303">
        <f>IF(OR(L41=0,L41=""),"",IF(L41&lt;=L39,"Within Limit","Exceeds Limit"))</f>
      </c>
      <c r="M42" s="1285"/>
    </row>
    <row r="43" spans="1:13" ht="21" thickTop="1">
      <c r="A43" s="838"/>
      <c r="B43" s="1235"/>
      <c r="C43" s="1235"/>
      <c r="D43" s="1235"/>
      <c r="E43" s="1235"/>
      <c r="F43" s="1235"/>
      <c r="G43" s="1235"/>
      <c r="H43" s="820"/>
      <c r="I43" s="820"/>
      <c r="J43" s="820"/>
      <c r="K43" s="820"/>
      <c r="L43" s="820"/>
      <c r="M43" s="820"/>
    </row>
    <row r="44" spans="1:13" ht="21" thickBot="1">
      <c r="A44" s="1307"/>
      <c r="B44" s="1308"/>
      <c r="C44" s="1308"/>
      <c r="D44" s="1308"/>
      <c r="E44" s="1302"/>
      <c r="F44" s="1309"/>
      <c r="G44" s="1235"/>
      <c r="H44" s="820"/>
      <c r="I44" s="820"/>
      <c r="J44" s="820"/>
      <c r="K44" s="820"/>
      <c r="L44" s="820"/>
      <c r="M44" s="820"/>
    </row>
    <row r="45" spans="1:254" ht="21.75" thickBot="1" thickTop="1">
      <c r="A45" s="1310"/>
      <c r="B45" s="1311"/>
      <c r="C45" s="1311"/>
      <c r="D45" s="1311"/>
      <c r="E45" s="1311"/>
      <c r="F45" s="1311"/>
      <c r="G45" s="1311"/>
      <c r="H45" s="1312"/>
      <c r="I45" s="1312"/>
      <c r="J45" s="1312"/>
      <c r="K45" s="1312"/>
      <c r="L45" s="1312"/>
      <c r="M45" s="1312"/>
      <c r="AF45" s="1313"/>
      <c r="AG45" s="1313"/>
      <c r="AH45" s="1313"/>
      <c r="AI45" s="1313"/>
      <c r="AJ45" s="1313"/>
      <c r="AK45" s="1313"/>
      <c r="AL45" s="1313"/>
      <c r="AM45" s="1313"/>
      <c r="AN45" s="1313"/>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3"/>
      <c r="DD45" s="1313"/>
      <c r="DE45" s="1313"/>
      <c r="DF45" s="1313"/>
      <c r="DG45" s="1313"/>
      <c r="DH45" s="1313"/>
      <c r="DI45" s="1313"/>
      <c r="DJ45" s="1313"/>
      <c r="DK45" s="1313"/>
      <c r="DL45" s="1313"/>
      <c r="DM45" s="1313"/>
      <c r="DN45" s="1313"/>
      <c r="DO45" s="1313"/>
      <c r="DP45" s="1313"/>
      <c r="DQ45" s="1313"/>
      <c r="DR45" s="1313"/>
      <c r="DS45" s="1313"/>
      <c r="DT45" s="1313"/>
      <c r="DU45" s="1313"/>
      <c r="DV45" s="1313"/>
      <c r="DW45" s="1313"/>
      <c r="DX45" s="1313"/>
      <c r="DY45" s="1313"/>
      <c r="DZ45" s="1313"/>
      <c r="EA45" s="1313"/>
      <c r="EB45" s="1313"/>
      <c r="EC45" s="1313"/>
      <c r="ED45" s="1313"/>
      <c r="EE45" s="1313"/>
      <c r="EF45" s="1313"/>
      <c r="EG45" s="1313"/>
      <c r="EH45" s="1313"/>
      <c r="EI45" s="1313"/>
      <c r="EJ45" s="1313"/>
      <c r="EK45" s="1313"/>
      <c r="EL45" s="1313"/>
      <c r="EM45" s="1313"/>
      <c r="EN45" s="1313"/>
      <c r="EO45" s="1313"/>
      <c r="EP45" s="1313"/>
      <c r="EQ45" s="1313"/>
      <c r="ER45" s="1313"/>
      <c r="ES45" s="1313"/>
      <c r="ET45" s="1313"/>
      <c r="EU45" s="1313"/>
      <c r="EV45" s="1313"/>
      <c r="EW45" s="1313"/>
      <c r="EX45" s="1313"/>
      <c r="EY45" s="1313"/>
      <c r="EZ45" s="1313"/>
      <c r="FA45" s="1313"/>
      <c r="FB45" s="1313"/>
      <c r="FC45" s="1313"/>
      <c r="FD45" s="1313"/>
      <c r="FE45" s="1313"/>
      <c r="FF45" s="1313"/>
      <c r="FG45" s="1313"/>
      <c r="FH45" s="1313"/>
      <c r="FI45" s="1313"/>
      <c r="FJ45" s="1313"/>
      <c r="FK45" s="1313"/>
      <c r="FL45" s="1313"/>
      <c r="FM45" s="1313"/>
      <c r="FN45" s="1313"/>
      <c r="FO45" s="1313"/>
      <c r="FP45" s="1313"/>
      <c r="FQ45" s="1313"/>
      <c r="FR45" s="1313"/>
      <c r="FS45" s="1313"/>
      <c r="FT45" s="1313"/>
      <c r="FU45" s="1313"/>
      <c r="FV45" s="1313"/>
      <c r="FW45" s="1313"/>
      <c r="FX45" s="1313"/>
      <c r="FY45" s="1313"/>
      <c r="FZ45" s="1313"/>
      <c r="GA45" s="1313"/>
      <c r="GB45" s="1313"/>
      <c r="GC45" s="1313"/>
      <c r="GD45" s="1313"/>
      <c r="GE45" s="1313"/>
      <c r="GF45" s="1313"/>
      <c r="GG45" s="1313"/>
      <c r="GH45" s="1313"/>
      <c r="GI45" s="1313"/>
      <c r="GJ45" s="1313"/>
      <c r="GK45" s="1313"/>
      <c r="GL45" s="1313"/>
      <c r="GM45" s="1313"/>
      <c r="GN45" s="1313"/>
      <c r="GO45" s="1313"/>
      <c r="GP45" s="1313"/>
      <c r="GQ45" s="1313"/>
      <c r="GR45" s="1313"/>
      <c r="GS45" s="1313"/>
      <c r="GT45" s="1313"/>
      <c r="GU45" s="1313"/>
      <c r="GV45" s="1313"/>
      <c r="GW45" s="1313"/>
      <c r="GX45" s="1313"/>
      <c r="GY45" s="1313"/>
      <c r="GZ45" s="1313"/>
      <c r="HA45" s="1313"/>
      <c r="HB45" s="1313"/>
      <c r="HC45" s="1313"/>
      <c r="HD45" s="1313"/>
      <c r="HE45" s="1313"/>
      <c r="HF45" s="1313"/>
      <c r="HG45" s="1313"/>
      <c r="HH45" s="1313"/>
      <c r="HI45" s="1313"/>
      <c r="HJ45" s="1313"/>
      <c r="HK45" s="1313"/>
      <c r="HL45" s="1313"/>
      <c r="HM45" s="1313"/>
      <c r="HN45" s="1313"/>
      <c r="HO45" s="1313"/>
      <c r="HP45" s="1313"/>
      <c r="HQ45" s="1313"/>
      <c r="HR45" s="1313"/>
      <c r="HS45" s="1313"/>
      <c r="HT45" s="1313"/>
      <c r="HU45" s="1313"/>
      <c r="HV45" s="1313"/>
      <c r="HW45" s="1313"/>
      <c r="HX45" s="1313"/>
      <c r="HY45" s="1313"/>
      <c r="HZ45" s="1313"/>
      <c r="IA45" s="1313"/>
      <c r="IB45" s="1313"/>
      <c r="IC45" s="1313"/>
      <c r="ID45" s="1313"/>
      <c r="IE45" s="1313"/>
      <c r="IF45" s="1313"/>
      <c r="IG45" s="1313"/>
      <c r="IH45" s="1313"/>
      <c r="II45" s="1313"/>
      <c r="IJ45" s="1313"/>
      <c r="IK45" s="1313"/>
      <c r="IL45" s="1313"/>
      <c r="IM45" s="1313"/>
      <c r="IN45" s="1313"/>
      <c r="IO45" s="1313"/>
      <c r="IP45" s="1313"/>
      <c r="IQ45" s="1313"/>
      <c r="IR45" s="1313"/>
      <c r="IS45" s="1313"/>
      <c r="IT45" s="1313"/>
    </row>
    <row r="46" spans="1:13" ht="21" thickTop="1">
      <c r="A46" s="838"/>
      <c r="B46" s="1235"/>
      <c r="C46" s="1235"/>
      <c r="D46" s="1235"/>
      <c r="E46" s="1235"/>
      <c r="F46" s="1235"/>
      <c r="G46" s="1235"/>
      <c r="H46" s="820"/>
      <c r="I46" s="820"/>
      <c r="J46" s="820"/>
      <c r="K46" s="820"/>
      <c r="L46" s="820"/>
      <c r="M46" s="820"/>
    </row>
    <row r="47" spans="1:13" ht="24">
      <c r="A47" s="1243" t="s">
        <v>1075</v>
      </c>
      <c r="B47" s="1235"/>
      <c r="C47" s="1235"/>
      <c r="D47" s="1235"/>
      <c r="E47" s="1235"/>
      <c r="F47" s="1235"/>
      <c r="G47" s="1236"/>
      <c r="H47" s="820"/>
      <c r="I47" s="820"/>
      <c r="J47" s="820"/>
      <c r="K47" s="820"/>
      <c r="L47" s="820"/>
      <c r="M47" s="820"/>
    </row>
    <row r="48" spans="1:13" ht="21" thickBot="1">
      <c r="A48" s="838"/>
      <c r="B48" s="1235"/>
      <c r="C48" s="1245"/>
      <c r="D48" s="1245"/>
      <c r="E48" s="1235"/>
      <c r="F48" s="1235"/>
      <c r="G48" s="1245"/>
      <c r="H48" s="820"/>
      <c r="I48" s="820"/>
      <c r="J48" s="820"/>
      <c r="K48" s="820"/>
      <c r="L48" s="820"/>
      <c r="M48" s="820"/>
    </row>
    <row r="49" spans="1:13" ht="27.75" customHeight="1" thickBot="1" thickTop="1">
      <c r="A49" s="1246" t="s">
        <v>1078</v>
      </c>
      <c r="B49" s="1247"/>
      <c r="C49" s="1248"/>
      <c r="D49" s="1247"/>
      <c r="E49" s="1249"/>
      <c r="F49" s="1314"/>
      <c r="G49" s="1315">
        <v>0.2</v>
      </c>
      <c r="H49" s="820"/>
      <c r="I49" s="820"/>
      <c r="J49" s="1316" t="s">
        <v>693</v>
      </c>
      <c r="K49" s="820"/>
      <c r="L49" s="1317"/>
      <c r="M49" s="820"/>
    </row>
    <row r="50" spans="1:13" ht="27.75" customHeight="1" thickTop="1">
      <c r="A50" s="1318" t="s">
        <v>1562</v>
      </c>
      <c r="B50" s="1256"/>
      <c r="C50" s="1319"/>
      <c r="D50" s="1256"/>
      <c r="E50" s="1258"/>
      <c r="F50" s="1259"/>
      <c r="G50" s="1320">
        <v>0.2</v>
      </c>
      <c r="H50" s="820"/>
      <c r="I50" s="820"/>
      <c r="J50" s="1317" t="s">
        <v>1563</v>
      </c>
      <c r="K50" s="820"/>
      <c r="L50" s="1321"/>
      <c r="M50" s="820"/>
    </row>
    <row r="51" spans="1:13" ht="27.75" customHeight="1">
      <c r="A51" s="1318" t="s">
        <v>1079</v>
      </c>
      <c r="B51" s="1256"/>
      <c r="C51" s="1319"/>
      <c r="D51" s="1256"/>
      <c r="E51" s="1258"/>
      <c r="F51" s="1259"/>
      <c r="G51" s="1320">
        <f>(C50-C49)*E50+G50</f>
        <v>0.2</v>
      </c>
      <c r="H51" s="820"/>
      <c r="I51" s="820"/>
      <c r="J51" s="820"/>
      <c r="K51" s="820"/>
      <c r="L51" s="820"/>
      <c r="M51" s="820"/>
    </row>
    <row r="52" spans="1:13" ht="27.75" customHeight="1">
      <c r="A52" s="1318" t="s">
        <v>1080</v>
      </c>
      <c r="B52" s="1256"/>
      <c r="C52" s="1319"/>
      <c r="D52" s="1256"/>
      <c r="E52" s="1258"/>
      <c r="F52" s="1259"/>
      <c r="G52" s="1320">
        <v>0.15</v>
      </c>
      <c r="H52" s="820"/>
      <c r="I52" s="820"/>
      <c r="J52" s="820"/>
      <c r="K52" s="820"/>
      <c r="L52" s="820"/>
      <c r="M52" s="820"/>
    </row>
    <row r="53" spans="1:13" ht="27.75" customHeight="1" thickBot="1">
      <c r="A53" s="1322" t="s">
        <v>695</v>
      </c>
      <c r="B53" s="1271"/>
      <c r="C53" s="1272"/>
      <c r="D53" s="1271"/>
      <c r="E53" s="1273"/>
      <c r="F53" s="1274"/>
      <c r="G53" s="1323">
        <v>0.08</v>
      </c>
      <c r="H53" s="820"/>
      <c r="I53" s="820"/>
      <c r="J53" s="820"/>
      <c r="K53" s="820"/>
      <c r="L53" s="820"/>
      <c r="M53" s="820"/>
    </row>
    <row r="54" spans="1:13" ht="27.75" customHeight="1" thickBot="1" thickTop="1">
      <c r="A54" s="1324"/>
      <c r="B54" s="1256"/>
      <c r="C54" s="1319"/>
      <c r="D54" s="1256"/>
      <c r="E54" s="1258"/>
      <c r="F54" s="1259"/>
      <c r="G54" s="1325"/>
      <c r="H54" s="820"/>
      <c r="I54" s="820"/>
      <c r="J54" s="1326">
        <f>IF(OR(Breakdown!F63=0,Breakdown!F63=""),"",Breakdown!L65/(Breakdown!F63-Breakdown!F13-Breakdown!F14-Breakdown!F15))</f>
      </c>
      <c r="K54" s="1239" t="str">
        <f>IF(OR(J54=0,J54=""),"%","")</f>
        <v>%</v>
      </c>
      <c r="L54" s="1258"/>
      <c r="M54" s="820"/>
    </row>
    <row r="55" spans="1:250" ht="21" thickTop="1">
      <c r="A55" s="1238"/>
      <c r="B55" s="1239"/>
      <c r="C55" s="1239"/>
      <c r="D55" s="1239"/>
      <c r="E55" s="1239"/>
      <c r="F55" s="1239"/>
      <c r="G55" s="1239"/>
      <c r="H55" s="820"/>
      <c r="I55" s="820"/>
      <c r="J55" s="1239"/>
      <c r="K55" s="1239"/>
      <c r="L55" s="820"/>
      <c r="M55" s="820"/>
      <c r="AF55" s="1240"/>
      <c r="AG55" s="1240"/>
      <c r="AH55" s="1240"/>
      <c r="AI55" s="1240"/>
      <c r="AJ55" s="1240"/>
      <c r="AK55" s="1240"/>
      <c r="AL55" s="1240"/>
      <c r="AM55" s="1240"/>
      <c r="AN55" s="1240"/>
      <c r="AO55" s="1240"/>
      <c r="AP55" s="1240"/>
      <c r="AQ55" s="1240"/>
      <c r="AR55" s="1240"/>
      <c r="AS55" s="1240"/>
      <c r="AT55" s="1240"/>
      <c r="AU55" s="1240"/>
      <c r="AV55" s="1240"/>
      <c r="AW55" s="1240"/>
      <c r="AX55" s="1240"/>
      <c r="AY55" s="1240"/>
      <c r="AZ55" s="1240"/>
      <c r="BA55" s="1240"/>
      <c r="BB55" s="1240"/>
      <c r="BC55" s="1240"/>
      <c r="BD55" s="1240"/>
      <c r="BE55" s="1240"/>
      <c r="BF55" s="1240"/>
      <c r="BG55" s="1240"/>
      <c r="BH55" s="1240"/>
      <c r="BI55" s="1240"/>
      <c r="BJ55" s="1240"/>
      <c r="BK55" s="1240"/>
      <c r="BL55" s="1240"/>
      <c r="BM55" s="1240"/>
      <c r="BN55" s="1240"/>
      <c r="BO55" s="1240"/>
      <c r="BP55" s="1240"/>
      <c r="BQ55" s="1240"/>
      <c r="BR55" s="1240"/>
      <c r="BS55" s="1240"/>
      <c r="BT55" s="1240"/>
      <c r="BU55" s="1240"/>
      <c r="BV55" s="1240"/>
      <c r="BW55" s="1240"/>
      <c r="BX55" s="1240"/>
      <c r="BY55" s="1240"/>
      <c r="BZ55" s="1240"/>
      <c r="CA55" s="1240"/>
      <c r="CB55" s="1240"/>
      <c r="CC55" s="1240"/>
      <c r="CD55" s="1240"/>
      <c r="CE55" s="1240"/>
      <c r="CF55" s="1240"/>
      <c r="CG55" s="1240"/>
      <c r="CH55" s="1240"/>
      <c r="CI55" s="1240"/>
      <c r="CJ55" s="1240"/>
      <c r="CK55" s="1240"/>
      <c r="CL55" s="1240"/>
      <c r="CM55" s="1240"/>
      <c r="CN55" s="1240"/>
      <c r="CO55" s="1240"/>
      <c r="CP55" s="1240"/>
      <c r="CQ55" s="1240"/>
      <c r="CR55" s="1240"/>
      <c r="CS55" s="1240"/>
      <c r="CT55" s="1240"/>
      <c r="CU55" s="1240"/>
      <c r="CV55" s="1240"/>
      <c r="CW55" s="1240"/>
      <c r="CX55" s="1240"/>
      <c r="CY55" s="1240"/>
      <c r="CZ55" s="1240"/>
      <c r="DA55" s="1240"/>
      <c r="DB55" s="1240"/>
      <c r="DC55" s="1240"/>
      <c r="DD55" s="1240"/>
      <c r="DE55" s="1240"/>
      <c r="DF55" s="1240"/>
      <c r="DG55" s="1240"/>
      <c r="DH55" s="1240"/>
      <c r="DI55" s="1240"/>
      <c r="DJ55" s="1240"/>
      <c r="DK55" s="1240"/>
      <c r="DL55" s="1240"/>
      <c r="DM55" s="1240"/>
      <c r="DN55" s="1240"/>
      <c r="DO55" s="1240"/>
      <c r="DP55" s="1240"/>
      <c r="DQ55" s="1240"/>
      <c r="DR55" s="1240"/>
      <c r="DS55" s="1240"/>
      <c r="DT55" s="1240"/>
      <c r="DU55" s="1240"/>
      <c r="DV55" s="1240"/>
      <c r="DW55" s="1240"/>
      <c r="DX55" s="1240"/>
      <c r="DY55" s="1240"/>
      <c r="DZ55" s="1240"/>
      <c r="EA55" s="1240"/>
      <c r="EB55" s="1240"/>
      <c r="EC55" s="1240"/>
      <c r="ED55" s="1240"/>
      <c r="EE55" s="1240"/>
      <c r="EF55" s="1240"/>
      <c r="EG55" s="1240"/>
      <c r="EH55" s="1240"/>
      <c r="EI55" s="1240"/>
      <c r="EJ55" s="1240"/>
      <c r="EK55" s="1240"/>
      <c r="EL55" s="1240"/>
      <c r="EM55" s="1240"/>
      <c r="EN55" s="1240"/>
      <c r="EO55" s="1240"/>
      <c r="EP55" s="1240"/>
      <c r="EQ55" s="1240"/>
      <c r="ER55" s="1240"/>
      <c r="ES55" s="1240"/>
      <c r="ET55" s="1240"/>
      <c r="EU55" s="1240"/>
      <c r="EV55" s="1240"/>
      <c r="EW55" s="1240"/>
      <c r="EX55" s="1240"/>
      <c r="EY55" s="1240"/>
      <c r="EZ55" s="1240"/>
      <c r="FA55" s="1240"/>
      <c r="FB55" s="1240"/>
      <c r="FC55" s="1240"/>
      <c r="FD55" s="1240"/>
      <c r="FE55" s="1240"/>
      <c r="FF55" s="1240"/>
      <c r="FG55" s="1240"/>
      <c r="FH55" s="1240"/>
      <c r="FI55" s="1240"/>
      <c r="FJ55" s="1240"/>
      <c r="FK55" s="1240"/>
      <c r="FL55" s="1240"/>
      <c r="FM55" s="1240"/>
      <c r="FN55" s="1240"/>
      <c r="FO55" s="1240"/>
      <c r="FP55" s="1240"/>
      <c r="FQ55" s="1240"/>
      <c r="FR55" s="1240"/>
      <c r="FS55" s="1240"/>
      <c r="FT55" s="1240"/>
      <c r="FU55" s="1240"/>
      <c r="FV55" s="1240"/>
      <c r="FW55" s="1240"/>
      <c r="FX55" s="1240"/>
      <c r="FY55" s="1240"/>
      <c r="FZ55" s="1240"/>
      <c r="GA55" s="1240"/>
      <c r="GB55" s="1240"/>
      <c r="GC55" s="1240"/>
      <c r="GD55" s="1240"/>
      <c r="GE55" s="1240"/>
      <c r="GF55" s="1240"/>
      <c r="GG55" s="1240"/>
      <c r="GH55" s="1240"/>
      <c r="GI55" s="1240"/>
      <c r="GJ55" s="1240"/>
      <c r="GK55" s="1240"/>
      <c r="GL55" s="1240"/>
      <c r="GM55" s="1240"/>
      <c r="GN55" s="1240"/>
      <c r="GO55" s="1240"/>
      <c r="GP55" s="1240"/>
      <c r="GQ55" s="1240"/>
      <c r="GR55" s="1240"/>
      <c r="GS55" s="1240"/>
      <c r="GT55" s="1240"/>
      <c r="GU55" s="1240"/>
      <c r="GV55" s="1240"/>
      <c r="GW55" s="1240"/>
      <c r="GX55" s="1240"/>
      <c r="GY55" s="1240"/>
      <c r="GZ55" s="1240"/>
      <c r="HA55" s="1240"/>
      <c r="HB55" s="1240"/>
      <c r="HC55" s="1240"/>
      <c r="HD55" s="1240"/>
      <c r="HE55" s="1240"/>
      <c r="HF55" s="1240"/>
      <c r="HG55" s="1240"/>
      <c r="HH55" s="1240"/>
      <c r="HI55" s="1240"/>
      <c r="HJ55" s="1240"/>
      <c r="HK55" s="1240"/>
      <c r="HL55" s="1240"/>
      <c r="HM55" s="1240"/>
      <c r="HN55" s="1240"/>
      <c r="HO55" s="1240"/>
      <c r="HP55" s="1240"/>
      <c r="HQ55" s="1240"/>
      <c r="HR55" s="1240"/>
      <c r="HS55" s="1240"/>
      <c r="HT55" s="1240"/>
      <c r="HU55" s="1240"/>
      <c r="HV55" s="1240"/>
      <c r="HW55" s="1240"/>
      <c r="HX55" s="1240"/>
      <c r="HY55" s="1240"/>
      <c r="HZ55" s="1240"/>
      <c r="IA55" s="1240"/>
      <c r="IB55" s="1240"/>
      <c r="IC55" s="1240"/>
      <c r="ID55" s="1240"/>
      <c r="IE55" s="1240"/>
      <c r="IF55" s="1240"/>
      <c r="IG55" s="1240"/>
      <c r="IH55" s="1240"/>
      <c r="II55" s="1240"/>
      <c r="IJ55" s="1240"/>
      <c r="IK55" s="1240"/>
      <c r="IL55" s="1240"/>
      <c r="IM55" s="1240"/>
      <c r="IN55" s="1240"/>
      <c r="IO55" s="1240"/>
      <c r="IP55" s="1240"/>
    </row>
    <row r="56" spans="1:13" ht="21">
      <c r="A56" s="1244" t="s">
        <v>1082</v>
      </c>
      <c r="B56" s="1235"/>
      <c r="C56" s="1235"/>
      <c r="D56" s="1235"/>
      <c r="E56" s="1235"/>
      <c r="F56" s="1235"/>
      <c r="G56" s="1235"/>
      <c r="H56" s="820"/>
      <c r="I56" s="820"/>
      <c r="J56" s="820"/>
      <c r="K56" s="820"/>
      <c r="L56" s="820"/>
      <c r="M56" s="820"/>
    </row>
    <row r="57" spans="1:13" ht="21" thickBot="1">
      <c r="A57" s="1244"/>
      <c r="B57" s="1235"/>
      <c r="C57" s="1235"/>
      <c r="D57" s="1235"/>
      <c r="E57" s="1235"/>
      <c r="F57" s="1235"/>
      <c r="G57" s="1235"/>
      <c r="H57" s="820"/>
      <c r="I57" s="820"/>
      <c r="J57" s="820"/>
      <c r="K57" s="820"/>
      <c r="L57" s="820"/>
      <c r="M57" s="820"/>
    </row>
    <row r="58" spans="1:254" ht="21.75" thickBot="1" thickTop="1">
      <c r="A58" s="1310"/>
      <c r="B58" s="1311"/>
      <c r="C58" s="1311"/>
      <c r="D58" s="1311"/>
      <c r="E58" s="1311"/>
      <c r="F58" s="1311"/>
      <c r="G58" s="1311"/>
      <c r="H58" s="1312"/>
      <c r="I58" s="1312"/>
      <c r="J58" s="1312"/>
      <c r="K58" s="1312"/>
      <c r="L58" s="1312"/>
      <c r="M58" s="820"/>
      <c r="AF58" s="1313"/>
      <c r="AG58" s="1313"/>
      <c r="AH58" s="1313"/>
      <c r="AI58" s="1313"/>
      <c r="AJ58" s="1313"/>
      <c r="AK58" s="1313"/>
      <c r="AL58" s="1313"/>
      <c r="AM58" s="1313"/>
      <c r="AN58" s="1313"/>
      <c r="AO58" s="1313"/>
      <c r="AP58" s="1313"/>
      <c r="AQ58" s="1313"/>
      <c r="AR58" s="1313"/>
      <c r="AS58" s="1313"/>
      <c r="AT58" s="1313"/>
      <c r="AU58" s="1313"/>
      <c r="AV58" s="1313"/>
      <c r="AW58" s="1313"/>
      <c r="AX58" s="1313"/>
      <c r="AY58" s="1313"/>
      <c r="AZ58" s="1313"/>
      <c r="BA58" s="1313"/>
      <c r="BB58" s="1313"/>
      <c r="BC58" s="1313"/>
      <c r="BD58" s="1313"/>
      <c r="BE58" s="1313"/>
      <c r="BF58" s="1313"/>
      <c r="BG58" s="1313"/>
      <c r="BH58" s="1313"/>
      <c r="BI58" s="1313"/>
      <c r="BJ58" s="1313"/>
      <c r="BK58" s="1313"/>
      <c r="BL58" s="1313"/>
      <c r="BM58" s="1313"/>
      <c r="BN58" s="1313"/>
      <c r="BO58" s="1313"/>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1313"/>
      <c r="DE58" s="1313"/>
      <c r="DF58" s="1313"/>
      <c r="DG58" s="1313"/>
      <c r="DH58" s="1313"/>
      <c r="DI58" s="1313"/>
      <c r="DJ58" s="1313"/>
      <c r="DK58" s="1313"/>
      <c r="DL58" s="1313"/>
      <c r="DM58" s="1313"/>
      <c r="DN58" s="1313"/>
      <c r="DO58" s="1313"/>
      <c r="DP58" s="1313"/>
      <c r="DQ58" s="1313"/>
      <c r="DR58" s="1313"/>
      <c r="DS58" s="1313"/>
      <c r="DT58" s="1313"/>
      <c r="DU58" s="1313"/>
      <c r="DV58" s="1313"/>
      <c r="DW58" s="1313"/>
      <c r="DX58" s="1313"/>
      <c r="DY58" s="1313"/>
      <c r="DZ58" s="1313"/>
      <c r="EA58" s="1313"/>
      <c r="EB58" s="1313"/>
      <c r="EC58" s="1313"/>
      <c r="ED58" s="1313"/>
      <c r="EE58" s="1313"/>
      <c r="EF58" s="1313"/>
      <c r="EG58" s="1313"/>
      <c r="EH58" s="1313"/>
      <c r="EI58" s="1313"/>
      <c r="EJ58" s="1313"/>
      <c r="EK58" s="1313"/>
      <c r="EL58" s="1313"/>
      <c r="EM58" s="1313"/>
      <c r="EN58" s="1313"/>
      <c r="EO58" s="1313"/>
      <c r="EP58" s="1313"/>
      <c r="EQ58" s="1313"/>
      <c r="ER58" s="1313"/>
      <c r="ES58" s="1313"/>
      <c r="ET58" s="1313"/>
      <c r="EU58" s="1313"/>
      <c r="EV58" s="1313"/>
      <c r="EW58" s="1313"/>
      <c r="EX58" s="1313"/>
      <c r="EY58" s="1313"/>
      <c r="EZ58" s="1313"/>
      <c r="FA58" s="1313"/>
      <c r="FB58" s="1313"/>
      <c r="FC58" s="1313"/>
      <c r="FD58" s="1313"/>
      <c r="FE58" s="1313"/>
      <c r="FF58" s="1313"/>
      <c r="FG58" s="1313"/>
      <c r="FH58" s="1313"/>
      <c r="FI58" s="1313"/>
      <c r="FJ58" s="1313"/>
      <c r="FK58" s="1313"/>
      <c r="FL58" s="1313"/>
      <c r="FM58" s="1313"/>
      <c r="FN58" s="1313"/>
      <c r="FO58" s="1313"/>
      <c r="FP58" s="1313"/>
      <c r="FQ58" s="1313"/>
      <c r="FR58" s="1313"/>
      <c r="FS58" s="1313"/>
      <c r="FT58" s="1313"/>
      <c r="FU58" s="1313"/>
      <c r="FV58" s="1313"/>
      <c r="FW58" s="1313"/>
      <c r="FX58" s="1313"/>
      <c r="FY58" s="1313"/>
      <c r="FZ58" s="1313"/>
      <c r="GA58" s="1313"/>
      <c r="GB58" s="1313"/>
      <c r="GC58" s="1313"/>
      <c r="GD58" s="1313"/>
      <c r="GE58" s="1313"/>
      <c r="GF58" s="1313"/>
      <c r="GG58" s="1313"/>
      <c r="GH58" s="1313"/>
      <c r="GI58" s="1313"/>
      <c r="GJ58" s="1313"/>
      <c r="GK58" s="1313"/>
      <c r="GL58" s="1313"/>
      <c r="GM58" s="1313"/>
      <c r="GN58" s="1313"/>
      <c r="GO58" s="1313"/>
      <c r="GP58" s="1313"/>
      <c r="GQ58" s="1313"/>
      <c r="GR58" s="1313"/>
      <c r="GS58" s="1313"/>
      <c r="GT58" s="1313"/>
      <c r="GU58" s="1313"/>
      <c r="GV58" s="1313"/>
      <c r="GW58" s="1313"/>
      <c r="GX58" s="1313"/>
      <c r="GY58" s="1313"/>
      <c r="GZ58" s="1313"/>
      <c r="HA58" s="1313"/>
      <c r="HB58" s="1313"/>
      <c r="HC58" s="1313"/>
      <c r="HD58" s="1313"/>
      <c r="HE58" s="1313"/>
      <c r="HF58" s="1313"/>
      <c r="HG58" s="1313"/>
      <c r="HH58" s="1313"/>
      <c r="HI58" s="1313"/>
      <c r="HJ58" s="1313"/>
      <c r="HK58" s="1313"/>
      <c r="HL58" s="1313"/>
      <c r="HM58" s="1313"/>
      <c r="HN58" s="1313"/>
      <c r="HO58" s="1313"/>
      <c r="HP58" s="1313"/>
      <c r="HQ58" s="1313"/>
      <c r="HR58" s="1313"/>
      <c r="HS58" s="1313"/>
      <c r="HT58" s="1313"/>
      <c r="HU58" s="1313"/>
      <c r="HV58" s="1313"/>
      <c r="HW58" s="1313"/>
      <c r="HX58" s="1313"/>
      <c r="HY58" s="1313"/>
      <c r="HZ58" s="1313"/>
      <c r="IA58" s="1313"/>
      <c r="IB58" s="1313"/>
      <c r="IC58" s="1313"/>
      <c r="ID58" s="1313"/>
      <c r="IE58" s="1313"/>
      <c r="IF58" s="1313"/>
      <c r="IG58" s="1313"/>
      <c r="IH58" s="1313"/>
      <c r="II58" s="1313"/>
      <c r="IJ58" s="1313"/>
      <c r="IK58" s="1313"/>
      <c r="IL58" s="1313"/>
      <c r="IM58" s="1313"/>
      <c r="IN58" s="1313"/>
      <c r="IO58" s="1313"/>
      <c r="IP58" s="1313"/>
      <c r="IQ58" s="1313"/>
      <c r="IR58" s="1313"/>
      <c r="IS58" s="1313"/>
      <c r="IT58" s="1313"/>
    </row>
    <row r="59" spans="1:13" ht="21" thickTop="1">
      <c r="A59" s="838"/>
      <c r="B59" s="1235"/>
      <c r="C59" s="1235"/>
      <c r="D59" s="1235"/>
      <c r="E59" s="1235"/>
      <c r="F59" s="1235"/>
      <c r="G59" s="1235"/>
      <c r="H59" s="820"/>
      <c r="I59" s="820"/>
      <c r="J59" s="820"/>
      <c r="K59" s="820"/>
      <c r="L59" s="820"/>
      <c r="M59" s="820"/>
    </row>
    <row r="60" spans="1:13" ht="27.75" customHeight="1">
      <c r="A60" s="1243" t="s">
        <v>1564</v>
      </c>
      <c r="B60" s="1235"/>
      <c r="C60" s="1235"/>
      <c r="D60" s="1235"/>
      <c r="E60" s="1235"/>
      <c r="F60" s="1235"/>
      <c r="G60" s="1236"/>
      <c r="H60" s="820"/>
      <c r="I60" s="820"/>
      <c r="J60" s="820"/>
      <c r="K60" s="820"/>
      <c r="L60" s="820"/>
      <c r="M60" s="820"/>
    </row>
    <row r="61" spans="1:13" ht="27.75" customHeight="1">
      <c r="A61" s="1327"/>
      <c r="B61" s="1245"/>
      <c r="C61" s="1245"/>
      <c r="D61" s="1245"/>
      <c r="E61" s="1235"/>
      <c r="F61" s="1245"/>
      <c r="G61" s="1245"/>
      <c r="H61" s="820"/>
      <c r="I61" s="820"/>
      <c r="J61" s="820"/>
      <c r="K61" s="820"/>
      <c r="L61" s="820"/>
      <c r="M61" s="820"/>
    </row>
    <row r="62" spans="1:250" ht="27.75" customHeight="1">
      <c r="A62" s="1328" t="s">
        <v>1239</v>
      </c>
      <c r="B62" s="1329"/>
      <c r="C62" s="1329"/>
      <c r="D62" s="1330" t="s">
        <v>985</v>
      </c>
      <c r="E62" s="1329" t="s">
        <v>985</v>
      </c>
      <c r="F62" s="1331" t="s">
        <v>1083</v>
      </c>
      <c r="G62" s="1239"/>
      <c r="H62" s="820"/>
      <c r="I62" s="820"/>
      <c r="J62" s="820"/>
      <c r="K62" s="820"/>
      <c r="L62" s="820"/>
      <c r="M62" s="820"/>
      <c r="AF62" s="1240"/>
      <c r="AG62" s="1240"/>
      <c r="AH62" s="1240"/>
      <c r="AI62" s="1240"/>
      <c r="AJ62" s="1240"/>
      <c r="AK62" s="1240"/>
      <c r="AL62" s="1240"/>
      <c r="AM62" s="1240"/>
      <c r="AN62" s="1240"/>
      <c r="AO62" s="1240"/>
      <c r="AP62" s="1240"/>
      <c r="AQ62" s="1240"/>
      <c r="AR62" s="1240"/>
      <c r="AS62" s="1240"/>
      <c r="AT62" s="1240"/>
      <c r="AU62" s="1240"/>
      <c r="AV62" s="1240"/>
      <c r="AW62" s="1240"/>
      <c r="AX62" s="1240"/>
      <c r="AY62" s="1240"/>
      <c r="AZ62" s="1240"/>
      <c r="BA62" s="1240"/>
      <c r="BB62" s="1240"/>
      <c r="BC62" s="1240"/>
      <c r="BD62" s="1240"/>
      <c r="BE62" s="1240"/>
      <c r="BF62" s="1240"/>
      <c r="BG62" s="1240"/>
      <c r="BH62" s="1240"/>
      <c r="BI62" s="1240"/>
      <c r="BJ62" s="1240"/>
      <c r="BK62" s="1240"/>
      <c r="BL62" s="1240"/>
      <c r="BM62" s="1240"/>
      <c r="BN62" s="1240"/>
      <c r="BO62" s="1240"/>
      <c r="BP62" s="1240"/>
      <c r="BQ62" s="1240"/>
      <c r="BR62" s="1240"/>
      <c r="BS62" s="1240"/>
      <c r="BT62" s="1240"/>
      <c r="BU62" s="1240"/>
      <c r="BV62" s="1240"/>
      <c r="BW62" s="1240"/>
      <c r="BX62" s="1240"/>
      <c r="BY62" s="1240"/>
      <c r="BZ62" s="1240"/>
      <c r="CA62" s="1240"/>
      <c r="CB62" s="1240"/>
      <c r="CC62" s="1240"/>
      <c r="CD62" s="1240"/>
      <c r="CE62" s="1240"/>
      <c r="CF62" s="1240"/>
      <c r="CG62" s="1240"/>
      <c r="CH62" s="1240"/>
      <c r="CI62" s="1240"/>
      <c r="CJ62" s="1240"/>
      <c r="CK62" s="1240"/>
      <c r="CL62" s="1240"/>
      <c r="CM62" s="1240"/>
      <c r="CN62" s="1240"/>
      <c r="CO62" s="1240"/>
      <c r="CP62" s="1240"/>
      <c r="CQ62" s="1240"/>
      <c r="CR62" s="1240"/>
      <c r="CS62" s="1240"/>
      <c r="CT62" s="1240"/>
      <c r="CU62" s="1240"/>
      <c r="CV62" s="1240"/>
      <c r="CW62" s="1240"/>
      <c r="CX62" s="1240"/>
      <c r="CY62" s="1240"/>
      <c r="CZ62" s="1240"/>
      <c r="DA62" s="1240"/>
      <c r="DB62" s="1240"/>
      <c r="DC62" s="1240"/>
      <c r="DD62" s="1240"/>
      <c r="DE62" s="1240"/>
      <c r="DF62" s="1240"/>
      <c r="DG62" s="1240"/>
      <c r="DH62" s="1240"/>
      <c r="DI62" s="1240"/>
      <c r="DJ62" s="1240"/>
      <c r="DK62" s="1240"/>
      <c r="DL62" s="1240"/>
      <c r="DM62" s="1240"/>
      <c r="DN62" s="1240"/>
      <c r="DO62" s="1240"/>
      <c r="DP62" s="1240"/>
      <c r="DQ62" s="1240"/>
      <c r="DR62" s="1240"/>
      <c r="DS62" s="1240"/>
      <c r="DT62" s="1240"/>
      <c r="DU62" s="1240"/>
      <c r="DV62" s="1240"/>
      <c r="DW62" s="1240"/>
      <c r="DX62" s="1240"/>
      <c r="DY62" s="1240"/>
      <c r="DZ62" s="1240"/>
      <c r="EA62" s="1240"/>
      <c r="EB62" s="1240"/>
      <c r="EC62" s="1240"/>
      <c r="ED62" s="1240"/>
      <c r="EE62" s="1240"/>
      <c r="EF62" s="1240"/>
      <c r="EG62" s="1240"/>
      <c r="EH62" s="1240"/>
      <c r="EI62" s="1240"/>
      <c r="EJ62" s="1240"/>
      <c r="EK62" s="1240"/>
      <c r="EL62" s="1240"/>
      <c r="EM62" s="1240"/>
      <c r="EN62" s="1240"/>
      <c r="EO62" s="1240"/>
      <c r="EP62" s="1240"/>
      <c r="EQ62" s="1240"/>
      <c r="ER62" s="1240"/>
      <c r="ES62" s="1240"/>
      <c r="ET62" s="1240"/>
      <c r="EU62" s="1240"/>
      <c r="EV62" s="1240"/>
      <c r="EW62" s="1240"/>
      <c r="EX62" s="1240"/>
      <c r="EY62" s="1240"/>
      <c r="EZ62" s="1240"/>
      <c r="FA62" s="1240"/>
      <c r="FB62" s="1240"/>
      <c r="FC62" s="1240"/>
      <c r="FD62" s="1240"/>
      <c r="FE62" s="1240"/>
      <c r="FF62" s="1240"/>
      <c r="FG62" s="1240"/>
      <c r="FH62" s="1240"/>
      <c r="FI62" s="1240"/>
      <c r="FJ62" s="1240"/>
      <c r="FK62" s="1240"/>
      <c r="FL62" s="1240"/>
      <c r="FM62" s="1240"/>
      <c r="FN62" s="1240"/>
      <c r="FO62" s="1240"/>
      <c r="FP62" s="1240"/>
      <c r="FQ62" s="1240"/>
      <c r="FR62" s="1240"/>
      <c r="FS62" s="1240"/>
      <c r="FT62" s="1240"/>
      <c r="FU62" s="1240"/>
      <c r="FV62" s="1240"/>
      <c r="FW62" s="1240"/>
      <c r="FX62" s="1240"/>
      <c r="FY62" s="1240"/>
      <c r="FZ62" s="1240"/>
      <c r="GA62" s="1240"/>
      <c r="GB62" s="1240"/>
      <c r="GC62" s="1240"/>
      <c r="GD62" s="1240"/>
      <c r="GE62" s="1240"/>
      <c r="GF62" s="1240"/>
      <c r="GG62" s="1240"/>
      <c r="GH62" s="1240"/>
      <c r="GI62" s="1240"/>
      <c r="GJ62" s="1240"/>
      <c r="GK62" s="1240"/>
      <c r="GL62" s="1240"/>
      <c r="GM62" s="1240"/>
      <c r="GN62" s="1240"/>
      <c r="GO62" s="1240"/>
      <c r="GP62" s="1240"/>
      <c r="GQ62" s="1240"/>
      <c r="GR62" s="1240"/>
      <c r="GS62" s="1240"/>
      <c r="GT62" s="1240"/>
      <c r="GU62" s="1240"/>
      <c r="GV62" s="1240"/>
      <c r="GW62" s="1240"/>
      <c r="GX62" s="1240"/>
      <c r="GY62" s="1240"/>
      <c r="GZ62" s="1240"/>
      <c r="HA62" s="1240"/>
      <c r="HB62" s="1240"/>
      <c r="HC62" s="1240"/>
      <c r="HD62" s="1240"/>
      <c r="HE62" s="1240"/>
      <c r="HF62" s="1240"/>
      <c r="HG62" s="1240"/>
      <c r="HH62" s="1240"/>
      <c r="HI62" s="1240"/>
      <c r="HJ62" s="1240"/>
      <c r="HK62" s="1240"/>
      <c r="HL62" s="1240"/>
      <c r="HM62" s="1240"/>
      <c r="HN62" s="1240"/>
      <c r="HO62" s="1240"/>
      <c r="HP62" s="1240"/>
      <c r="HQ62" s="1240"/>
      <c r="HR62" s="1240"/>
      <c r="HS62" s="1240"/>
      <c r="HT62" s="1240"/>
      <c r="HU62" s="1240"/>
      <c r="HV62" s="1240"/>
      <c r="HW62" s="1240"/>
      <c r="HX62" s="1240"/>
      <c r="HY62" s="1240"/>
      <c r="HZ62" s="1240"/>
      <c r="IA62" s="1240"/>
      <c r="IB62" s="1240"/>
      <c r="IC62" s="1240"/>
      <c r="ID62" s="1240"/>
      <c r="IE62" s="1240"/>
      <c r="IF62" s="1240"/>
      <c r="IG62" s="1240"/>
      <c r="IH62" s="1240"/>
      <c r="II62" s="1240"/>
      <c r="IJ62" s="1240"/>
      <c r="IK62" s="1240"/>
      <c r="IL62" s="1240"/>
      <c r="IM62" s="1240"/>
      <c r="IN62" s="1240"/>
      <c r="IO62" s="1240"/>
      <c r="IP62" s="1240"/>
    </row>
    <row r="63" spans="1:250" ht="27.75" customHeight="1">
      <c r="A63" s="1332"/>
      <c r="B63" s="1329"/>
      <c r="C63" s="1329"/>
      <c r="D63" s="1330"/>
      <c r="E63" s="1333"/>
      <c r="F63" s="1330" t="s">
        <v>1240</v>
      </c>
      <c r="G63" s="1239"/>
      <c r="H63" s="820"/>
      <c r="I63" s="820"/>
      <c r="J63" s="820"/>
      <c r="K63" s="820"/>
      <c r="L63" s="820"/>
      <c r="M63" s="820"/>
      <c r="AF63" s="1240"/>
      <c r="AG63" s="1240"/>
      <c r="AH63" s="1240"/>
      <c r="AI63" s="1240"/>
      <c r="AJ63" s="1240"/>
      <c r="AK63" s="1240"/>
      <c r="AL63" s="1240"/>
      <c r="AM63" s="1240"/>
      <c r="AN63" s="1240"/>
      <c r="AO63" s="1240"/>
      <c r="AP63" s="1240"/>
      <c r="AQ63" s="1240"/>
      <c r="AR63" s="1240"/>
      <c r="AS63" s="1240"/>
      <c r="AT63" s="1240"/>
      <c r="AU63" s="1240"/>
      <c r="AV63" s="1240"/>
      <c r="AW63" s="1240"/>
      <c r="AX63" s="1240"/>
      <c r="AY63" s="1240"/>
      <c r="AZ63" s="1240"/>
      <c r="BA63" s="1240"/>
      <c r="BB63" s="1240"/>
      <c r="BC63" s="1240"/>
      <c r="BD63" s="1240"/>
      <c r="BE63" s="1240"/>
      <c r="BF63" s="1240"/>
      <c r="BG63" s="1240"/>
      <c r="BH63" s="1240"/>
      <c r="BI63" s="1240"/>
      <c r="BJ63" s="1240"/>
      <c r="BK63" s="1240"/>
      <c r="BL63" s="1240"/>
      <c r="BM63" s="1240"/>
      <c r="BN63" s="1240"/>
      <c r="BO63" s="1240"/>
      <c r="BP63" s="1240"/>
      <c r="BQ63" s="1240"/>
      <c r="BR63" s="1240"/>
      <c r="BS63" s="1240"/>
      <c r="BT63" s="1240"/>
      <c r="BU63" s="1240"/>
      <c r="BV63" s="1240"/>
      <c r="BW63" s="1240"/>
      <c r="BX63" s="1240"/>
      <c r="BY63" s="1240"/>
      <c r="BZ63" s="1240"/>
      <c r="CA63" s="1240"/>
      <c r="CB63" s="1240"/>
      <c r="CC63" s="1240"/>
      <c r="CD63" s="1240"/>
      <c r="CE63" s="1240"/>
      <c r="CF63" s="1240"/>
      <c r="CG63" s="1240"/>
      <c r="CH63" s="1240"/>
      <c r="CI63" s="1240"/>
      <c r="CJ63" s="1240"/>
      <c r="CK63" s="1240"/>
      <c r="CL63" s="1240"/>
      <c r="CM63" s="1240"/>
      <c r="CN63" s="1240"/>
      <c r="CO63" s="1240"/>
      <c r="CP63" s="1240"/>
      <c r="CQ63" s="1240"/>
      <c r="CR63" s="1240"/>
      <c r="CS63" s="1240"/>
      <c r="CT63" s="1240"/>
      <c r="CU63" s="1240"/>
      <c r="CV63" s="1240"/>
      <c r="CW63" s="1240"/>
      <c r="CX63" s="1240"/>
      <c r="CY63" s="1240"/>
      <c r="CZ63" s="1240"/>
      <c r="DA63" s="1240"/>
      <c r="DB63" s="1240"/>
      <c r="DC63" s="1240"/>
      <c r="DD63" s="1240"/>
      <c r="DE63" s="1240"/>
      <c r="DF63" s="1240"/>
      <c r="DG63" s="1240"/>
      <c r="DH63" s="1240"/>
      <c r="DI63" s="1240"/>
      <c r="DJ63" s="1240"/>
      <c r="DK63" s="1240"/>
      <c r="DL63" s="1240"/>
      <c r="DM63" s="1240"/>
      <c r="DN63" s="1240"/>
      <c r="DO63" s="1240"/>
      <c r="DP63" s="1240"/>
      <c r="DQ63" s="1240"/>
      <c r="DR63" s="1240"/>
      <c r="DS63" s="1240"/>
      <c r="DT63" s="1240"/>
      <c r="DU63" s="1240"/>
      <c r="DV63" s="1240"/>
      <c r="DW63" s="1240"/>
      <c r="DX63" s="1240"/>
      <c r="DY63" s="1240"/>
      <c r="DZ63" s="1240"/>
      <c r="EA63" s="1240"/>
      <c r="EB63" s="1240"/>
      <c r="EC63" s="1240"/>
      <c r="ED63" s="1240"/>
      <c r="EE63" s="1240"/>
      <c r="EF63" s="1240"/>
      <c r="EG63" s="1240"/>
      <c r="EH63" s="1240"/>
      <c r="EI63" s="1240"/>
      <c r="EJ63" s="1240"/>
      <c r="EK63" s="1240"/>
      <c r="EL63" s="1240"/>
      <c r="EM63" s="1240"/>
      <c r="EN63" s="1240"/>
      <c r="EO63" s="1240"/>
      <c r="EP63" s="1240"/>
      <c r="EQ63" s="1240"/>
      <c r="ER63" s="1240"/>
      <c r="ES63" s="1240"/>
      <c r="ET63" s="1240"/>
      <c r="EU63" s="1240"/>
      <c r="EV63" s="1240"/>
      <c r="EW63" s="1240"/>
      <c r="EX63" s="1240"/>
      <c r="EY63" s="1240"/>
      <c r="EZ63" s="1240"/>
      <c r="FA63" s="1240"/>
      <c r="FB63" s="1240"/>
      <c r="FC63" s="1240"/>
      <c r="FD63" s="1240"/>
      <c r="FE63" s="1240"/>
      <c r="FF63" s="1240"/>
      <c r="FG63" s="1240"/>
      <c r="FH63" s="1240"/>
      <c r="FI63" s="1240"/>
      <c r="FJ63" s="1240"/>
      <c r="FK63" s="1240"/>
      <c r="FL63" s="1240"/>
      <c r="FM63" s="1240"/>
      <c r="FN63" s="1240"/>
      <c r="FO63" s="1240"/>
      <c r="FP63" s="1240"/>
      <c r="FQ63" s="1240"/>
      <c r="FR63" s="1240"/>
      <c r="FS63" s="1240"/>
      <c r="FT63" s="1240"/>
      <c r="FU63" s="1240"/>
      <c r="FV63" s="1240"/>
      <c r="FW63" s="1240"/>
      <c r="FX63" s="1240"/>
      <c r="FY63" s="1240"/>
      <c r="FZ63" s="1240"/>
      <c r="GA63" s="1240"/>
      <c r="GB63" s="1240"/>
      <c r="GC63" s="1240"/>
      <c r="GD63" s="1240"/>
      <c r="GE63" s="1240"/>
      <c r="GF63" s="1240"/>
      <c r="GG63" s="1240"/>
      <c r="GH63" s="1240"/>
      <c r="GI63" s="1240"/>
      <c r="GJ63" s="1240"/>
      <c r="GK63" s="1240"/>
      <c r="GL63" s="1240"/>
      <c r="GM63" s="1240"/>
      <c r="GN63" s="1240"/>
      <c r="GO63" s="1240"/>
      <c r="GP63" s="1240"/>
      <c r="GQ63" s="1240"/>
      <c r="GR63" s="1240"/>
      <c r="GS63" s="1240"/>
      <c r="GT63" s="1240"/>
      <c r="GU63" s="1240"/>
      <c r="GV63" s="1240"/>
      <c r="GW63" s="1240"/>
      <c r="GX63" s="1240"/>
      <c r="GY63" s="1240"/>
      <c r="GZ63" s="1240"/>
      <c r="HA63" s="1240"/>
      <c r="HB63" s="1240"/>
      <c r="HC63" s="1240"/>
      <c r="HD63" s="1240"/>
      <c r="HE63" s="1240"/>
      <c r="HF63" s="1240"/>
      <c r="HG63" s="1240"/>
      <c r="HH63" s="1240"/>
      <c r="HI63" s="1240"/>
      <c r="HJ63" s="1240"/>
      <c r="HK63" s="1240"/>
      <c r="HL63" s="1240"/>
      <c r="HM63" s="1240"/>
      <c r="HN63" s="1240"/>
      <c r="HO63" s="1240"/>
      <c r="HP63" s="1240"/>
      <c r="HQ63" s="1240"/>
      <c r="HR63" s="1240"/>
      <c r="HS63" s="1240"/>
      <c r="HT63" s="1240"/>
      <c r="HU63" s="1240"/>
      <c r="HV63" s="1240"/>
      <c r="HW63" s="1240"/>
      <c r="HX63" s="1240"/>
      <c r="HY63" s="1240"/>
      <c r="HZ63" s="1240"/>
      <c r="IA63" s="1240"/>
      <c r="IB63" s="1240"/>
      <c r="IC63" s="1240"/>
      <c r="ID63" s="1240"/>
      <c r="IE63" s="1240"/>
      <c r="IF63" s="1240"/>
      <c r="IG63" s="1240"/>
      <c r="IH63" s="1240"/>
      <c r="II63" s="1240"/>
      <c r="IJ63" s="1240"/>
      <c r="IK63" s="1240"/>
      <c r="IL63" s="1240"/>
      <c r="IM63" s="1240"/>
      <c r="IN63" s="1240"/>
      <c r="IO63" s="1240"/>
      <c r="IP63" s="1240"/>
    </row>
    <row r="64" spans="1:250" ht="27.75" customHeight="1">
      <c r="A64" s="1328"/>
      <c r="B64" s="1329"/>
      <c r="C64" s="1329"/>
      <c r="D64" s="1330"/>
      <c r="E64" s="1329"/>
      <c r="F64" s="1329"/>
      <c r="G64" s="1239"/>
      <c r="H64" s="820"/>
      <c r="I64" s="820"/>
      <c r="J64" s="820"/>
      <c r="K64" s="820"/>
      <c r="L64" s="820"/>
      <c r="M64" s="820"/>
      <c r="AF64" s="1240"/>
      <c r="AG64" s="1240"/>
      <c r="AH64" s="1240"/>
      <c r="AI64" s="1240"/>
      <c r="AJ64" s="1240"/>
      <c r="AK64" s="1240"/>
      <c r="AL64" s="1240"/>
      <c r="AM64" s="1240"/>
      <c r="AN64" s="1240"/>
      <c r="AO64" s="1240"/>
      <c r="AP64" s="1240"/>
      <c r="AQ64" s="1240"/>
      <c r="AR64" s="1240"/>
      <c r="AS64" s="1240"/>
      <c r="AT64" s="1240"/>
      <c r="AU64" s="1240"/>
      <c r="AV64" s="1240"/>
      <c r="AW64" s="1240"/>
      <c r="AX64" s="1240"/>
      <c r="AY64" s="1240"/>
      <c r="AZ64" s="1240"/>
      <c r="BA64" s="1240"/>
      <c r="BB64" s="1240"/>
      <c r="BC64" s="1240"/>
      <c r="BD64" s="1240"/>
      <c r="BE64" s="1240"/>
      <c r="BF64" s="1240"/>
      <c r="BG64" s="1240"/>
      <c r="BH64" s="1240"/>
      <c r="BI64" s="1240"/>
      <c r="BJ64" s="1240"/>
      <c r="BK64" s="1240"/>
      <c r="BL64" s="1240"/>
      <c r="BM64" s="1240"/>
      <c r="BN64" s="1240"/>
      <c r="BO64" s="1240"/>
      <c r="BP64" s="1240"/>
      <c r="BQ64" s="1240"/>
      <c r="BR64" s="1240"/>
      <c r="BS64" s="1240"/>
      <c r="BT64" s="1240"/>
      <c r="BU64" s="1240"/>
      <c r="BV64" s="1240"/>
      <c r="BW64" s="1240"/>
      <c r="BX64" s="1240"/>
      <c r="BY64" s="1240"/>
      <c r="BZ64" s="1240"/>
      <c r="CA64" s="1240"/>
      <c r="CB64" s="1240"/>
      <c r="CC64" s="1240"/>
      <c r="CD64" s="1240"/>
      <c r="CE64" s="1240"/>
      <c r="CF64" s="1240"/>
      <c r="CG64" s="1240"/>
      <c r="CH64" s="1240"/>
      <c r="CI64" s="1240"/>
      <c r="CJ64" s="1240"/>
      <c r="CK64" s="1240"/>
      <c r="CL64" s="1240"/>
      <c r="CM64" s="1240"/>
      <c r="CN64" s="1240"/>
      <c r="CO64" s="1240"/>
      <c r="CP64" s="1240"/>
      <c r="CQ64" s="1240"/>
      <c r="CR64" s="1240"/>
      <c r="CS64" s="1240"/>
      <c r="CT64" s="1240"/>
      <c r="CU64" s="1240"/>
      <c r="CV64" s="1240"/>
      <c r="CW64" s="1240"/>
      <c r="CX64" s="1240"/>
      <c r="CY64" s="1240"/>
      <c r="CZ64" s="1240"/>
      <c r="DA64" s="1240"/>
      <c r="DB64" s="1240"/>
      <c r="DC64" s="1240"/>
      <c r="DD64" s="1240"/>
      <c r="DE64" s="1240"/>
      <c r="DF64" s="1240"/>
      <c r="DG64" s="1240"/>
      <c r="DH64" s="1240"/>
      <c r="DI64" s="1240"/>
      <c r="DJ64" s="1240"/>
      <c r="DK64" s="1240"/>
      <c r="DL64" s="1240"/>
      <c r="DM64" s="1240"/>
      <c r="DN64" s="1240"/>
      <c r="DO64" s="1240"/>
      <c r="DP64" s="1240"/>
      <c r="DQ64" s="1240"/>
      <c r="DR64" s="1240"/>
      <c r="DS64" s="1240"/>
      <c r="DT64" s="1240"/>
      <c r="DU64" s="1240"/>
      <c r="DV64" s="1240"/>
      <c r="DW64" s="1240"/>
      <c r="DX64" s="1240"/>
      <c r="DY64" s="1240"/>
      <c r="DZ64" s="1240"/>
      <c r="EA64" s="1240"/>
      <c r="EB64" s="1240"/>
      <c r="EC64" s="1240"/>
      <c r="ED64" s="1240"/>
      <c r="EE64" s="1240"/>
      <c r="EF64" s="1240"/>
      <c r="EG64" s="1240"/>
      <c r="EH64" s="1240"/>
      <c r="EI64" s="1240"/>
      <c r="EJ64" s="1240"/>
      <c r="EK64" s="1240"/>
      <c r="EL64" s="1240"/>
      <c r="EM64" s="1240"/>
      <c r="EN64" s="1240"/>
      <c r="EO64" s="1240"/>
      <c r="EP64" s="1240"/>
      <c r="EQ64" s="1240"/>
      <c r="ER64" s="1240"/>
      <c r="ES64" s="1240"/>
      <c r="ET64" s="1240"/>
      <c r="EU64" s="1240"/>
      <c r="EV64" s="1240"/>
      <c r="EW64" s="1240"/>
      <c r="EX64" s="1240"/>
      <c r="EY64" s="1240"/>
      <c r="EZ64" s="1240"/>
      <c r="FA64" s="1240"/>
      <c r="FB64" s="1240"/>
      <c r="FC64" s="1240"/>
      <c r="FD64" s="1240"/>
      <c r="FE64" s="1240"/>
      <c r="FF64" s="1240"/>
      <c r="FG64" s="1240"/>
      <c r="FH64" s="1240"/>
      <c r="FI64" s="1240"/>
      <c r="FJ64" s="1240"/>
      <c r="FK64" s="1240"/>
      <c r="FL64" s="1240"/>
      <c r="FM64" s="1240"/>
      <c r="FN64" s="1240"/>
      <c r="FO64" s="1240"/>
      <c r="FP64" s="1240"/>
      <c r="FQ64" s="1240"/>
      <c r="FR64" s="1240"/>
      <c r="FS64" s="1240"/>
      <c r="FT64" s="1240"/>
      <c r="FU64" s="1240"/>
      <c r="FV64" s="1240"/>
      <c r="FW64" s="1240"/>
      <c r="FX64" s="1240"/>
      <c r="FY64" s="1240"/>
      <c r="FZ64" s="1240"/>
      <c r="GA64" s="1240"/>
      <c r="GB64" s="1240"/>
      <c r="GC64" s="1240"/>
      <c r="GD64" s="1240"/>
      <c r="GE64" s="1240"/>
      <c r="GF64" s="1240"/>
      <c r="GG64" s="1240"/>
      <c r="GH64" s="1240"/>
      <c r="GI64" s="1240"/>
      <c r="GJ64" s="1240"/>
      <c r="GK64" s="1240"/>
      <c r="GL64" s="1240"/>
      <c r="GM64" s="1240"/>
      <c r="GN64" s="1240"/>
      <c r="GO64" s="1240"/>
      <c r="GP64" s="1240"/>
      <c r="GQ64" s="1240"/>
      <c r="GR64" s="1240"/>
      <c r="GS64" s="1240"/>
      <c r="GT64" s="1240"/>
      <c r="GU64" s="1240"/>
      <c r="GV64" s="1240"/>
      <c r="GW64" s="1240"/>
      <c r="GX64" s="1240"/>
      <c r="GY64" s="1240"/>
      <c r="GZ64" s="1240"/>
      <c r="HA64" s="1240"/>
      <c r="HB64" s="1240"/>
      <c r="HC64" s="1240"/>
      <c r="HD64" s="1240"/>
      <c r="HE64" s="1240"/>
      <c r="HF64" s="1240"/>
      <c r="HG64" s="1240"/>
      <c r="HH64" s="1240"/>
      <c r="HI64" s="1240"/>
      <c r="HJ64" s="1240"/>
      <c r="HK64" s="1240"/>
      <c r="HL64" s="1240"/>
      <c r="HM64" s="1240"/>
      <c r="HN64" s="1240"/>
      <c r="HO64" s="1240"/>
      <c r="HP64" s="1240"/>
      <c r="HQ64" s="1240"/>
      <c r="HR64" s="1240"/>
      <c r="HS64" s="1240"/>
      <c r="HT64" s="1240"/>
      <c r="HU64" s="1240"/>
      <c r="HV64" s="1240"/>
      <c r="HW64" s="1240"/>
      <c r="HX64" s="1240"/>
      <c r="HY64" s="1240"/>
      <c r="HZ64" s="1240"/>
      <c r="IA64" s="1240"/>
      <c r="IB64" s="1240"/>
      <c r="IC64" s="1240"/>
      <c r="ID64" s="1240"/>
      <c r="IE64" s="1240"/>
      <c r="IF64" s="1240"/>
      <c r="IG64" s="1240"/>
      <c r="IH64" s="1240"/>
      <c r="II64" s="1240"/>
      <c r="IJ64" s="1240"/>
      <c r="IK64" s="1240"/>
      <c r="IL64" s="1240"/>
      <c r="IM64" s="1240"/>
      <c r="IN64" s="1240"/>
      <c r="IO64" s="1240"/>
      <c r="IP64" s="1240"/>
    </row>
    <row r="65" spans="1:250" ht="27.75" customHeight="1" thickBot="1">
      <c r="A65" s="1238"/>
      <c r="B65" s="1334"/>
      <c r="C65" s="819"/>
      <c r="D65" s="1222" t="s">
        <v>985</v>
      </c>
      <c r="E65" s="1334"/>
      <c r="F65" s="1335">
        <f>IF(Breakdown!F13=0,"",SUM(Breakdown!F18:F31)/EligBasisLimits!C16)</f>
      </c>
      <c r="G65" s="1239" t="s">
        <v>653</v>
      </c>
      <c r="H65" s="820"/>
      <c r="I65" s="820"/>
      <c r="J65" s="820"/>
      <c r="K65" s="820"/>
      <c r="L65" s="820"/>
      <c r="M65" s="820"/>
      <c r="AF65" s="1240"/>
      <c r="AG65" s="1240"/>
      <c r="AH65" s="1240"/>
      <c r="AI65" s="1240"/>
      <c r="AJ65" s="1240"/>
      <c r="AK65" s="1240"/>
      <c r="AL65" s="1240"/>
      <c r="AM65" s="1240"/>
      <c r="AN65" s="1240"/>
      <c r="AO65" s="1240"/>
      <c r="AP65" s="1240"/>
      <c r="AQ65" s="1240"/>
      <c r="AR65" s="1240"/>
      <c r="AS65" s="1240"/>
      <c r="AT65" s="1240"/>
      <c r="AU65" s="1240"/>
      <c r="AV65" s="1240"/>
      <c r="AW65" s="1240"/>
      <c r="AX65" s="1240"/>
      <c r="AY65" s="1240"/>
      <c r="AZ65" s="1240"/>
      <c r="BA65" s="1240"/>
      <c r="BB65" s="1240"/>
      <c r="BC65" s="1240"/>
      <c r="BD65" s="1240"/>
      <c r="BE65" s="1240"/>
      <c r="BF65" s="1240"/>
      <c r="BG65" s="1240"/>
      <c r="BH65" s="1240"/>
      <c r="BI65" s="1240"/>
      <c r="BJ65" s="1240"/>
      <c r="BK65" s="1240"/>
      <c r="BL65" s="1240"/>
      <c r="BM65" s="1240"/>
      <c r="BN65" s="1240"/>
      <c r="BO65" s="1240"/>
      <c r="BP65" s="1240"/>
      <c r="BQ65" s="1240"/>
      <c r="BR65" s="1240"/>
      <c r="BS65" s="1240"/>
      <c r="BT65" s="1240"/>
      <c r="BU65" s="1240"/>
      <c r="BV65" s="1240"/>
      <c r="BW65" s="1240"/>
      <c r="BX65" s="1240"/>
      <c r="BY65" s="1240"/>
      <c r="BZ65" s="1240"/>
      <c r="CA65" s="1240"/>
      <c r="CB65" s="1240"/>
      <c r="CC65" s="1240"/>
      <c r="CD65" s="1240"/>
      <c r="CE65" s="1240"/>
      <c r="CF65" s="1240"/>
      <c r="CG65" s="1240"/>
      <c r="CH65" s="1240"/>
      <c r="CI65" s="1240"/>
      <c r="CJ65" s="1240"/>
      <c r="CK65" s="1240"/>
      <c r="CL65" s="1240"/>
      <c r="CM65" s="1240"/>
      <c r="CN65" s="1240"/>
      <c r="CO65" s="1240"/>
      <c r="CP65" s="1240"/>
      <c r="CQ65" s="1240"/>
      <c r="CR65" s="1240"/>
      <c r="CS65" s="1240"/>
      <c r="CT65" s="1240"/>
      <c r="CU65" s="1240"/>
      <c r="CV65" s="1240"/>
      <c r="CW65" s="1240"/>
      <c r="CX65" s="1240"/>
      <c r="CY65" s="1240"/>
      <c r="CZ65" s="1240"/>
      <c r="DA65" s="1240"/>
      <c r="DB65" s="1240"/>
      <c r="DC65" s="1240"/>
      <c r="DD65" s="1240"/>
      <c r="DE65" s="1240"/>
      <c r="DF65" s="1240"/>
      <c r="DG65" s="1240"/>
      <c r="DH65" s="1240"/>
      <c r="DI65" s="1240"/>
      <c r="DJ65" s="1240"/>
      <c r="DK65" s="1240"/>
      <c r="DL65" s="1240"/>
      <c r="DM65" s="1240"/>
      <c r="DN65" s="1240"/>
      <c r="DO65" s="1240"/>
      <c r="DP65" s="1240"/>
      <c r="DQ65" s="1240"/>
      <c r="DR65" s="1240"/>
      <c r="DS65" s="1240"/>
      <c r="DT65" s="1240"/>
      <c r="DU65" s="1240"/>
      <c r="DV65" s="1240"/>
      <c r="DW65" s="1240"/>
      <c r="DX65" s="1240"/>
      <c r="DY65" s="1240"/>
      <c r="DZ65" s="1240"/>
      <c r="EA65" s="1240"/>
      <c r="EB65" s="1240"/>
      <c r="EC65" s="1240"/>
      <c r="ED65" s="1240"/>
      <c r="EE65" s="1240"/>
      <c r="EF65" s="1240"/>
      <c r="EG65" s="1240"/>
      <c r="EH65" s="1240"/>
      <c r="EI65" s="1240"/>
      <c r="EJ65" s="1240"/>
      <c r="EK65" s="1240"/>
      <c r="EL65" s="1240"/>
      <c r="EM65" s="1240"/>
      <c r="EN65" s="1240"/>
      <c r="EO65" s="1240"/>
      <c r="EP65" s="1240"/>
      <c r="EQ65" s="1240"/>
      <c r="ER65" s="1240"/>
      <c r="ES65" s="1240"/>
      <c r="ET65" s="1240"/>
      <c r="EU65" s="1240"/>
      <c r="EV65" s="1240"/>
      <c r="EW65" s="1240"/>
      <c r="EX65" s="1240"/>
      <c r="EY65" s="1240"/>
      <c r="EZ65" s="1240"/>
      <c r="FA65" s="1240"/>
      <c r="FB65" s="1240"/>
      <c r="FC65" s="1240"/>
      <c r="FD65" s="1240"/>
      <c r="FE65" s="1240"/>
      <c r="FF65" s="1240"/>
      <c r="FG65" s="1240"/>
      <c r="FH65" s="1240"/>
      <c r="FI65" s="1240"/>
      <c r="FJ65" s="1240"/>
      <c r="FK65" s="1240"/>
      <c r="FL65" s="1240"/>
      <c r="FM65" s="1240"/>
      <c r="FN65" s="1240"/>
      <c r="FO65" s="1240"/>
      <c r="FP65" s="1240"/>
      <c r="FQ65" s="1240"/>
      <c r="FR65" s="1240"/>
      <c r="FS65" s="1240"/>
      <c r="FT65" s="1240"/>
      <c r="FU65" s="1240"/>
      <c r="FV65" s="1240"/>
      <c r="FW65" s="1240"/>
      <c r="FX65" s="1240"/>
      <c r="FY65" s="1240"/>
      <c r="FZ65" s="1240"/>
      <c r="GA65" s="1240"/>
      <c r="GB65" s="1240"/>
      <c r="GC65" s="1240"/>
      <c r="GD65" s="1240"/>
      <c r="GE65" s="1240"/>
      <c r="GF65" s="1240"/>
      <c r="GG65" s="1240"/>
      <c r="GH65" s="1240"/>
      <c r="GI65" s="1240"/>
      <c r="GJ65" s="1240"/>
      <c r="GK65" s="1240"/>
      <c r="GL65" s="1240"/>
      <c r="GM65" s="1240"/>
      <c r="GN65" s="1240"/>
      <c r="GO65" s="1240"/>
      <c r="GP65" s="1240"/>
      <c r="GQ65" s="1240"/>
      <c r="GR65" s="1240"/>
      <c r="GS65" s="1240"/>
      <c r="GT65" s="1240"/>
      <c r="GU65" s="1240"/>
      <c r="GV65" s="1240"/>
      <c r="GW65" s="1240"/>
      <c r="GX65" s="1240"/>
      <c r="GY65" s="1240"/>
      <c r="GZ65" s="1240"/>
      <c r="HA65" s="1240"/>
      <c r="HB65" s="1240"/>
      <c r="HC65" s="1240"/>
      <c r="HD65" s="1240"/>
      <c r="HE65" s="1240"/>
      <c r="HF65" s="1240"/>
      <c r="HG65" s="1240"/>
      <c r="HH65" s="1240"/>
      <c r="HI65" s="1240"/>
      <c r="HJ65" s="1240"/>
      <c r="HK65" s="1240"/>
      <c r="HL65" s="1240"/>
      <c r="HM65" s="1240"/>
      <c r="HN65" s="1240"/>
      <c r="HO65" s="1240"/>
      <c r="HP65" s="1240"/>
      <c r="HQ65" s="1240"/>
      <c r="HR65" s="1240"/>
      <c r="HS65" s="1240"/>
      <c r="HT65" s="1240"/>
      <c r="HU65" s="1240"/>
      <c r="HV65" s="1240"/>
      <c r="HW65" s="1240"/>
      <c r="HX65" s="1240"/>
      <c r="HY65" s="1240"/>
      <c r="HZ65" s="1240"/>
      <c r="IA65" s="1240"/>
      <c r="IB65" s="1240"/>
      <c r="IC65" s="1240"/>
      <c r="ID65" s="1240"/>
      <c r="IE65" s="1240"/>
      <c r="IF65" s="1240"/>
      <c r="IG65" s="1240"/>
      <c r="IH65" s="1240"/>
      <c r="II65" s="1240"/>
      <c r="IJ65" s="1240"/>
      <c r="IK65" s="1240"/>
      <c r="IL65" s="1240"/>
      <c r="IM65" s="1240"/>
      <c r="IN65" s="1240"/>
      <c r="IO65" s="1240"/>
      <c r="IP65" s="1240"/>
    </row>
    <row r="66" spans="1:250" ht="27.75" customHeight="1" thickTop="1">
      <c r="A66" s="1238"/>
      <c r="B66" s="1239"/>
      <c r="C66" s="1239"/>
      <c r="D66" s="1239"/>
      <c r="E66" s="1239"/>
      <c r="F66" s="1239"/>
      <c r="G66" s="1239"/>
      <c r="H66" s="820"/>
      <c r="I66" s="820"/>
      <c r="J66" s="820"/>
      <c r="K66" s="820"/>
      <c r="L66" s="820"/>
      <c r="M66" s="820"/>
      <c r="AF66" s="1240"/>
      <c r="AG66" s="1240"/>
      <c r="AH66" s="1240"/>
      <c r="AI66" s="1240"/>
      <c r="AJ66" s="1240"/>
      <c r="AK66" s="1240"/>
      <c r="AL66" s="1240"/>
      <c r="AM66" s="1240"/>
      <c r="AN66" s="1240"/>
      <c r="AO66" s="1240"/>
      <c r="AP66" s="1240"/>
      <c r="AQ66" s="1240"/>
      <c r="AR66" s="1240"/>
      <c r="AS66" s="1240"/>
      <c r="AT66" s="1240"/>
      <c r="AU66" s="1240"/>
      <c r="AV66" s="1240"/>
      <c r="AW66" s="1240"/>
      <c r="AX66" s="1240"/>
      <c r="AY66" s="1240"/>
      <c r="AZ66" s="1240"/>
      <c r="BA66" s="1240"/>
      <c r="BB66" s="1240"/>
      <c r="BC66" s="1240"/>
      <c r="BD66" s="1240"/>
      <c r="BE66" s="1240"/>
      <c r="BF66" s="1240"/>
      <c r="BG66" s="1240"/>
      <c r="BH66" s="1240"/>
      <c r="BI66" s="1240"/>
      <c r="BJ66" s="1240"/>
      <c r="BK66" s="1240"/>
      <c r="BL66" s="1240"/>
      <c r="BM66" s="1240"/>
      <c r="BN66" s="1240"/>
      <c r="BO66" s="1240"/>
      <c r="BP66" s="1240"/>
      <c r="BQ66" s="1240"/>
      <c r="BR66" s="1240"/>
      <c r="BS66" s="1240"/>
      <c r="BT66" s="1240"/>
      <c r="BU66" s="1240"/>
      <c r="BV66" s="1240"/>
      <c r="BW66" s="1240"/>
      <c r="BX66" s="1240"/>
      <c r="BY66" s="1240"/>
      <c r="BZ66" s="1240"/>
      <c r="CA66" s="1240"/>
      <c r="CB66" s="1240"/>
      <c r="CC66" s="1240"/>
      <c r="CD66" s="1240"/>
      <c r="CE66" s="1240"/>
      <c r="CF66" s="1240"/>
      <c r="CG66" s="1240"/>
      <c r="CH66" s="1240"/>
      <c r="CI66" s="1240"/>
      <c r="CJ66" s="1240"/>
      <c r="CK66" s="1240"/>
      <c r="CL66" s="1240"/>
      <c r="CM66" s="1240"/>
      <c r="CN66" s="1240"/>
      <c r="CO66" s="1240"/>
      <c r="CP66" s="1240"/>
      <c r="CQ66" s="1240"/>
      <c r="CR66" s="1240"/>
      <c r="CS66" s="1240"/>
      <c r="CT66" s="1240"/>
      <c r="CU66" s="1240"/>
      <c r="CV66" s="1240"/>
      <c r="CW66" s="1240"/>
      <c r="CX66" s="1240"/>
      <c r="CY66" s="1240"/>
      <c r="CZ66" s="1240"/>
      <c r="DA66" s="1240"/>
      <c r="DB66" s="1240"/>
      <c r="DC66" s="1240"/>
      <c r="DD66" s="1240"/>
      <c r="DE66" s="1240"/>
      <c r="DF66" s="1240"/>
      <c r="DG66" s="1240"/>
      <c r="DH66" s="1240"/>
      <c r="DI66" s="1240"/>
      <c r="DJ66" s="1240"/>
      <c r="DK66" s="1240"/>
      <c r="DL66" s="1240"/>
      <c r="DM66" s="1240"/>
      <c r="DN66" s="1240"/>
      <c r="DO66" s="1240"/>
      <c r="DP66" s="1240"/>
      <c r="DQ66" s="1240"/>
      <c r="DR66" s="1240"/>
      <c r="DS66" s="1240"/>
      <c r="DT66" s="1240"/>
      <c r="DU66" s="1240"/>
      <c r="DV66" s="1240"/>
      <c r="DW66" s="1240"/>
      <c r="DX66" s="1240"/>
      <c r="DY66" s="1240"/>
      <c r="DZ66" s="1240"/>
      <c r="EA66" s="1240"/>
      <c r="EB66" s="1240"/>
      <c r="EC66" s="1240"/>
      <c r="ED66" s="1240"/>
      <c r="EE66" s="1240"/>
      <c r="EF66" s="1240"/>
      <c r="EG66" s="1240"/>
      <c r="EH66" s="1240"/>
      <c r="EI66" s="1240"/>
      <c r="EJ66" s="1240"/>
      <c r="EK66" s="1240"/>
      <c r="EL66" s="1240"/>
      <c r="EM66" s="1240"/>
      <c r="EN66" s="1240"/>
      <c r="EO66" s="1240"/>
      <c r="EP66" s="1240"/>
      <c r="EQ66" s="1240"/>
      <c r="ER66" s="1240"/>
      <c r="ES66" s="1240"/>
      <c r="ET66" s="1240"/>
      <c r="EU66" s="1240"/>
      <c r="EV66" s="1240"/>
      <c r="EW66" s="1240"/>
      <c r="EX66" s="1240"/>
      <c r="EY66" s="1240"/>
      <c r="EZ66" s="1240"/>
      <c r="FA66" s="1240"/>
      <c r="FB66" s="1240"/>
      <c r="FC66" s="1240"/>
      <c r="FD66" s="1240"/>
      <c r="FE66" s="1240"/>
      <c r="FF66" s="1240"/>
      <c r="FG66" s="1240"/>
      <c r="FH66" s="1240"/>
      <c r="FI66" s="1240"/>
      <c r="FJ66" s="1240"/>
      <c r="FK66" s="1240"/>
      <c r="FL66" s="1240"/>
      <c r="FM66" s="1240"/>
      <c r="FN66" s="1240"/>
      <c r="FO66" s="1240"/>
      <c r="FP66" s="1240"/>
      <c r="FQ66" s="1240"/>
      <c r="FR66" s="1240"/>
      <c r="FS66" s="1240"/>
      <c r="FT66" s="1240"/>
      <c r="FU66" s="1240"/>
      <c r="FV66" s="1240"/>
      <c r="FW66" s="1240"/>
      <c r="FX66" s="1240"/>
      <c r="FY66" s="1240"/>
      <c r="FZ66" s="1240"/>
      <c r="GA66" s="1240"/>
      <c r="GB66" s="1240"/>
      <c r="GC66" s="1240"/>
      <c r="GD66" s="1240"/>
      <c r="GE66" s="1240"/>
      <c r="GF66" s="1240"/>
      <c r="GG66" s="1240"/>
      <c r="GH66" s="1240"/>
      <c r="GI66" s="1240"/>
      <c r="GJ66" s="1240"/>
      <c r="GK66" s="1240"/>
      <c r="GL66" s="1240"/>
      <c r="GM66" s="1240"/>
      <c r="GN66" s="1240"/>
      <c r="GO66" s="1240"/>
      <c r="GP66" s="1240"/>
      <c r="GQ66" s="1240"/>
      <c r="GR66" s="1240"/>
      <c r="GS66" s="1240"/>
      <c r="GT66" s="1240"/>
      <c r="GU66" s="1240"/>
      <c r="GV66" s="1240"/>
      <c r="GW66" s="1240"/>
      <c r="GX66" s="1240"/>
      <c r="GY66" s="1240"/>
      <c r="GZ66" s="1240"/>
      <c r="HA66" s="1240"/>
      <c r="HB66" s="1240"/>
      <c r="HC66" s="1240"/>
      <c r="HD66" s="1240"/>
      <c r="HE66" s="1240"/>
      <c r="HF66" s="1240"/>
      <c r="HG66" s="1240"/>
      <c r="HH66" s="1240"/>
      <c r="HI66" s="1240"/>
      <c r="HJ66" s="1240"/>
      <c r="HK66" s="1240"/>
      <c r="HL66" s="1240"/>
      <c r="HM66" s="1240"/>
      <c r="HN66" s="1240"/>
      <c r="HO66" s="1240"/>
      <c r="HP66" s="1240"/>
      <c r="HQ66" s="1240"/>
      <c r="HR66" s="1240"/>
      <c r="HS66" s="1240"/>
      <c r="HT66" s="1240"/>
      <c r="HU66" s="1240"/>
      <c r="HV66" s="1240"/>
      <c r="HW66" s="1240"/>
      <c r="HX66" s="1240"/>
      <c r="HY66" s="1240"/>
      <c r="HZ66" s="1240"/>
      <c r="IA66" s="1240"/>
      <c r="IB66" s="1240"/>
      <c r="IC66" s="1240"/>
      <c r="ID66" s="1240"/>
      <c r="IE66" s="1240"/>
      <c r="IF66" s="1240"/>
      <c r="IG66" s="1240"/>
      <c r="IH66" s="1240"/>
      <c r="II66" s="1240"/>
      <c r="IJ66" s="1240"/>
      <c r="IK66" s="1240"/>
      <c r="IL66" s="1240"/>
      <c r="IM66" s="1240"/>
      <c r="IN66" s="1240"/>
      <c r="IO66" s="1240"/>
      <c r="IP66" s="1240"/>
    </row>
    <row r="67" spans="1:250" ht="21">
      <c r="A67" s="1238"/>
      <c r="B67" s="1235"/>
      <c r="C67" s="1235"/>
      <c r="D67" s="1235"/>
      <c r="E67" s="1235"/>
      <c r="F67" s="1235"/>
      <c r="G67" s="1235"/>
      <c r="H67" s="820"/>
      <c r="I67" s="820"/>
      <c r="J67" s="820"/>
      <c r="K67" s="820"/>
      <c r="L67" s="820"/>
      <c r="M67" s="820"/>
      <c r="AF67" s="1240"/>
      <c r="AG67" s="1240"/>
      <c r="AH67" s="1240"/>
      <c r="AI67" s="1240"/>
      <c r="AJ67" s="1240"/>
      <c r="AK67" s="1240"/>
      <c r="AL67" s="1240"/>
      <c r="AM67" s="1240"/>
      <c r="AN67" s="1240"/>
      <c r="AO67" s="1240"/>
      <c r="AP67" s="1240"/>
      <c r="AQ67" s="1240"/>
      <c r="AR67" s="1240"/>
      <c r="AS67" s="1240"/>
      <c r="AT67" s="1240"/>
      <c r="AU67" s="1240"/>
      <c r="AV67" s="1240"/>
      <c r="AW67" s="1240"/>
      <c r="AX67" s="1240"/>
      <c r="AY67" s="1240"/>
      <c r="AZ67" s="1240"/>
      <c r="BA67" s="1240"/>
      <c r="BB67" s="1240"/>
      <c r="BC67" s="1240"/>
      <c r="BD67" s="1240"/>
      <c r="BE67" s="1240"/>
      <c r="BF67" s="1240"/>
      <c r="BG67" s="1240"/>
      <c r="BH67" s="1240"/>
      <c r="BI67" s="1240"/>
      <c r="BJ67" s="1240"/>
      <c r="BK67" s="1240"/>
      <c r="BL67" s="1240"/>
      <c r="BM67" s="1240"/>
      <c r="BN67" s="1240"/>
      <c r="BO67" s="1240"/>
      <c r="BP67" s="1240"/>
      <c r="BQ67" s="1240"/>
      <c r="BR67" s="1240"/>
      <c r="BS67" s="1240"/>
      <c r="BT67" s="1240"/>
      <c r="BU67" s="1240"/>
      <c r="BV67" s="1240"/>
      <c r="BW67" s="1240"/>
      <c r="BX67" s="1240"/>
      <c r="BY67" s="1240"/>
      <c r="BZ67" s="1240"/>
      <c r="CA67" s="1240"/>
      <c r="CB67" s="1240"/>
      <c r="CC67" s="1240"/>
      <c r="CD67" s="1240"/>
      <c r="CE67" s="1240"/>
      <c r="CF67" s="1240"/>
      <c r="CG67" s="1240"/>
      <c r="CH67" s="1240"/>
      <c r="CI67" s="1240"/>
      <c r="CJ67" s="1240"/>
      <c r="CK67" s="1240"/>
      <c r="CL67" s="1240"/>
      <c r="CM67" s="1240"/>
      <c r="CN67" s="1240"/>
      <c r="CO67" s="1240"/>
      <c r="CP67" s="1240"/>
      <c r="CQ67" s="1240"/>
      <c r="CR67" s="1240"/>
      <c r="CS67" s="1240"/>
      <c r="CT67" s="1240"/>
      <c r="CU67" s="1240"/>
      <c r="CV67" s="1240"/>
      <c r="CW67" s="1240"/>
      <c r="CX67" s="1240"/>
      <c r="CY67" s="1240"/>
      <c r="CZ67" s="1240"/>
      <c r="DA67" s="1240"/>
      <c r="DB67" s="1240"/>
      <c r="DC67" s="1240"/>
      <c r="DD67" s="1240"/>
      <c r="DE67" s="1240"/>
      <c r="DF67" s="1240"/>
      <c r="DG67" s="1240"/>
      <c r="DH67" s="1240"/>
      <c r="DI67" s="1240"/>
      <c r="DJ67" s="1240"/>
      <c r="DK67" s="1240"/>
      <c r="DL67" s="1240"/>
      <c r="DM67" s="1240"/>
      <c r="DN67" s="1240"/>
      <c r="DO67" s="1240"/>
      <c r="DP67" s="1240"/>
      <c r="DQ67" s="1240"/>
      <c r="DR67" s="1240"/>
      <c r="DS67" s="1240"/>
      <c r="DT67" s="1240"/>
      <c r="DU67" s="1240"/>
      <c r="DV67" s="1240"/>
      <c r="DW67" s="1240"/>
      <c r="DX67" s="1240"/>
      <c r="DY67" s="1240"/>
      <c r="DZ67" s="1240"/>
      <c r="EA67" s="1240"/>
      <c r="EB67" s="1240"/>
      <c r="EC67" s="1240"/>
      <c r="ED67" s="1240"/>
      <c r="EE67" s="1240"/>
      <c r="EF67" s="1240"/>
      <c r="EG67" s="1240"/>
      <c r="EH67" s="1240"/>
      <c r="EI67" s="1240"/>
      <c r="EJ67" s="1240"/>
      <c r="EK67" s="1240"/>
      <c r="EL67" s="1240"/>
      <c r="EM67" s="1240"/>
      <c r="EN67" s="1240"/>
      <c r="EO67" s="1240"/>
      <c r="EP67" s="1240"/>
      <c r="EQ67" s="1240"/>
      <c r="ER67" s="1240"/>
      <c r="ES67" s="1240"/>
      <c r="ET67" s="1240"/>
      <c r="EU67" s="1240"/>
      <c r="EV67" s="1240"/>
      <c r="EW67" s="1240"/>
      <c r="EX67" s="1240"/>
      <c r="EY67" s="1240"/>
      <c r="EZ67" s="1240"/>
      <c r="FA67" s="1240"/>
      <c r="FB67" s="1240"/>
      <c r="FC67" s="1240"/>
      <c r="FD67" s="1240"/>
      <c r="FE67" s="1240"/>
      <c r="FF67" s="1240"/>
      <c r="FG67" s="1240"/>
      <c r="FH67" s="1240"/>
      <c r="FI67" s="1240"/>
      <c r="FJ67" s="1240"/>
      <c r="FK67" s="1240"/>
      <c r="FL67" s="1240"/>
      <c r="FM67" s="1240"/>
      <c r="FN67" s="1240"/>
      <c r="FO67" s="1240"/>
      <c r="FP67" s="1240"/>
      <c r="FQ67" s="1240"/>
      <c r="FR67" s="1240"/>
      <c r="FS67" s="1240"/>
      <c r="FT67" s="1240"/>
      <c r="FU67" s="1240"/>
      <c r="FV67" s="1240"/>
      <c r="FW67" s="1240"/>
      <c r="FX67" s="1240"/>
      <c r="FY67" s="1240"/>
      <c r="FZ67" s="1240"/>
      <c r="GA67" s="1240"/>
      <c r="GB67" s="1240"/>
      <c r="GC67" s="1240"/>
      <c r="GD67" s="1240"/>
      <c r="GE67" s="1240"/>
      <c r="GF67" s="1240"/>
      <c r="GG67" s="1240"/>
      <c r="GH67" s="1240"/>
      <c r="GI67" s="1240"/>
      <c r="GJ67" s="1240"/>
      <c r="GK67" s="1240"/>
      <c r="GL67" s="1240"/>
      <c r="GM67" s="1240"/>
      <c r="GN67" s="1240"/>
      <c r="GO67" s="1240"/>
      <c r="GP67" s="1240"/>
      <c r="GQ67" s="1240"/>
      <c r="GR67" s="1240"/>
      <c r="GS67" s="1240"/>
      <c r="GT67" s="1240"/>
      <c r="GU67" s="1240"/>
      <c r="GV67" s="1240"/>
      <c r="GW67" s="1240"/>
      <c r="GX67" s="1240"/>
      <c r="GY67" s="1240"/>
      <c r="GZ67" s="1240"/>
      <c r="HA67" s="1240"/>
      <c r="HB67" s="1240"/>
      <c r="HC67" s="1240"/>
      <c r="HD67" s="1240"/>
      <c r="HE67" s="1240"/>
      <c r="HF67" s="1240"/>
      <c r="HG67" s="1240"/>
      <c r="HH67" s="1240"/>
      <c r="HI67" s="1240"/>
      <c r="HJ67" s="1240"/>
      <c r="HK67" s="1240"/>
      <c r="HL67" s="1240"/>
      <c r="HM67" s="1240"/>
      <c r="HN67" s="1240"/>
      <c r="HO67" s="1240"/>
      <c r="HP67" s="1240"/>
      <c r="HQ67" s="1240"/>
      <c r="HR67" s="1240"/>
      <c r="HS67" s="1240"/>
      <c r="HT67" s="1240"/>
      <c r="HU67" s="1240"/>
      <c r="HV67" s="1240"/>
      <c r="HW67" s="1240"/>
      <c r="HX67" s="1240"/>
      <c r="HY67" s="1240"/>
      <c r="HZ67" s="1240"/>
      <c r="IA67" s="1240"/>
      <c r="IB67" s="1240"/>
      <c r="IC67" s="1240"/>
      <c r="ID67" s="1240"/>
      <c r="IE67" s="1240"/>
      <c r="IF67" s="1240"/>
      <c r="IG67" s="1240"/>
      <c r="IH67" s="1240"/>
      <c r="II67" s="1240"/>
      <c r="IJ67" s="1240"/>
      <c r="IK67" s="1240"/>
      <c r="IL67" s="1240"/>
      <c r="IM67" s="1240"/>
      <c r="IN67" s="1240"/>
      <c r="IO67" s="1240"/>
      <c r="IP67" s="1240"/>
    </row>
    <row r="68" spans="1:250" ht="21">
      <c r="A68" s="838"/>
      <c r="B68" s="1235"/>
      <c r="C68" s="1235"/>
      <c r="D68" s="1235"/>
      <c r="E68" s="1235"/>
      <c r="F68" s="1235"/>
      <c r="G68" s="1235"/>
      <c r="H68" s="820"/>
      <c r="I68" s="820"/>
      <c r="J68" s="820"/>
      <c r="K68" s="820"/>
      <c r="L68" s="820"/>
      <c r="M68" s="820"/>
      <c r="AF68" s="1240"/>
      <c r="AG68" s="1240"/>
      <c r="AH68" s="1240"/>
      <c r="AI68" s="1240"/>
      <c r="AJ68" s="1240"/>
      <c r="AK68" s="1240"/>
      <c r="AL68" s="1240"/>
      <c r="AM68" s="1240"/>
      <c r="AN68" s="1240"/>
      <c r="AO68" s="1240"/>
      <c r="AP68" s="1240"/>
      <c r="AQ68" s="1240"/>
      <c r="AR68" s="1240"/>
      <c r="AS68" s="1240"/>
      <c r="AT68" s="1240"/>
      <c r="AU68" s="1240"/>
      <c r="AV68" s="1240"/>
      <c r="AW68" s="1240"/>
      <c r="AX68" s="1240"/>
      <c r="AY68" s="1240"/>
      <c r="AZ68" s="1240"/>
      <c r="BA68" s="1240"/>
      <c r="BB68" s="1240"/>
      <c r="BC68" s="1240"/>
      <c r="BD68" s="1240"/>
      <c r="BE68" s="1240"/>
      <c r="BF68" s="1240"/>
      <c r="BG68" s="1240"/>
      <c r="BH68" s="1240"/>
      <c r="BI68" s="1240"/>
      <c r="BJ68" s="1240"/>
      <c r="BK68" s="1240"/>
      <c r="BL68" s="1240"/>
      <c r="BM68" s="1240"/>
      <c r="BN68" s="1240"/>
      <c r="BO68" s="1240"/>
      <c r="BP68" s="1240"/>
      <c r="BQ68" s="1240"/>
      <c r="BR68" s="1240"/>
      <c r="BS68" s="1240"/>
      <c r="BT68" s="1240"/>
      <c r="BU68" s="1240"/>
      <c r="BV68" s="1240"/>
      <c r="BW68" s="1240"/>
      <c r="BX68" s="1240"/>
      <c r="BY68" s="1240"/>
      <c r="BZ68" s="1240"/>
      <c r="CA68" s="1240"/>
      <c r="CB68" s="1240"/>
      <c r="CC68" s="1240"/>
      <c r="CD68" s="1240"/>
      <c r="CE68" s="1240"/>
      <c r="CF68" s="1240"/>
      <c r="CG68" s="1240"/>
      <c r="CH68" s="1240"/>
      <c r="CI68" s="1240"/>
      <c r="CJ68" s="1240"/>
      <c r="CK68" s="1240"/>
      <c r="CL68" s="1240"/>
      <c r="CM68" s="1240"/>
      <c r="CN68" s="1240"/>
      <c r="CO68" s="1240"/>
      <c r="CP68" s="1240"/>
      <c r="CQ68" s="1240"/>
      <c r="CR68" s="1240"/>
      <c r="CS68" s="1240"/>
      <c r="CT68" s="1240"/>
      <c r="CU68" s="1240"/>
      <c r="CV68" s="1240"/>
      <c r="CW68" s="1240"/>
      <c r="CX68" s="1240"/>
      <c r="CY68" s="1240"/>
      <c r="CZ68" s="1240"/>
      <c r="DA68" s="1240"/>
      <c r="DB68" s="1240"/>
      <c r="DC68" s="1240"/>
      <c r="DD68" s="1240"/>
      <c r="DE68" s="1240"/>
      <c r="DF68" s="1240"/>
      <c r="DG68" s="1240"/>
      <c r="DH68" s="1240"/>
      <c r="DI68" s="1240"/>
      <c r="DJ68" s="1240"/>
      <c r="DK68" s="1240"/>
      <c r="DL68" s="1240"/>
      <c r="DM68" s="1240"/>
      <c r="DN68" s="1240"/>
      <c r="DO68" s="1240"/>
      <c r="DP68" s="1240"/>
      <c r="DQ68" s="1240"/>
      <c r="DR68" s="1240"/>
      <c r="DS68" s="1240"/>
      <c r="DT68" s="1240"/>
      <c r="DU68" s="1240"/>
      <c r="DV68" s="1240"/>
      <c r="DW68" s="1240"/>
      <c r="DX68" s="1240"/>
      <c r="DY68" s="1240"/>
      <c r="DZ68" s="1240"/>
      <c r="EA68" s="1240"/>
      <c r="EB68" s="1240"/>
      <c r="EC68" s="1240"/>
      <c r="ED68" s="1240"/>
      <c r="EE68" s="1240"/>
      <c r="EF68" s="1240"/>
      <c r="EG68" s="1240"/>
      <c r="EH68" s="1240"/>
      <c r="EI68" s="1240"/>
      <c r="EJ68" s="1240"/>
      <c r="EK68" s="1240"/>
      <c r="EL68" s="1240"/>
      <c r="EM68" s="1240"/>
      <c r="EN68" s="1240"/>
      <c r="EO68" s="1240"/>
      <c r="EP68" s="1240"/>
      <c r="EQ68" s="1240"/>
      <c r="ER68" s="1240"/>
      <c r="ES68" s="1240"/>
      <c r="ET68" s="1240"/>
      <c r="EU68" s="1240"/>
      <c r="EV68" s="1240"/>
      <c r="EW68" s="1240"/>
      <c r="EX68" s="1240"/>
      <c r="EY68" s="1240"/>
      <c r="EZ68" s="1240"/>
      <c r="FA68" s="1240"/>
      <c r="FB68" s="1240"/>
      <c r="FC68" s="1240"/>
      <c r="FD68" s="1240"/>
      <c r="FE68" s="1240"/>
      <c r="FF68" s="1240"/>
      <c r="FG68" s="1240"/>
      <c r="FH68" s="1240"/>
      <c r="FI68" s="1240"/>
      <c r="FJ68" s="1240"/>
      <c r="FK68" s="1240"/>
      <c r="FL68" s="1240"/>
      <c r="FM68" s="1240"/>
      <c r="FN68" s="1240"/>
      <c r="FO68" s="1240"/>
      <c r="FP68" s="1240"/>
      <c r="FQ68" s="1240"/>
      <c r="FR68" s="1240"/>
      <c r="FS68" s="1240"/>
      <c r="FT68" s="1240"/>
      <c r="FU68" s="1240"/>
      <c r="FV68" s="1240"/>
      <c r="FW68" s="1240"/>
      <c r="FX68" s="1240"/>
      <c r="FY68" s="1240"/>
      <c r="FZ68" s="1240"/>
      <c r="GA68" s="1240"/>
      <c r="GB68" s="1240"/>
      <c r="GC68" s="1240"/>
      <c r="GD68" s="1240"/>
      <c r="GE68" s="1240"/>
      <c r="GF68" s="1240"/>
      <c r="GG68" s="1240"/>
      <c r="GH68" s="1240"/>
      <c r="GI68" s="1240"/>
      <c r="GJ68" s="1240"/>
      <c r="GK68" s="1240"/>
      <c r="GL68" s="1240"/>
      <c r="GM68" s="1240"/>
      <c r="GN68" s="1240"/>
      <c r="GO68" s="1240"/>
      <c r="GP68" s="1240"/>
      <c r="GQ68" s="1240"/>
      <c r="GR68" s="1240"/>
      <c r="GS68" s="1240"/>
      <c r="GT68" s="1240"/>
      <c r="GU68" s="1240"/>
      <c r="GV68" s="1240"/>
      <c r="GW68" s="1240"/>
      <c r="GX68" s="1240"/>
      <c r="GY68" s="1240"/>
      <c r="GZ68" s="1240"/>
      <c r="HA68" s="1240"/>
      <c r="HB68" s="1240"/>
      <c r="HC68" s="1240"/>
      <c r="HD68" s="1240"/>
      <c r="HE68" s="1240"/>
      <c r="HF68" s="1240"/>
      <c r="HG68" s="1240"/>
      <c r="HH68" s="1240"/>
      <c r="HI68" s="1240"/>
      <c r="HJ68" s="1240"/>
      <c r="HK68" s="1240"/>
      <c r="HL68" s="1240"/>
      <c r="HM68" s="1240"/>
      <c r="HN68" s="1240"/>
      <c r="HO68" s="1240"/>
      <c r="HP68" s="1240"/>
      <c r="HQ68" s="1240"/>
      <c r="HR68" s="1240"/>
      <c r="HS68" s="1240"/>
      <c r="HT68" s="1240"/>
      <c r="HU68" s="1240"/>
      <c r="HV68" s="1240"/>
      <c r="HW68" s="1240"/>
      <c r="HX68" s="1240"/>
      <c r="HY68" s="1240"/>
      <c r="HZ68" s="1240"/>
      <c r="IA68" s="1240"/>
      <c r="IB68" s="1240"/>
      <c r="IC68" s="1240"/>
      <c r="ID68" s="1240"/>
      <c r="IE68" s="1240"/>
      <c r="IF68" s="1240"/>
      <c r="IG68" s="1240"/>
      <c r="IH68" s="1240"/>
      <c r="II68" s="1240"/>
      <c r="IJ68" s="1240"/>
      <c r="IK68" s="1240"/>
      <c r="IL68" s="1240"/>
      <c r="IM68" s="1240"/>
      <c r="IN68" s="1240"/>
      <c r="IO68" s="1240"/>
      <c r="IP68" s="1240"/>
    </row>
    <row r="69" spans="2:6" ht="21">
      <c r="B69" s="1337"/>
      <c r="D69" s="1338"/>
      <c r="F69" s="1337"/>
    </row>
    <row r="70" spans="2:6" ht="21">
      <c r="B70" s="1337"/>
      <c r="D70" s="1338"/>
      <c r="F70" s="1337"/>
    </row>
    <row r="71" spans="2:6" ht="21">
      <c r="B71" s="1337"/>
      <c r="D71" s="1338"/>
      <c r="F71" s="1337"/>
    </row>
    <row r="72" spans="2:6" ht="21">
      <c r="B72" s="1337"/>
      <c r="D72" s="1338"/>
      <c r="F72" s="1337"/>
    </row>
    <row r="73" spans="2:6" ht="21">
      <c r="B73" s="1337"/>
      <c r="D73" s="1338"/>
      <c r="F73" s="1337"/>
    </row>
    <row r="74" spans="2:6" ht="21">
      <c r="B74" s="1337"/>
      <c r="D74" s="1338"/>
      <c r="F74" s="1337"/>
    </row>
    <row r="75" spans="2:6" ht="21">
      <c r="B75" s="1337"/>
      <c r="D75" s="1338"/>
      <c r="F75" s="1337"/>
    </row>
  </sheetData>
  <sheetProtection/>
  <printOptions horizontalCentered="1" verticalCentered="1"/>
  <pageMargins left="0" right="0" top="0.25" bottom="0.25" header="0.25" footer="0.5"/>
  <pageSetup horizontalDpi="600" verticalDpi="600" orientation="portrait" scale="40" r:id="rId1"/>
  <headerFooter alignWithMargins="0">
    <oddHeader>&amp;L&amp;16&amp;YUnified Application for Housing Production Programs&amp;R&amp;16&amp;Yrevised - &amp;D</oddHeader>
  </headerFooter>
</worksheet>
</file>

<file path=xl/worksheets/sheet16.xml><?xml version="1.0" encoding="utf-8"?>
<worksheet xmlns="http://schemas.openxmlformats.org/spreadsheetml/2006/main" xmlns:r="http://schemas.openxmlformats.org/officeDocument/2006/relationships">
  <sheetPr codeName="Sheet11">
    <pageSetUpPr fitToPage="1"/>
  </sheetPr>
  <dimension ref="A1:AC58"/>
  <sheetViews>
    <sheetView showGridLines="0" zoomScale="75" zoomScaleNormal="75" zoomScalePageLayoutView="0" workbookViewId="0" topLeftCell="A1">
      <selection activeCell="I2" sqref="I2"/>
    </sheetView>
  </sheetViews>
  <sheetFormatPr defaultColWidth="7.10546875" defaultRowHeight="15"/>
  <cols>
    <col min="1" max="4" width="3.6640625" style="1340" customWidth="1"/>
    <col min="5" max="5" width="8.6640625" style="1340" customWidth="1"/>
    <col min="6" max="6" width="7.21484375" style="1340" bestFit="1" customWidth="1"/>
    <col min="7" max="7" width="7.10546875" style="1340" customWidth="1"/>
    <col min="8" max="8" width="8.5546875" style="1339" bestFit="1" customWidth="1"/>
    <col min="9" max="9" width="7.10546875" style="1340" customWidth="1"/>
    <col min="10" max="30" width="12.21484375" style="1340" customWidth="1"/>
    <col min="31" max="16384" width="7.10546875" style="1340" customWidth="1"/>
  </cols>
  <sheetData>
    <row r="1" spans="1:9" ht="15">
      <c r="A1" s="418" t="s">
        <v>1084</v>
      </c>
      <c r="B1" s="418"/>
      <c r="C1" s="418"/>
      <c r="D1" s="418"/>
      <c r="E1" s="418"/>
      <c r="F1" s="418"/>
      <c r="G1" s="418"/>
      <c r="I1" s="418" t="s">
        <v>1606</v>
      </c>
    </row>
    <row r="2" spans="2:10" ht="15">
      <c r="B2" s="418"/>
      <c r="C2" s="418"/>
      <c r="D2" s="418"/>
      <c r="E2" s="418"/>
      <c r="F2" s="418"/>
      <c r="G2" s="418"/>
      <c r="H2" s="419"/>
      <c r="I2" s="418"/>
      <c r="J2" s="418"/>
    </row>
    <row r="3" ht="15">
      <c r="A3" s="418" t="s">
        <v>1085</v>
      </c>
    </row>
    <row r="4" ht="15">
      <c r="A4" s="418"/>
    </row>
    <row r="5" spans="1:5" ht="17.25">
      <c r="A5" s="1618">
        <f>+Breakdown!C5</f>
        <v>0</v>
      </c>
      <c r="B5" s="1619"/>
      <c r="C5" s="1619"/>
      <c r="D5" s="1619"/>
      <c r="E5" s="1619"/>
    </row>
    <row r="6" spans="1:5" ht="17.25">
      <c r="A6" s="1618">
        <f>+Breakdown!C6</f>
        <v>0</v>
      </c>
      <c r="B6" s="1619"/>
      <c r="C6" s="1619"/>
      <c r="D6" s="1619"/>
      <c r="E6" s="1619"/>
    </row>
    <row r="7" spans="1:5" ht="17.25">
      <c r="A7" s="1618">
        <f>+Breakdown!C7</f>
        <v>0</v>
      </c>
      <c r="B7" s="1619"/>
      <c r="C7" s="1619"/>
      <c r="D7" s="1619"/>
      <c r="E7" s="1619"/>
    </row>
    <row r="8" spans="10:24" ht="15">
      <c r="J8" s="1341"/>
      <c r="K8" s="1341"/>
      <c r="L8" s="1341"/>
      <c r="M8" s="1341"/>
      <c r="N8" s="1341"/>
      <c r="O8" s="1341"/>
      <c r="P8" s="1341"/>
      <c r="Q8" s="1341"/>
      <c r="R8" s="1341"/>
      <c r="S8" s="1341"/>
      <c r="T8" s="1341"/>
      <c r="U8" s="1341"/>
      <c r="V8" s="1341"/>
      <c r="W8" s="1341"/>
      <c r="X8" s="1341"/>
    </row>
    <row r="9" spans="6:24" ht="15">
      <c r="F9" s="1341" t="s">
        <v>1086</v>
      </c>
      <c r="G9" s="1341"/>
      <c r="H9" s="1342" t="s">
        <v>1087</v>
      </c>
      <c r="I9" s="1341"/>
      <c r="J9" s="1341" t="s">
        <v>1088</v>
      </c>
      <c r="K9" s="1341" t="s">
        <v>1088</v>
      </c>
      <c r="L9" s="1341" t="s">
        <v>1088</v>
      </c>
      <c r="M9" s="1341" t="s">
        <v>1088</v>
      </c>
      <c r="N9" s="1341" t="s">
        <v>1088</v>
      </c>
      <c r="O9" s="1341" t="s">
        <v>1088</v>
      </c>
      <c r="P9" s="1341" t="s">
        <v>1088</v>
      </c>
      <c r="Q9" s="1341" t="s">
        <v>1088</v>
      </c>
      <c r="R9" s="1341" t="s">
        <v>1088</v>
      </c>
      <c r="S9" s="1341" t="s">
        <v>1088</v>
      </c>
      <c r="T9" s="1341" t="s">
        <v>1088</v>
      </c>
      <c r="U9" s="1341" t="s">
        <v>1088</v>
      </c>
      <c r="V9" s="1341" t="s">
        <v>1088</v>
      </c>
      <c r="W9" s="1341" t="s">
        <v>1088</v>
      </c>
      <c r="X9" s="1341" t="s">
        <v>1088</v>
      </c>
    </row>
    <row r="10" spans="6:24" ht="15">
      <c r="F10" s="1341" t="s">
        <v>1089</v>
      </c>
      <c r="G10" s="1341"/>
      <c r="H10" s="1342" t="s">
        <v>1090</v>
      </c>
      <c r="I10" s="1341"/>
      <c r="J10" s="1341">
        <v>1</v>
      </c>
      <c r="K10" s="1341">
        <f aca="true" t="shared" si="0" ref="K10:X10">+J10+1</f>
        <v>2</v>
      </c>
      <c r="L10" s="1341">
        <f t="shared" si="0"/>
        <v>3</v>
      </c>
      <c r="M10" s="1341">
        <f t="shared" si="0"/>
        <v>4</v>
      </c>
      <c r="N10" s="1341">
        <f t="shared" si="0"/>
        <v>5</v>
      </c>
      <c r="O10" s="1341">
        <f t="shared" si="0"/>
        <v>6</v>
      </c>
      <c r="P10" s="1341">
        <f t="shared" si="0"/>
        <v>7</v>
      </c>
      <c r="Q10" s="1341">
        <f t="shared" si="0"/>
        <v>8</v>
      </c>
      <c r="R10" s="1341">
        <f t="shared" si="0"/>
        <v>9</v>
      </c>
      <c r="S10" s="1341">
        <f t="shared" si="0"/>
        <v>10</v>
      </c>
      <c r="T10" s="1341">
        <f t="shared" si="0"/>
        <v>11</v>
      </c>
      <c r="U10" s="1341">
        <f t="shared" si="0"/>
        <v>12</v>
      </c>
      <c r="V10" s="1341">
        <f t="shared" si="0"/>
        <v>13</v>
      </c>
      <c r="W10" s="1341">
        <f t="shared" si="0"/>
        <v>14</v>
      </c>
      <c r="X10" s="1341">
        <f t="shared" si="0"/>
        <v>15</v>
      </c>
    </row>
    <row r="12" ht="15">
      <c r="A12" s="1340" t="s">
        <v>1091</v>
      </c>
    </row>
    <row r="13" spans="2:29" ht="15">
      <c r="B13" s="1340" t="s">
        <v>1092</v>
      </c>
      <c r="J13" s="1343"/>
      <c r="K13" s="1343"/>
      <c r="L13" s="1343"/>
      <c r="M13" s="1343"/>
      <c r="N13" s="1343"/>
      <c r="O13" s="1343"/>
      <c r="P13" s="1343"/>
      <c r="Q13" s="1343"/>
      <c r="R13" s="1343"/>
      <c r="S13" s="1343"/>
      <c r="T13" s="1343"/>
      <c r="U13" s="1343"/>
      <c r="V13" s="1343"/>
      <c r="W13" s="1343"/>
      <c r="X13" s="1343"/>
      <c r="Y13" s="1343"/>
      <c r="Z13" s="1343"/>
      <c r="AA13" s="1343"/>
      <c r="AB13" s="1343"/>
      <c r="AC13" s="1343"/>
    </row>
    <row r="14" spans="3:29" ht="15">
      <c r="C14" s="1340" t="s">
        <v>1093</v>
      </c>
      <c r="H14" s="430">
        <v>0.02</v>
      </c>
      <c r="J14" s="1344">
        <f>+'Rent Qual. Chart'!N31</f>
        <v>0</v>
      </c>
      <c r="K14" s="1345">
        <f aca="true" t="shared" si="1" ref="K14:X17">INT((1+$H14)*J14)</f>
        <v>0</v>
      </c>
      <c r="L14" s="1345">
        <f t="shared" si="1"/>
        <v>0</v>
      </c>
      <c r="M14" s="1345">
        <f t="shared" si="1"/>
        <v>0</v>
      </c>
      <c r="N14" s="1345">
        <f t="shared" si="1"/>
        <v>0</v>
      </c>
      <c r="O14" s="1345">
        <f t="shared" si="1"/>
        <v>0</v>
      </c>
      <c r="P14" s="1345">
        <f t="shared" si="1"/>
        <v>0</v>
      </c>
      <c r="Q14" s="1345">
        <f t="shared" si="1"/>
        <v>0</v>
      </c>
      <c r="R14" s="1345">
        <f t="shared" si="1"/>
        <v>0</v>
      </c>
      <c r="S14" s="1345">
        <f t="shared" si="1"/>
        <v>0</v>
      </c>
      <c r="T14" s="1345">
        <f t="shared" si="1"/>
        <v>0</v>
      </c>
      <c r="U14" s="1345">
        <f t="shared" si="1"/>
        <v>0</v>
      </c>
      <c r="V14" s="1345">
        <f t="shared" si="1"/>
        <v>0</v>
      </c>
      <c r="W14" s="1345">
        <f t="shared" si="1"/>
        <v>0</v>
      </c>
      <c r="X14" s="1345">
        <f t="shared" si="1"/>
        <v>0</v>
      </c>
      <c r="Y14" s="1343"/>
      <c r="Z14" s="1343"/>
      <c r="AA14" s="1340" t="s">
        <v>1094</v>
      </c>
      <c r="AB14" s="1343"/>
      <c r="AC14" s="1343"/>
    </row>
    <row r="15" spans="3:29" ht="15">
      <c r="C15" s="1340" t="s">
        <v>1095</v>
      </c>
      <c r="H15" s="430">
        <v>0.01</v>
      </c>
      <c r="J15" s="1344"/>
      <c r="K15" s="1345">
        <f t="shared" si="1"/>
        <v>0</v>
      </c>
      <c r="L15" s="1345">
        <f t="shared" si="1"/>
        <v>0</v>
      </c>
      <c r="M15" s="1345">
        <f t="shared" si="1"/>
        <v>0</v>
      </c>
      <c r="N15" s="1345">
        <f t="shared" si="1"/>
        <v>0</v>
      </c>
      <c r="O15" s="1345">
        <f t="shared" si="1"/>
        <v>0</v>
      </c>
      <c r="P15" s="1345">
        <f t="shared" si="1"/>
        <v>0</v>
      </c>
      <c r="Q15" s="1345">
        <f t="shared" si="1"/>
        <v>0</v>
      </c>
      <c r="R15" s="1345">
        <f t="shared" si="1"/>
        <v>0</v>
      </c>
      <c r="S15" s="1345">
        <f t="shared" si="1"/>
        <v>0</v>
      </c>
      <c r="T15" s="1345">
        <f t="shared" si="1"/>
        <v>0</v>
      </c>
      <c r="U15" s="1345">
        <f t="shared" si="1"/>
        <v>0</v>
      </c>
      <c r="V15" s="1345">
        <f t="shared" si="1"/>
        <v>0</v>
      </c>
      <c r="W15" s="1345">
        <f t="shared" si="1"/>
        <v>0</v>
      </c>
      <c r="X15" s="1345">
        <f t="shared" si="1"/>
        <v>0</v>
      </c>
      <c r="Y15" s="1343"/>
      <c r="Z15" s="1343"/>
      <c r="AA15" s="1345">
        <f>INT((1-F21-F22)*J14)</f>
        <v>0</v>
      </c>
      <c r="AB15" s="1343"/>
      <c r="AC15" s="1343"/>
    </row>
    <row r="16" spans="3:29" ht="15">
      <c r="C16" s="1340" t="s">
        <v>1096</v>
      </c>
      <c r="H16" s="430">
        <v>0.01</v>
      </c>
      <c r="J16" s="1344"/>
      <c r="K16" s="1345">
        <f t="shared" si="1"/>
        <v>0</v>
      </c>
      <c r="L16" s="1345">
        <f t="shared" si="1"/>
        <v>0</v>
      </c>
      <c r="M16" s="1345">
        <f t="shared" si="1"/>
        <v>0</v>
      </c>
      <c r="N16" s="1345">
        <f t="shared" si="1"/>
        <v>0</v>
      </c>
      <c r="O16" s="1345">
        <f t="shared" si="1"/>
        <v>0</v>
      </c>
      <c r="P16" s="1345">
        <f t="shared" si="1"/>
        <v>0</v>
      </c>
      <c r="Q16" s="1345">
        <f t="shared" si="1"/>
        <v>0</v>
      </c>
      <c r="R16" s="1345">
        <f t="shared" si="1"/>
        <v>0</v>
      </c>
      <c r="S16" s="1345">
        <f t="shared" si="1"/>
        <v>0</v>
      </c>
      <c r="T16" s="1345">
        <f t="shared" si="1"/>
        <v>0</v>
      </c>
      <c r="U16" s="1345">
        <f t="shared" si="1"/>
        <v>0</v>
      </c>
      <c r="V16" s="1345">
        <f t="shared" si="1"/>
        <v>0</v>
      </c>
      <c r="W16" s="1345">
        <f t="shared" si="1"/>
        <v>0</v>
      </c>
      <c r="X16" s="1345">
        <f t="shared" si="1"/>
        <v>0</v>
      </c>
      <c r="Y16" s="1343"/>
      <c r="Z16" s="1343"/>
      <c r="AB16" s="1343"/>
      <c r="AC16" s="1343"/>
    </row>
    <row r="17" spans="3:29" ht="15">
      <c r="C17" s="1346" t="s">
        <v>1097</v>
      </c>
      <c r="D17" s="1346"/>
      <c r="E17" s="1616"/>
      <c r="F17" s="1617"/>
      <c r="G17" s="1346"/>
      <c r="H17" s="431">
        <v>0.01</v>
      </c>
      <c r="I17" s="1346"/>
      <c r="J17" s="1347"/>
      <c r="K17" s="1348">
        <f t="shared" si="1"/>
        <v>0</v>
      </c>
      <c r="L17" s="1348">
        <f t="shared" si="1"/>
        <v>0</v>
      </c>
      <c r="M17" s="1348">
        <f t="shared" si="1"/>
        <v>0</v>
      </c>
      <c r="N17" s="1348">
        <f t="shared" si="1"/>
        <v>0</v>
      </c>
      <c r="O17" s="1348">
        <f t="shared" si="1"/>
        <v>0</v>
      </c>
      <c r="P17" s="1348">
        <f t="shared" si="1"/>
        <v>0</v>
      </c>
      <c r="Q17" s="1348">
        <f t="shared" si="1"/>
        <v>0</v>
      </c>
      <c r="R17" s="1348">
        <f t="shared" si="1"/>
        <v>0</v>
      </c>
      <c r="S17" s="1348">
        <f t="shared" si="1"/>
        <v>0</v>
      </c>
      <c r="T17" s="1348">
        <f t="shared" si="1"/>
        <v>0</v>
      </c>
      <c r="U17" s="1348">
        <f t="shared" si="1"/>
        <v>0</v>
      </c>
      <c r="V17" s="1348">
        <f t="shared" si="1"/>
        <v>0</v>
      </c>
      <c r="W17" s="1348">
        <f t="shared" si="1"/>
        <v>0</v>
      </c>
      <c r="X17" s="1348">
        <f t="shared" si="1"/>
        <v>0</v>
      </c>
      <c r="Y17" s="1343"/>
      <c r="Z17" s="1343"/>
      <c r="AB17" s="1343"/>
      <c r="AC17" s="1343"/>
    </row>
    <row r="18" spans="3:29" ht="15">
      <c r="C18" s="1340" t="s">
        <v>1098</v>
      </c>
      <c r="J18" s="1345">
        <f aca="true" t="shared" si="2" ref="J18:X18">SUM(J14:J17)</f>
        <v>0</v>
      </c>
      <c r="K18" s="1345">
        <f t="shared" si="2"/>
        <v>0</v>
      </c>
      <c r="L18" s="1345">
        <f t="shared" si="2"/>
        <v>0</v>
      </c>
      <c r="M18" s="1345">
        <f t="shared" si="2"/>
        <v>0</v>
      </c>
      <c r="N18" s="1345">
        <f t="shared" si="2"/>
        <v>0</v>
      </c>
      <c r="O18" s="1345">
        <f t="shared" si="2"/>
        <v>0</v>
      </c>
      <c r="P18" s="1345">
        <f t="shared" si="2"/>
        <v>0</v>
      </c>
      <c r="Q18" s="1345">
        <f t="shared" si="2"/>
        <v>0</v>
      </c>
      <c r="R18" s="1345">
        <f t="shared" si="2"/>
        <v>0</v>
      </c>
      <c r="S18" s="1345">
        <f t="shared" si="2"/>
        <v>0</v>
      </c>
      <c r="T18" s="1345">
        <f t="shared" si="2"/>
        <v>0</v>
      </c>
      <c r="U18" s="1345">
        <f t="shared" si="2"/>
        <v>0</v>
      </c>
      <c r="V18" s="1345">
        <f t="shared" si="2"/>
        <v>0</v>
      </c>
      <c r="W18" s="1345">
        <f t="shared" si="2"/>
        <v>0</v>
      </c>
      <c r="X18" s="1345">
        <f t="shared" si="2"/>
        <v>0</v>
      </c>
      <c r="Y18" s="1343"/>
      <c r="Z18" s="1343"/>
      <c r="AB18" s="1343"/>
      <c r="AC18" s="1343"/>
    </row>
    <row r="19" spans="10:29" ht="15">
      <c r="J19" s="1345"/>
      <c r="K19" s="1345"/>
      <c r="L19" s="1345"/>
      <c r="M19" s="1345"/>
      <c r="N19" s="1345"/>
      <c r="O19" s="1345"/>
      <c r="P19" s="1345"/>
      <c r="Q19" s="1345"/>
      <c r="R19" s="1345"/>
      <c r="S19" s="1345"/>
      <c r="T19" s="1345"/>
      <c r="U19" s="1345"/>
      <c r="V19" s="1345"/>
      <c r="W19" s="1345"/>
      <c r="X19" s="1345"/>
      <c r="Y19" s="1343"/>
      <c r="Z19" s="1343"/>
      <c r="AB19" s="1343"/>
      <c r="AC19" s="1343"/>
    </row>
    <row r="20" spans="3:29" ht="15">
      <c r="C20" s="1340" t="s">
        <v>1099</v>
      </c>
      <c r="J20" s="1345"/>
      <c r="K20" s="1345"/>
      <c r="L20" s="1345"/>
      <c r="M20" s="1345"/>
      <c r="N20" s="1345"/>
      <c r="O20" s="1345"/>
      <c r="P20" s="1345"/>
      <c r="Q20" s="1345"/>
      <c r="R20" s="1345"/>
      <c r="S20" s="1345"/>
      <c r="T20" s="1345"/>
      <c r="U20" s="1345"/>
      <c r="V20" s="1345"/>
      <c r="W20" s="1345"/>
      <c r="X20" s="1345"/>
      <c r="Y20" s="1343"/>
      <c r="Z20" s="1343"/>
      <c r="AB20" s="1343"/>
      <c r="AC20" s="1343"/>
    </row>
    <row r="21" spans="4:29" ht="15">
      <c r="D21" s="1340" t="s">
        <v>1100</v>
      </c>
      <c r="F21" s="1349">
        <v>0.06</v>
      </c>
      <c r="J21" s="1345">
        <f aca="true" t="shared" si="3" ref="J21:X21">-ROUND($F21*J18,0)</f>
        <v>0</v>
      </c>
      <c r="K21" s="1345">
        <f t="shared" si="3"/>
        <v>0</v>
      </c>
      <c r="L21" s="1345">
        <f t="shared" si="3"/>
        <v>0</v>
      </c>
      <c r="M21" s="1345">
        <f t="shared" si="3"/>
        <v>0</v>
      </c>
      <c r="N21" s="1345">
        <f t="shared" si="3"/>
        <v>0</v>
      </c>
      <c r="O21" s="1345">
        <f t="shared" si="3"/>
        <v>0</v>
      </c>
      <c r="P21" s="1345">
        <f t="shared" si="3"/>
        <v>0</v>
      </c>
      <c r="Q21" s="1345">
        <f t="shared" si="3"/>
        <v>0</v>
      </c>
      <c r="R21" s="1345">
        <f t="shared" si="3"/>
        <v>0</v>
      </c>
      <c r="S21" s="1345">
        <f t="shared" si="3"/>
        <v>0</v>
      </c>
      <c r="T21" s="1345">
        <f t="shared" si="3"/>
        <v>0</v>
      </c>
      <c r="U21" s="1345">
        <f t="shared" si="3"/>
        <v>0</v>
      </c>
      <c r="V21" s="1345">
        <f t="shared" si="3"/>
        <v>0</v>
      </c>
      <c r="W21" s="1345">
        <f t="shared" si="3"/>
        <v>0</v>
      </c>
      <c r="X21" s="1345">
        <f t="shared" si="3"/>
        <v>0</v>
      </c>
      <c r="Y21" s="1343"/>
      <c r="Z21" s="1343"/>
      <c r="AB21" s="1343"/>
      <c r="AC21" s="1343"/>
    </row>
    <row r="22" spans="3:29" ht="15">
      <c r="C22" s="1346"/>
      <c r="D22" s="1346" t="s">
        <v>1101</v>
      </c>
      <c r="E22" s="1346"/>
      <c r="F22" s="1350">
        <v>0.01</v>
      </c>
      <c r="G22" s="1346"/>
      <c r="H22" s="1351"/>
      <c r="I22" s="1346"/>
      <c r="J22" s="1348">
        <f aca="true" t="shared" si="4" ref="J22:X22">-ROUND($F22*J18,0)</f>
        <v>0</v>
      </c>
      <c r="K22" s="1348">
        <f t="shared" si="4"/>
        <v>0</v>
      </c>
      <c r="L22" s="1348">
        <f t="shared" si="4"/>
        <v>0</v>
      </c>
      <c r="M22" s="1348">
        <f t="shared" si="4"/>
        <v>0</v>
      </c>
      <c r="N22" s="1348">
        <f t="shared" si="4"/>
        <v>0</v>
      </c>
      <c r="O22" s="1348">
        <f t="shared" si="4"/>
        <v>0</v>
      </c>
      <c r="P22" s="1348">
        <f t="shared" si="4"/>
        <v>0</v>
      </c>
      <c r="Q22" s="1348">
        <f t="shared" si="4"/>
        <v>0</v>
      </c>
      <c r="R22" s="1348">
        <f t="shared" si="4"/>
        <v>0</v>
      </c>
      <c r="S22" s="1348">
        <f t="shared" si="4"/>
        <v>0</v>
      </c>
      <c r="T22" s="1348">
        <f t="shared" si="4"/>
        <v>0</v>
      </c>
      <c r="U22" s="1348">
        <f t="shared" si="4"/>
        <v>0</v>
      </c>
      <c r="V22" s="1348">
        <f t="shared" si="4"/>
        <v>0</v>
      </c>
      <c r="W22" s="1348">
        <f t="shared" si="4"/>
        <v>0</v>
      </c>
      <c r="X22" s="1348">
        <f t="shared" si="4"/>
        <v>0</v>
      </c>
      <c r="Y22" s="1343"/>
      <c r="Z22" s="1343"/>
      <c r="AB22" s="1343"/>
      <c r="AC22" s="1343"/>
    </row>
    <row r="23" spans="3:29" s="418" customFormat="1" ht="15">
      <c r="C23" s="418" t="s">
        <v>1102</v>
      </c>
      <c r="H23" s="419"/>
      <c r="J23" s="420">
        <f aca="true" t="shared" si="5" ref="J23:X23">SUM(J18:J22)</f>
        <v>0</v>
      </c>
      <c r="K23" s="420">
        <f t="shared" si="5"/>
        <v>0</v>
      </c>
      <c r="L23" s="420">
        <f t="shared" si="5"/>
        <v>0</v>
      </c>
      <c r="M23" s="420">
        <f t="shared" si="5"/>
        <v>0</v>
      </c>
      <c r="N23" s="420">
        <f t="shared" si="5"/>
        <v>0</v>
      </c>
      <c r="O23" s="420">
        <f t="shared" si="5"/>
        <v>0</v>
      </c>
      <c r="P23" s="420">
        <f t="shared" si="5"/>
        <v>0</v>
      </c>
      <c r="Q23" s="420">
        <f t="shared" si="5"/>
        <v>0</v>
      </c>
      <c r="R23" s="420">
        <f t="shared" si="5"/>
        <v>0</v>
      </c>
      <c r="S23" s="420">
        <f t="shared" si="5"/>
        <v>0</v>
      </c>
      <c r="T23" s="420">
        <f t="shared" si="5"/>
        <v>0</v>
      </c>
      <c r="U23" s="420">
        <f t="shared" si="5"/>
        <v>0</v>
      </c>
      <c r="V23" s="420">
        <f t="shared" si="5"/>
        <v>0</v>
      </c>
      <c r="W23" s="420">
        <f t="shared" si="5"/>
        <v>0</v>
      </c>
      <c r="X23" s="420">
        <f t="shared" si="5"/>
        <v>0</v>
      </c>
      <c r="Y23" s="421"/>
      <c r="Z23" s="421"/>
      <c r="AA23" s="1340"/>
      <c r="AB23" s="421"/>
      <c r="AC23" s="421"/>
    </row>
    <row r="24" spans="8:29" s="418" customFormat="1" ht="15">
      <c r="H24" s="419"/>
      <c r="J24" s="420"/>
      <c r="K24" s="420"/>
      <c r="L24" s="420"/>
      <c r="M24" s="420"/>
      <c r="N24" s="420"/>
      <c r="O24" s="420"/>
      <c r="P24" s="420"/>
      <c r="Q24" s="420"/>
      <c r="R24" s="420"/>
      <c r="S24" s="420"/>
      <c r="T24" s="420"/>
      <c r="U24" s="420"/>
      <c r="V24" s="420"/>
      <c r="W24" s="420"/>
      <c r="X24" s="420"/>
      <c r="Y24" s="421"/>
      <c r="Z24" s="421"/>
      <c r="AB24" s="421"/>
      <c r="AC24" s="421"/>
    </row>
    <row r="25" spans="2:29" ht="15">
      <c r="B25" s="1340" t="s">
        <v>1103</v>
      </c>
      <c r="J25" s="1343"/>
      <c r="K25" s="1343"/>
      <c r="L25" s="1343"/>
      <c r="M25" s="1343"/>
      <c r="N25" s="1343"/>
      <c r="O25" s="1343"/>
      <c r="P25" s="1343"/>
      <c r="Q25" s="1343"/>
      <c r="R25" s="1343"/>
      <c r="S25" s="1343"/>
      <c r="T25" s="1343"/>
      <c r="U25" s="1343"/>
      <c r="V25" s="1343"/>
      <c r="W25" s="1343"/>
      <c r="X25" s="1343"/>
      <c r="Y25" s="1343"/>
      <c r="Z25" s="1343"/>
      <c r="AA25" s="418"/>
      <c r="AB25" s="1343"/>
      <c r="AC25" s="1343"/>
    </row>
    <row r="26" spans="3:29" ht="15">
      <c r="C26" s="1340" t="s">
        <v>1104</v>
      </c>
      <c r="H26" s="1352"/>
      <c r="J26" s="1353"/>
      <c r="K26" s="1353"/>
      <c r="L26" s="1353"/>
      <c r="M26" s="1353"/>
      <c r="N26" s="1353"/>
      <c r="O26" s="1353"/>
      <c r="P26" s="1353"/>
      <c r="Q26" s="1353"/>
      <c r="R26" s="1353"/>
      <c r="S26" s="1353"/>
      <c r="T26" s="1353"/>
      <c r="U26" s="1353"/>
      <c r="V26" s="1353"/>
      <c r="W26" s="1353"/>
      <c r="X26" s="1353"/>
      <c r="Y26" s="1343"/>
      <c r="Z26" s="1343"/>
      <c r="AB26" s="1343"/>
      <c r="AC26" s="1343"/>
    </row>
    <row r="27" spans="3:29" ht="15">
      <c r="C27" s="1340" t="s">
        <v>1105</v>
      </c>
      <c r="H27" s="1352"/>
      <c r="J27" s="1353"/>
      <c r="K27" s="1353"/>
      <c r="L27" s="1353"/>
      <c r="M27" s="1353"/>
      <c r="N27" s="1353"/>
      <c r="O27" s="1353"/>
      <c r="P27" s="1353"/>
      <c r="Q27" s="1353"/>
      <c r="R27" s="1353"/>
      <c r="S27" s="1353"/>
      <c r="T27" s="1353"/>
      <c r="U27" s="1353"/>
      <c r="V27" s="1353"/>
      <c r="W27" s="1353"/>
      <c r="X27" s="1353"/>
      <c r="Y27" s="1343"/>
      <c r="Z27" s="1343"/>
      <c r="AB27" s="1343"/>
      <c r="AC27" s="1343"/>
    </row>
    <row r="28" spans="3:29" ht="15">
      <c r="C28" s="1346" t="s">
        <v>1097</v>
      </c>
      <c r="D28" s="1346"/>
      <c r="E28" s="1616"/>
      <c r="F28" s="1617"/>
      <c r="G28" s="1346"/>
      <c r="H28" s="1354"/>
      <c r="I28" s="1346"/>
      <c r="J28" s="1355"/>
      <c r="K28" s="1355"/>
      <c r="L28" s="1355"/>
      <c r="M28" s="1355"/>
      <c r="N28" s="1355"/>
      <c r="O28" s="1355"/>
      <c r="P28" s="1355"/>
      <c r="Q28" s="1355"/>
      <c r="R28" s="1355"/>
      <c r="S28" s="1355"/>
      <c r="T28" s="1355"/>
      <c r="U28" s="1355"/>
      <c r="V28" s="1355"/>
      <c r="W28" s="1355"/>
      <c r="X28" s="1355"/>
      <c r="Y28" s="1343"/>
      <c r="Z28" s="1343"/>
      <c r="AB28" s="1343"/>
      <c r="AC28" s="1343"/>
    </row>
    <row r="29" spans="3:29" ht="15">
      <c r="C29" s="1340" t="s">
        <v>1098</v>
      </c>
      <c r="J29" s="422">
        <f aca="true" t="shared" si="6" ref="J29:X29">SUM(J26:J28)</f>
        <v>0</v>
      </c>
      <c r="K29" s="1345">
        <f t="shared" si="6"/>
        <v>0</v>
      </c>
      <c r="L29" s="1345">
        <f t="shared" si="6"/>
        <v>0</v>
      </c>
      <c r="M29" s="1345">
        <f t="shared" si="6"/>
        <v>0</v>
      </c>
      <c r="N29" s="1345">
        <f t="shared" si="6"/>
        <v>0</v>
      </c>
      <c r="O29" s="1345">
        <f t="shared" si="6"/>
        <v>0</v>
      </c>
      <c r="P29" s="1345">
        <f t="shared" si="6"/>
        <v>0</v>
      </c>
      <c r="Q29" s="1345">
        <f t="shared" si="6"/>
        <v>0</v>
      </c>
      <c r="R29" s="1345">
        <f t="shared" si="6"/>
        <v>0</v>
      </c>
      <c r="S29" s="1345">
        <f t="shared" si="6"/>
        <v>0</v>
      </c>
      <c r="T29" s="1345">
        <f t="shared" si="6"/>
        <v>0</v>
      </c>
      <c r="U29" s="1345">
        <f t="shared" si="6"/>
        <v>0</v>
      </c>
      <c r="V29" s="1345">
        <f t="shared" si="6"/>
        <v>0</v>
      </c>
      <c r="W29" s="1345">
        <f t="shared" si="6"/>
        <v>0</v>
      </c>
      <c r="X29" s="1345">
        <f t="shared" si="6"/>
        <v>0</v>
      </c>
      <c r="Y29" s="1343"/>
      <c r="Z29" s="1343"/>
      <c r="AB29" s="1343"/>
      <c r="AC29" s="1343"/>
    </row>
    <row r="30" spans="3:29" ht="15">
      <c r="C30" s="1346" t="s">
        <v>1099</v>
      </c>
      <c r="D30" s="1346"/>
      <c r="E30" s="1346"/>
      <c r="F30" s="1350">
        <v>0.05</v>
      </c>
      <c r="G30" s="1346"/>
      <c r="H30" s="1351"/>
      <c r="I30" s="1346"/>
      <c r="J30" s="1348">
        <f aca="true" t="shared" si="7" ref="J30:X30">-ROUND($F30*J29,0)</f>
        <v>0</v>
      </c>
      <c r="K30" s="1348">
        <f t="shared" si="7"/>
        <v>0</v>
      </c>
      <c r="L30" s="1348">
        <f t="shared" si="7"/>
        <v>0</v>
      </c>
      <c r="M30" s="1348">
        <f t="shared" si="7"/>
        <v>0</v>
      </c>
      <c r="N30" s="1348">
        <f t="shared" si="7"/>
        <v>0</v>
      </c>
      <c r="O30" s="1348">
        <f t="shared" si="7"/>
        <v>0</v>
      </c>
      <c r="P30" s="1348">
        <f t="shared" si="7"/>
        <v>0</v>
      </c>
      <c r="Q30" s="1348">
        <f t="shared" si="7"/>
        <v>0</v>
      </c>
      <c r="R30" s="1348">
        <f t="shared" si="7"/>
        <v>0</v>
      </c>
      <c r="S30" s="1348">
        <f t="shared" si="7"/>
        <v>0</v>
      </c>
      <c r="T30" s="1348">
        <f t="shared" si="7"/>
        <v>0</v>
      </c>
      <c r="U30" s="1348">
        <f t="shared" si="7"/>
        <v>0</v>
      </c>
      <c r="V30" s="1348">
        <f t="shared" si="7"/>
        <v>0</v>
      </c>
      <c r="W30" s="1348">
        <f t="shared" si="7"/>
        <v>0</v>
      </c>
      <c r="X30" s="1348">
        <f t="shared" si="7"/>
        <v>0</v>
      </c>
      <c r="Y30" s="1343"/>
      <c r="Z30" s="1343"/>
      <c r="AB30" s="1343"/>
      <c r="AC30" s="1343"/>
    </row>
    <row r="31" spans="3:29" s="418" customFormat="1" ht="15">
      <c r="C31" s="418" t="s">
        <v>1102</v>
      </c>
      <c r="H31" s="419"/>
      <c r="J31" s="420">
        <f aca="true" t="shared" si="8" ref="J31:X31">SUM(J29:J30)</f>
        <v>0</v>
      </c>
      <c r="K31" s="420">
        <f t="shared" si="8"/>
        <v>0</v>
      </c>
      <c r="L31" s="420">
        <f t="shared" si="8"/>
        <v>0</v>
      </c>
      <c r="M31" s="420">
        <f t="shared" si="8"/>
        <v>0</v>
      </c>
      <c r="N31" s="420">
        <f t="shared" si="8"/>
        <v>0</v>
      </c>
      <c r="O31" s="420">
        <f t="shared" si="8"/>
        <v>0</v>
      </c>
      <c r="P31" s="420">
        <f t="shared" si="8"/>
        <v>0</v>
      </c>
      <c r="Q31" s="420">
        <f t="shared" si="8"/>
        <v>0</v>
      </c>
      <c r="R31" s="420">
        <f t="shared" si="8"/>
        <v>0</v>
      </c>
      <c r="S31" s="420">
        <f t="shared" si="8"/>
        <v>0</v>
      </c>
      <c r="T31" s="420">
        <f t="shared" si="8"/>
        <v>0</v>
      </c>
      <c r="U31" s="420">
        <f t="shared" si="8"/>
        <v>0</v>
      </c>
      <c r="V31" s="420">
        <f t="shared" si="8"/>
        <v>0</v>
      </c>
      <c r="W31" s="420">
        <f t="shared" si="8"/>
        <v>0</v>
      </c>
      <c r="X31" s="420">
        <f t="shared" si="8"/>
        <v>0</v>
      </c>
      <c r="Y31" s="421"/>
      <c r="Z31" s="421"/>
      <c r="AA31" s="1340"/>
      <c r="AB31" s="421"/>
      <c r="AC31" s="421"/>
    </row>
    <row r="32" spans="8:29" s="418" customFormat="1" ht="15">
      <c r="H32" s="419"/>
      <c r="J32" s="420"/>
      <c r="K32" s="420"/>
      <c r="L32" s="420"/>
      <c r="M32" s="420"/>
      <c r="N32" s="420"/>
      <c r="O32" s="420"/>
      <c r="P32" s="420"/>
      <c r="Q32" s="420"/>
      <c r="R32" s="420"/>
      <c r="S32" s="420"/>
      <c r="T32" s="420"/>
      <c r="U32" s="420"/>
      <c r="V32" s="420"/>
      <c r="W32" s="420"/>
      <c r="X32" s="420"/>
      <c r="Y32" s="421"/>
      <c r="Z32" s="421"/>
      <c r="AB32" s="421"/>
      <c r="AC32" s="421"/>
    </row>
    <row r="33" spans="2:29" ht="18.75" customHeight="1">
      <c r="B33" s="1340" t="s">
        <v>1106</v>
      </c>
      <c r="J33" s="1343"/>
      <c r="K33" s="1343"/>
      <c r="L33" s="1343"/>
      <c r="M33" s="1343"/>
      <c r="N33" s="1343"/>
      <c r="O33" s="1343"/>
      <c r="P33" s="1343"/>
      <c r="Q33" s="1343"/>
      <c r="R33" s="1343"/>
      <c r="S33" s="1343"/>
      <c r="T33" s="1343"/>
      <c r="U33" s="1343"/>
      <c r="V33" s="1343"/>
      <c r="W33" s="1343"/>
      <c r="X33" s="1343"/>
      <c r="Y33" s="1343"/>
      <c r="Z33" s="1343"/>
      <c r="AA33" s="418"/>
      <c r="AB33" s="1343"/>
      <c r="AC33" s="1343"/>
    </row>
    <row r="34" spans="3:29" ht="15">
      <c r="C34" s="1340" t="s">
        <v>1093</v>
      </c>
      <c r="H34" s="430">
        <v>0.02</v>
      </c>
      <c r="J34" s="1353"/>
      <c r="K34" s="1345">
        <f aca="true" t="shared" si="9" ref="K34:X37">INT((1+$H34)*J34)</f>
        <v>0</v>
      </c>
      <c r="L34" s="1345">
        <f t="shared" si="9"/>
        <v>0</v>
      </c>
      <c r="M34" s="1345">
        <f t="shared" si="9"/>
        <v>0</v>
      </c>
      <c r="N34" s="1345">
        <f t="shared" si="9"/>
        <v>0</v>
      </c>
      <c r="O34" s="1345">
        <f t="shared" si="9"/>
        <v>0</v>
      </c>
      <c r="P34" s="1345">
        <f t="shared" si="9"/>
        <v>0</v>
      </c>
      <c r="Q34" s="1345">
        <f t="shared" si="9"/>
        <v>0</v>
      </c>
      <c r="R34" s="1345">
        <f t="shared" si="9"/>
        <v>0</v>
      </c>
      <c r="S34" s="1345">
        <f t="shared" si="9"/>
        <v>0</v>
      </c>
      <c r="T34" s="1345">
        <f t="shared" si="9"/>
        <v>0</v>
      </c>
      <c r="U34" s="1345">
        <f t="shared" si="9"/>
        <v>0</v>
      </c>
      <c r="V34" s="1345">
        <f t="shared" si="9"/>
        <v>0</v>
      </c>
      <c r="W34" s="1345">
        <f t="shared" si="9"/>
        <v>0</v>
      </c>
      <c r="X34" s="1345">
        <f t="shared" si="9"/>
        <v>0</v>
      </c>
      <c r="Y34" s="1343"/>
      <c r="Z34" s="1343"/>
      <c r="AB34" s="1343"/>
      <c r="AC34" s="1343"/>
    </row>
    <row r="35" spans="3:29" ht="15">
      <c r="C35" s="1340" t="s">
        <v>1095</v>
      </c>
      <c r="H35" s="430">
        <v>0.01</v>
      </c>
      <c r="J35" s="1353"/>
      <c r="K35" s="1345">
        <f t="shared" si="9"/>
        <v>0</v>
      </c>
      <c r="L35" s="1345">
        <f t="shared" si="9"/>
        <v>0</v>
      </c>
      <c r="M35" s="1345">
        <f t="shared" si="9"/>
        <v>0</v>
      </c>
      <c r="N35" s="1345">
        <f t="shared" si="9"/>
        <v>0</v>
      </c>
      <c r="O35" s="1345">
        <f t="shared" si="9"/>
        <v>0</v>
      </c>
      <c r="P35" s="1345">
        <f t="shared" si="9"/>
        <v>0</v>
      </c>
      <c r="Q35" s="1345">
        <f t="shared" si="9"/>
        <v>0</v>
      </c>
      <c r="R35" s="1345">
        <f t="shared" si="9"/>
        <v>0</v>
      </c>
      <c r="S35" s="1345">
        <f t="shared" si="9"/>
        <v>0</v>
      </c>
      <c r="T35" s="1345">
        <f t="shared" si="9"/>
        <v>0</v>
      </c>
      <c r="U35" s="1345">
        <f t="shared" si="9"/>
        <v>0</v>
      </c>
      <c r="V35" s="1345">
        <f t="shared" si="9"/>
        <v>0</v>
      </c>
      <c r="W35" s="1345">
        <f t="shared" si="9"/>
        <v>0</v>
      </c>
      <c r="X35" s="1345">
        <f t="shared" si="9"/>
        <v>0</v>
      </c>
      <c r="Y35" s="1343"/>
      <c r="Z35" s="1343"/>
      <c r="AA35" s="1345">
        <f>INT((1-F41-F42)*J34)</f>
        <v>0</v>
      </c>
      <c r="AB35" s="1343"/>
      <c r="AC35" s="1343"/>
    </row>
    <row r="36" spans="3:29" ht="15">
      <c r="C36" s="1340" t="s">
        <v>1096</v>
      </c>
      <c r="H36" s="430">
        <v>0.01</v>
      </c>
      <c r="J36" s="1353"/>
      <c r="K36" s="1345">
        <f t="shared" si="9"/>
        <v>0</v>
      </c>
      <c r="L36" s="1345">
        <f t="shared" si="9"/>
        <v>0</v>
      </c>
      <c r="M36" s="1345">
        <f t="shared" si="9"/>
        <v>0</v>
      </c>
      <c r="N36" s="1345">
        <f t="shared" si="9"/>
        <v>0</v>
      </c>
      <c r="O36" s="1345">
        <f t="shared" si="9"/>
        <v>0</v>
      </c>
      <c r="P36" s="1345">
        <f t="shared" si="9"/>
        <v>0</v>
      </c>
      <c r="Q36" s="1345">
        <f t="shared" si="9"/>
        <v>0</v>
      </c>
      <c r="R36" s="1345">
        <f t="shared" si="9"/>
        <v>0</v>
      </c>
      <c r="S36" s="1345">
        <f t="shared" si="9"/>
        <v>0</v>
      </c>
      <c r="T36" s="1345">
        <f t="shared" si="9"/>
        <v>0</v>
      </c>
      <c r="U36" s="1345">
        <f t="shared" si="9"/>
        <v>0</v>
      </c>
      <c r="V36" s="1345">
        <f t="shared" si="9"/>
        <v>0</v>
      </c>
      <c r="W36" s="1345">
        <f t="shared" si="9"/>
        <v>0</v>
      </c>
      <c r="X36" s="1345">
        <f t="shared" si="9"/>
        <v>0</v>
      </c>
      <c r="Y36" s="1343"/>
      <c r="Z36" s="1343"/>
      <c r="AB36" s="1343"/>
      <c r="AC36" s="1343"/>
    </row>
    <row r="37" spans="3:29" ht="15">
      <c r="C37" s="1346" t="s">
        <v>1097</v>
      </c>
      <c r="D37" s="1346"/>
      <c r="E37" s="1616"/>
      <c r="F37" s="1617"/>
      <c r="G37" s="1346"/>
      <c r="H37" s="431">
        <v>0.01</v>
      </c>
      <c r="I37" s="1346"/>
      <c r="J37" s="1355"/>
      <c r="K37" s="1348">
        <f t="shared" si="9"/>
        <v>0</v>
      </c>
      <c r="L37" s="1348">
        <f t="shared" si="9"/>
        <v>0</v>
      </c>
      <c r="M37" s="1348">
        <f t="shared" si="9"/>
        <v>0</v>
      </c>
      <c r="N37" s="1348">
        <f t="shared" si="9"/>
        <v>0</v>
      </c>
      <c r="O37" s="1348">
        <f t="shared" si="9"/>
        <v>0</v>
      </c>
      <c r="P37" s="1348">
        <f t="shared" si="9"/>
        <v>0</v>
      </c>
      <c r="Q37" s="1348">
        <f t="shared" si="9"/>
        <v>0</v>
      </c>
      <c r="R37" s="1348">
        <f t="shared" si="9"/>
        <v>0</v>
      </c>
      <c r="S37" s="1348">
        <f t="shared" si="9"/>
        <v>0</v>
      </c>
      <c r="T37" s="1348">
        <f t="shared" si="9"/>
        <v>0</v>
      </c>
      <c r="U37" s="1348">
        <f t="shared" si="9"/>
        <v>0</v>
      </c>
      <c r="V37" s="1348">
        <f t="shared" si="9"/>
        <v>0</v>
      </c>
      <c r="W37" s="1348">
        <f t="shared" si="9"/>
        <v>0</v>
      </c>
      <c r="X37" s="1348">
        <f t="shared" si="9"/>
        <v>0</v>
      </c>
      <c r="Y37" s="1343"/>
      <c r="Z37" s="1343"/>
      <c r="AB37" s="1343"/>
      <c r="AC37" s="1343"/>
    </row>
    <row r="38" spans="3:29" ht="15">
      <c r="C38" s="1340" t="s">
        <v>1098</v>
      </c>
      <c r="J38" s="1345">
        <f aca="true" t="shared" si="10" ref="J38:X38">SUM(J34:J37)</f>
        <v>0</v>
      </c>
      <c r="K38" s="1345">
        <f t="shared" si="10"/>
        <v>0</v>
      </c>
      <c r="L38" s="1345">
        <f t="shared" si="10"/>
        <v>0</v>
      </c>
      <c r="M38" s="1345">
        <f t="shared" si="10"/>
        <v>0</v>
      </c>
      <c r="N38" s="1345">
        <f t="shared" si="10"/>
        <v>0</v>
      </c>
      <c r="O38" s="1345">
        <f t="shared" si="10"/>
        <v>0</v>
      </c>
      <c r="P38" s="1345">
        <f t="shared" si="10"/>
        <v>0</v>
      </c>
      <c r="Q38" s="1345">
        <f t="shared" si="10"/>
        <v>0</v>
      </c>
      <c r="R38" s="1345">
        <f t="shared" si="10"/>
        <v>0</v>
      </c>
      <c r="S38" s="1345">
        <f t="shared" si="10"/>
        <v>0</v>
      </c>
      <c r="T38" s="1345">
        <f t="shared" si="10"/>
        <v>0</v>
      </c>
      <c r="U38" s="1345">
        <f t="shared" si="10"/>
        <v>0</v>
      </c>
      <c r="V38" s="1345">
        <f t="shared" si="10"/>
        <v>0</v>
      </c>
      <c r="W38" s="1345">
        <f t="shared" si="10"/>
        <v>0</v>
      </c>
      <c r="X38" s="1345">
        <f t="shared" si="10"/>
        <v>0</v>
      </c>
      <c r="Y38" s="1343"/>
      <c r="Z38" s="1343"/>
      <c r="AB38" s="1343"/>
      <c r="AC38" s="1343"/>
    </row>
    <row r="39" spans="10:29" ht="15">
      <c r="J39" s="1345"/>
      <c r="K39" s="1345"/>
      <c r="L39" s="1345"/>
      <c r="M39" s="1345"/>
      <c r="N39" s="1345"/>
      <c r="O39" s="1345"/>
      <c r="P39" s="1345"/>
      <c r="Q39" s="1345"/>
      <c r="R39" s="1345"/>
      <c r="S39" s="1345"/>
      <c r="T39" s="1345"/>
      <c r="U39" s="1345"/>
      <c r="V39" s="1345"/>
      <c r="W39" s="1345"/>
      <c r="X39" s="1345"/>
      <c r="Y39" s="1343"/>
      <c r="Z39" s="1343"/>
      <c r="AB39" s="1343"/>
      <c r="AC39" s="1343"/>
    </row>
    <row r="40" spans="3:29" ht="15">
      <c r="C40" s="1340" t="s">
        <v>1099</v>
      </c>
      <c r="J40" s="1345"/>
      <c r="K40" s="1345"/>
      <c r="L40" s="1345"/>
      <c r="M40" s="1345"/>
      <c r="N40" s="1345"/>
      <c r="O40" s="1345"/>
      <c r="P40" s="1345"/>
      <c r="Q40" s="1345"/>
      <c r="R40" s="1345"/>
      <c r="S40" s="1345"/>
      <c r="T40" s="1345"/>
      <c r="U40" s="1345"/>
      <c r="V40" s="1345"/>
      <c r="W40" s="1345"/>
      <c r="X40" s="1345"/>
      <c r="Y40" s="1343"/>
      <c r="Z40" s="1343"/>
      <c r="AB40" s="1343"/>
      <c r="AC40" s="1343"/>
    </row>
    <row r="41" spans="4:29" ht="15">
      <c r="D41" s="1340" t="s">
        <v>1100</v>
      </c>
      <c r="F41" s="1349">
        <v>0.09</v>
      </c>
      <c r="J41" s="1345">
        <f aca="true" t="shared" si="11" ref="J41:X41">-ROUND($F41*J38,0)</f>
        <v>0</v>
      </c>
      <c r="K41" s="1345">
        <f t="shared" si="11"/>
        <v>0</v>
      </c>
      <c r="L41" s="1345">
        <f t="shared" si="11"/>
        <v>0</v>
      </c>
      <c r="M41" s="1345">
        <f t="shared" si="11"/>
        <v>0</v>
      </c>
      <c r="N41" s="1345">
        <f t="shared" si="11"/>
        <v>0</v>
      </c>
      <c r="O41" s="1345">
        <f t="shared" si="11"/>
        <v>0</v>
      </c>
      <c r="P41" s="1345">
        <f t="shared" si="11"/>
        <v>0</v>
      </c>
      <c r="Q41" s="1345">
        <f t="shared" si="11"/>
        <v>0</v>
      </c>
      <c r="R41" s="1345">
        <f t="shared" si="11"/>
        <v>0</v>
      </c>
      <c r="S41" s="1345">
        <f t="shared" si="11"/>
        <v>0</v>
      </c>
      <c r="T41" s="1345">
        <f t="shared" si="11"/>
        <v>0</v>
      </c>
      <c r="U41" s="1345">
        <f t="shared" si="11"/>
        <v>0</v>
      </c>
      <c r="V41" s="1345">
        <f t="shared" si="11"/>
        <v>0</v>
      </c>
      <c r="W41" s="1345">
        <f t="shared" si="11"/>
        <v>0</v>
      </c>
      <c r="X41" s="1345">
        <f t="shared" si="11"/>
        <v>0</v>
      </c>
      <c r="Y41" s="1343"/>
      <c r="Z41" s="1343"/>
      <c r="AA41" s="1343"/>
      <c r="AB41" s="1343"/>
      <c r="AC41" s="1343"/>
    </row>
    <row r="42" spans="3:29" ht="15">
      <c r="C42" s="1346"/>
      <c r="D42" s="1346" t="s">
        <v>1101</v>
      </c>
      <c r="E42" s="1346"/>
      <c r="F42" s="1350">
        <v>0.01</v>
      </c>
      <c r="G42" s="1346"/>
      <c r="H42" s="1351"/>
      <c r="I42" s="1346"/>
      <c r="J42" s="1348">
        <f aca="true" t="shared" si="12" ref="J42:X42">-ROUND($F42*J38,0)</f>
        <v>0</v>
      </c>
      <c r="K42" s="1348">
        <f t="shared" si="12"/>
        <v>0</v>
      </c>
      <c r="L42" s="1348">
        <f t="shared" si="12"/>
        <v>0</v>
      </c>
      <c r="M42" s="1348">
        <f t="shared" si="12"/>
        <v>0</v>
      </c>
      <c r="N42" s="1348">
        <f t="shared" si="12"/>
        <v>0</v>
      </c>
      <c r="O42" s="1348">
        <f t="shared" si="12"/>
        <v>0</v>
      </c>
      <c r="P42" s="1348">
        <f t="shared" si="12"/>
        <v>0</v>
      </c>
      <c r="Q42" s="1348">
        <f t="shared" si="12"/>
        <v>0</v>
      </c>
      <c r="R42" s="1348">
        <f t="shared" si="12"/>
        <v>0</v>
      </c>
      <c r="S42" s="1348">
        <f t="shared" si="12"/>
        <v>0</v>
      </c>
      <c r="T42" s="1348">
        <f t="shared" si="12"/>
        <v>0</v>
      </c>
      <c r="U42" s="1348">
        <f t="shared" si="12"/>
        <v>0</v>
      </c>
      <c r="V42" s="1348">
        <f t="shared" si="12"/>
        <v>0</v>
      </c>
      <c r="W42" s="1348">
        <f t="shared" si="12"/>
        <v>0</v>
      </c>
      <c r="X42" s="1348">
        <f t="shared" si="12"/>
        <v>0</v>
      </c>
      <c r="Y42" s="1343"/>
      <c r="Z42" s="1343"/>
      <c r="AA42" s="1343"/>
      <c r="AB42" s="1343"/>
      <c r="AC42" s="1343"/>
    </row>
    <row r="43" spans="3:29" s="418" customFormat="1" ht="15">
      <c r="C43" s="418" t="s">
        <v>1102</v>
      </c>
      <c r="H43" s="419"/>
      <c r="J43" s="420">
        <f aca="true" t="shared" si="13" ref="J43:X43">SUM(J38:J42)</f>
        <v>0</v>
      </c>
      <c r="K43" s="420">
        <f t="shared" si="13"/>
        <v>0</v>
      </c>
      <c r="L43" s="420">
        <f t="shared" si="13"/>
        <v>0</v>
      </c>
      <c r="M43" s="420">
        <f t="shared" si="13"/>
        <v>0</v>
      </c>
      <c r="N43" s="420">
        <f t="shared" si="13"/>
        <v>0</v>
      </c>
      <c r="O43" s="420">
        <f t="shared" si="13"/>
        <v>0</v>
      </c>
      <c r="P43" s="420">
        <f t="shared" si="13"/>
        <v>0</v>
      </c>
      <c r="Q43" s="420">
        <f t="shared" si="13"/>
        <v>0</v>
      </c>
      <c r="R43" s="420">
        <f t="shared" si="13"/>
        <v>0</v>
      </c>
      <c r="S43" s="420">
        <f t="shared" si="13"/>
        <v>0</v>
      </c>
      <c r="T43" s="420">
        <f t="shared" si="13"/>
        <v>0</v>
      </c>
      <c r="U43" s="420">
        <f t="shared" si="13"/>
        <v>0</v>
      </c>
      <c r="V43" s="420">
        <f t="shared" si="13"/>
        <v>0</v>
      </c>
      <c r="W43" s="420">
        <f t="shared" si="13"/>
        <v>0</v>
      </c>
      <c r="X43" s="420">
        <f t="shared" si="13"/>
        <v>0</v>
      </c>
      <c r="Y43" s="421"/>
      <c r="Z43" s="421"/>
      <c r="AA43" s="421"/>
      <c r="AB43" s="421"/>
      <c r="AC43" s="421"/>
    </row>
    <row r="44" spans="10:29" ht="15">
      <c r="J44" s="1343"/>
      <c r="K44" s="1343"/>
      <c r="L44" s="1343"/>
      <c r="M44" s="1343"/>
      <c r="N44" s="1343"/>
      <c r="O44" s="1343"/>
      <c r="P44" s="1343"/>
      <c r="Q44" s="1343"/>
      <c r="R44" s="1343"/>
      <c r="S44" s="1343"/>
      <c r="T44" s="1343"/>
      <c r="U44" s="1343"/>
      <c r="V44" s="1343"/>
      <c r="W44" s="1343"/>
      <c r="X44" s="1343"/>
      <c r="Y44" s="1343"/>
      <c r="Z44" s="1343"/>
      <c r="AA44" s="1343"/>
      <c r="AB44" s="1343"/>
      <c r="AC44" s="1343"/>
    </row>
    <row r="45" spans="2:29" ht="15">
      <c r="B45" s="1340" t="s">
        <v>1107</v>
      </c>
      <c r="J45" s="1343"/>
      <c r="K45" s="1343"/>
      <c r="L45" s="1343"/>
      <c r="M45" s="1343"/>
      <c r="N45" s="1343"/>
      <c r="O45" s="1343"/>
      <c r="P45" s="1343"/>
      <c r="Q45" s="1343"/>
      <c r="R45" s="1343"/>
      <c r="S45" s="1343"/>
      <c r="T45" s="1343"/>
      <c r="U45" s="1343"/>
      <c r="V45" s="1343"/>
      <c r="W45" s="1343"/>
      <c r="X45" s="1343"/>
      <c r="Y45" s="1343"/>
      <c r="Z45" s="1343"/>
      <c r="AA45" s="1343"/>
      <c r="AB45" s="1343"/>
      <c r="AC45" s="1343"/>
    </row>
    <row r="46" spans="3:29" ht="15">
      <c r="C46" s="1340" t="s">
        <v>1093</v>
      </c>
      <c r="H46" s="430">
        <v>0.02</v>
      </c>
      <c r="J46" s="1344"/>
      <c r="K46" s="1345">
        <f aca="true" t="shared" si="14" ref="K46:X49">INT((1+$H46)*J46)</f>
        <v>0</v>
      </c>
      <c r="L46" s="1345">
        <f t="shared" si="14"/>
        <v>0</v>
      </c>
      <c r="M46" s="1345">
        <f t="shared" si="14"/>
        <v>0</v>
      </c>
      <c r="N46" s="1345">
        <f t="shared" si="14"/>
        <v>0</v>
      </c>
      <c r="O46" s="1345">
        <f t="shared" si="14"/>
        <v>0</v>
      </c>
      <c r="P46" s="1345">
        <f t="shared" si="14"/>
        <v>0</v>
      </c>
      <c r="Q46" s="1345">
        <f t="shared" si="14"/>
        <v>0</v>
      </c>
      <c r="R46" s="1345">
        <f t="shared" si="14"/>
        <v>0</v>
      </c>
      <c r="S46" s="1345">
        <f t="shared" si="14"/>
        <v>0</v>
      </c>
      <c r="T46" s="1345">
        <f t="shared" si="14"/>
        <v>0</v>
      </c>
      <c r="U46" s="1345">
        <f t="shared" si="14"/>
        <v>0</v>
      </c>
      <c r="V46" s="1345">
        <f t="shared" si="14"/>
        <v>0</v>
      </c>
      <c r="W46" s="1345">
        <f t="shared" si="14"/>
        <v>0</v>
      </c>
      <c r="X46" s="1345">
        <f t="shared" si="14"/>
        <v>0</v>
      </c>
      <c r="Y46" s="1343"/>
      <c r="Z46" s="1343"/>
      <c r="AA46" s="1343"/>
      <c r="AB46" s="1343"/>
      <c r="AC46" s="1343"/>
    </row>
    <row r="47" spans="3:29" ht="15">
      <c r="C47" s="1340" t="s">
        <v>1096</v>
      </c>
      <c r="H47" s="430">
        <v>0.01</v>
      </c>
      <c r="J47" s="1353"/>
      <c r="K47" s="1345">
        <f t="shared" si="14"/>
        <v>0</v>
      </c>
      <c r="L47" s="1345">
        <f t="shared" si="14"/>
        <v>0</v>
      </c>
      <c r="M47" s="1345">
        <f t="shared" si="14"/>
        <v>0</v>
      </c>
      <c r="N47" s="1345">
        <f t="shared" si="14"/>
        <v>0</v>
      </c>
      <c r="O47" s="1345">
        <f t="shared" si="14"/>
        <v>0</v>
      </c>
      <c r="P47" s="1345">
        <f t="shared" si="14"/>
        <v>0</v>
      </c>
      <c r="Q47" s="1345">
        <f t="shared" si="14"/>
        <v>0</v>
      </c>
      <c r="R47" s="1345">
        <f t="shared" si="14"/>
        <v>0</v>
      </c>
      <c r="S47" s="1345">
        <f t="shared" si="14"/>
        <v>0</v>
      </c>
      <c r="T47" s="1345">
        <f t="shared" si="14"/>
        <v>0</v>
      </c>
      <c r="U47" s="1345">
        <f t="shared" si="14"/>
        <v>0</v>
      </c>
      <c r="V47" s="1345">
        <f t="shared" si="14"/>
        <v>0</v>
      </c>
      <c r="W47" s="1345">
        <f t="shared" si="14"/>
        <v>0</v>
      </c>
      <c r="X47" s="1345">
        <f t="shared" si="14"/>
        <v>0</v>
      </c>
      <c r="Y47" s="1343"/>
      <c r="Z47" s="1343"/>
      <c r="AA47" s="1343"/>
      <c r="AB47" s="1343"/>
      <c r="AC47" s="1343"/>
    </row>
    <row r="48" spans="3:29" ht="15">
      <c r="C48" s="1340" t="s">
        <v>1108</v>
      </c>
      <c r="E48" s="1615"/>
      <c r="F48" s="1615"/>
      <c r="H48" s="430">
        <v>0.01</v>
      </c>
      <c r="J48" s="1353"/>
      <c r="K48" s="1345">
        <f t="shared" si="14"/>
        <v>0</v>
      </c>
      <c r="L48" s="1345">
        <f t="shared" si="14"/>
        <v>0</v>
      </c>
      <c r="M48" s="1345">
        <f t="shared" si="14"/>
        <v>0</v>
      </c>
      <c r="N48" s="1345">
        <f t="shared" si="14"/>
        <v>0</v>
      </c>
      <c r="O48" s="1345">
        <f t="shared" si="14"/>
        <v>0</v>
      </c>
      <c r="P48" s="1345">
        <f t="shared" si="14"/>
        <v>0</v>
      </c>
      <c r="Q48" s="1345">
        <f t="shared" si="14"/>
        <v>0</v>
      </c>
      <c r="R48" s="1345">
        <f t="shared" si="14"/>
        <v>0</v>
      </c>
      <c r="S48" s="1345">
        <f t="shared" si="14"/>
        <v>0</v>
      </c>
      <c r="T48" s="1345">
        <f t="shared" si="14"/>
        <v>0</v>
      </c>
      <c r="U48" s="1345">
        <f t="shared" si="14"/>
        <v>0</v>
      </c>
      <c r="V48" s="1345">
        <f t="shared" si="14"/>
        <v>0</v>
      </c>
      <c r="W48" s="1345">
        <f t="shared" si="14"/>
        <v>0</v>
      </c>
      <c r="X48" s="1345">
        <f t="shared" si="14"/>
        <v>0</v>
      </c>
      <c r="Y48" s="1343"/>
      <c r="Z48" s="1343"/>
      <c r="AA48" s="1343"/>
      <c r="AB48" s="1343"/>
      <c r="AC48" s="1343"/>
    </row>
    <row r="49" spans="3:29" ht="15">
      <c r="C49" s="1346" t="s">
        <v>1097</v>
      </c>
      <c r="D49" s="1346"/>
      <c r="E49" s="1616"/>
      <c r="F49" s="1617"/>
      <c r="G49" s="1346"/>
      <c r="H49" s="431">
        <v>0.01</v>
      </c>
      <c r="I49" s="1346"/>
      <c r="J49" s="1355"/>
      <c r="K49" s="1348">
        <f t="shared" si="14"/>
        <v>0</v>
      </c>
      <c r="L49" s="1348">
        <f t="shared" si="14"/>
        <v>0</v>
      </c>
      <c r="M49" s="1348">
        <f t="shared" si="14"/>
        <v>0</v>
      </c>
      <c r="N49" s="1348">
        <f t="shared" si="14"/>
        <v>0</v>
      </c>
      <c r="O49" s="1348">
        <f t="shared" si="14"/>
        <v>0</v>
      </c>
      <c r="P49" s="1348">
        <f t="shared" si="14"/>
        <v>0</v>
      </c>
      <c r="Q49" s="1348">
        <f t="shared" si="14"/>
        <v>0</v>
      </c>
      <c r="R49" s="1348">
        <f t="shared" si="14"/>
        <v>0</v>
      </c>
      <c r="S49" s="1348">
        <f t="shared" si="14"/>
        <v>0</v>
      </c>
      <c r="T49" s="1348">
        <f t="shared" si="14"/>
        <v>0</v>
      </c>
      <c r="U49" s="1348">
        <f t="shared" si="14"/>
        <v>0</v>
      </c>
      <c r="V49" s="1348">
        <f t="shared" si="14"/>
        <v>0</v>
      </c>
      <c r="W49" s="1348">
        <f t="shared" si="14"/>
        <v>0</v>
      </c>
      <c r="X49" s="1348">
        <f t="shared" si="14"/>
        <v>0</v>
      </c>
      <c r="Y49" s="1343"/>
      <c r="Z49" s="1343"/>
      <c r="AA49" s="1343"/>
      <c r="AB49" s="1343"/>
      <c r="AC49" s="1343"/>
    </row>
    <row r="50" spans="3:29" ht="15">
      <c r="C50" s="1340" t="s">
        <v>1098</v>
      </c>
      <c r="J50" s="1345">
        <f aca="true" t="shared" si="15" ref="J50:X50">SUM(J46:J49)</f>
        <v>0</v>
      </c>
      <c r="K50" s="1345">
        <f t="shared" si="15"/>
        <v>0</v>
      </c>
      <c r="L50" s="1345">
        <f t="shared" si="15"/>
        <v>0</v>
      </c>
      <c r="M50" s="1345">
        <f t="shared" si="15"/>
        <v>0</v>
      </c>
      <c r="N50" s="1345">
        <f t="shared" si="15"/>
        <v>0</v>
      </c>
      <c r="O50" s="1345">
        <f t="shared" si="15"/>
        <v>0</v>
      </c>
      <c r="P50" s="1345">
        <f t="shared" si="15"/>
        <v>0</v>
      </c>
      <c r="Q50" s="1345">
        <f t="shared" si="15"/>
        <v>0</v>
      </c>
      <c r="R50" s="1345">
        <f t="shared" si="15"/>
        <v>0</v>
      </c>
      <c r="S50" s="1345">
        <f t="shared" si="15"/>
        <v>0</v>
      </c>
      <c r="T50" s="1345">
        <f t="shared" si="15"/>
        <v>0</v>
      </c>
      <c r="U50" s="1345">
        <f t="shared" si="15"/>
        <v>0</v>
      </c>
      <c r="V50" s="1345">
        <f t="shared" si="15"/>
        <v>0</v>
      </c>
      <c r="W50" s="1345">
        <f t="shared" si="15"/>
        <v>0</v>
      </c>
      <c r="X50" s="1345">
        <f t="shared" si="15"/>
        <v>0</v>
      </c>
      <c r="Y50" s="1343"/>
      <c r="Z50" s="1343"/>
      <c r="AA50" s="1343"/>
      <c r="AB50" s="1343"/>
      <c r="AC50" s="1343"/>
    </row>
    <row r="51" spans="10:29" ht="15">
      <c r="J51" s="1345"/>
      <c r="K51" s="1345"/>
      <c r="L51" s="1345"/>
      <c r="M51" s="1345"/>
      <c r="N51" s="1345"/>
      <c r="O51" s="1345"/>
      <c r="P51" s="1345"/>
      <c r="Q51" s="1345"/>
      <c r="R51" s="1345"/>
      <c r="S51" s="1345"/>
      <c r="T51" s="1345"/>
      <c r="U51" s="1345"/>
      <c r="V51" s="1345"/>
      <c r="W51" s="1345"/>
      <c r="X51" s="1345"/>
      <c r="Y51" s="1343"/>
      <c r="Z51" s="1343"/>
      <c r="AA51" s="1343"/>
      <c r="AB51" s="1343"/>
      <c r="AC51" s="1343"/>
    </row>
    <row r="52" spans="3:29" ht="15">
      <c r="C52" s="1340" t="s">
        <v>1099</v>
      </c>
      <c r="J52" s="1345"/>
      <c r="K52" s="1345"/>
      <c r="L52" s="1345"/>
      <c r="M52" s="1345"/>
      <c r="N52" s="1345"/>
      <c r="O52" s="1345"/>
      <c r="P52" s="1345"/>
      <c r="Q52" s="1345"/>
      <c r="R52" s="1345"/>
      <c r="S52" s="1345"/>
      <c r="T52" s="1345"/>
      <c r="U52" s="1345"/>
      <c r="V52" s="1345"/>
      <c r="W52" s="1345"/>
      <c r="X52" s="1345"/>
      <c r="Y52" s="1343"/>
      <c r="Z52" s="1343"/>
      <c r="AA52" s="1343"/>
      <c r="AB52" s="1343"/>
      <c r="AC52" s="1343"/>
    </row>
    <row r="53" spans="4:29" ht="15">
      <c r="D53" s="1340" t="s">
        <v>1100</v>
      </c>
      <c r="F53" s="1349">
        <v>0.09</v>
      </c>
      <c r="J53" s="1345">
        <f aca="true" t="shared" si="16" ref="J53:X53">-ROUND($F53*J50,0)</f>
        <v>0</v>
      </c>
      <c r="K53" s="1345">
        <f t="shared" si="16"/>
        <v>0</v>
      </c>
      <c r="L53" s="1345">
        <f t="shared" si="16"/>
        <v>0</v>
      </c>
      <c r="M53" s="1345">
        <f t="shared" si="16"/>
        <v>0</v>
      </c>
      <c r="N53" s="1345">
        <f t="shared" si="16"/>
        <v>0</v>
      </c>
      <c r="O53" s="1345">
        <f t="shared" si="16"/>
        <v>0</v>
      </c>
      <c r="P53" s="1345">
        <f t="shared" si="16"/>
        <v>0</v>
      </c>
      <c r="Q53" s="1345">
        <f t="shared" si="16"/>
        <v>0</v>
      </c>
      <c r="R53" s="1345">
        <f t="shared" si="16"/>
        <v>0</v>
      </c>
      <c r="S53" s="1345">
        <f t="shared" si="16"/>
        <v>0</v>
      </c>
      <c r="T53" s="1345">
        <f t="shared" si="16"/>
        <v>0</v>
      </c>
      <c r="U53" s="1345">
        <f t="shared" si="16"/>
        <v>0</v>
      </c>
      <c r="V53" s="1345">
        <f t="shared" si="16"/>
        <v>0</v>
      </c>
      <c r="W53" s="1345">
        <f t="shared" si="16"/>
        <v>0</v>
      </c>
      <c r="X53" s="1345">
        <f t="shared" si="16"/>
        <v>0</v>
      </c>
      <c r="Y53" s="1343"/>
      <c r="Z53" s="1343"/>
      <c r="AA53" s="1343"/>
      <c r="AB53" s="1343"/>
      <c r="AC53" s="1343"/>
    </row>
    <row r="54" spans="3:29" ht="15">
      <c r="C54" s="1346"/>
      <c r="D54" s="1346" t="s">
        <v>1101</v>
      </c>
      <c r="E54" s="1346"/>
      <c r="F54" s="1350">
        <v>0.01</v>
      </c>
      <c r="G54" s="1346"/>
      <c r="H54" s="1351"/>
      <c r="I54" s="1346"/>
      <c r="J54" s="1348">
        <f aca="true" t="shared" si="17" ref="J54:X54">-ROUND($F54*J50,0)</f>
        <v>0</v>
      </c>
      <c r="K54" s="1348">
        <f t="shared" si="17"/>
        <v>0</v>
      </c>
      <c r="L54" s="1348">
        <f t="shared" si="17"/>
        <v>0</v>
      </c>
      <c r="M54" s="1348">
        <f t="shared" si="17"/>
        <v>0</v>
      </c>
      <c r="N54" s="1348">
        <f t="shared" si="17"/>
        <v>0</v>
      </c>
      <c r="O54" s="1348">
        <f t="shared" si="17"/>
        <v>0</v>
      </c>
      <c r="P54" s="1348">
        <f t="shared" si="17"/>
        <v>0</v>
      </c>
      <c r="Q54" s="1348">
        <f t="shared" si="17"/>
        <v>0</v>
      </c>
      <c r="R54" s="1348">
        <f t="shared" si="17"/>
        <v>0</v>
      </c>
      <c r="S54" s="1348">
        <f t="shared" si="17"/>
        <v>0</v>
      </c>
      <c r="T54" s="1348">
        <f t="shared" si="17"/>
        <v>0</v>
      </c>
      <c r="U54" s="1348">
        <f t="shared" si="17"/>
        <v>0</v>
      </c>
      <c r="V54" s="1348">
        <f t="shared" si="17"/>
        <v>0</v>
      </c>
      <c r="W54" s="1348">
        <f t="shared" si="17"/>
        <v>0</v>
      </c>
      <c r="X54" s="1348">
        <f t="shared" si="17"/>
        <v>0</v>
      </c>
      <c r="Y54" s="1343"/>
      <c r="Z54" s="1343"/>
      <c r="AA54" s="1343"/>
      <c r="AB54" s="1343"/>
      <c r="AC54" s="1343"/>
    </row>
    <row r="55" spans="3:29" s="418" customFormat="1" ht="15">
      <c r="C55" s="418" t="s">
        <v>1102</v>
      </c>
      <c r="H55" s="419"/>
      <c r="J55" s="420">
        <f aca="true" t="shared" si="18" ref="J55:X55">SUM(J50:J54)</f>
        <v>0</v>
      </c>
      <c r="K55" s="420">
        <f t="shared" si="18"/>
        <v>0</v>
      </c>
      <c r="L55" s="420">
        <f t="shared" si="18"/>
        <v>0</v>
      </c>
      <c r="M55" s="420">
        <f t="shared" si="18"/>
        <v>0</v>
      </c>
      <c r="N55" s="420">
        <f t="shared" si="18"/>
        <v>0</v>
      </c>
      <c r="O55" s="420">
        <f t="shared" si="18"/>
        <v>0</v>
      </c>
      <c r="P55" s="420">
        <f t="shared" si="18"/>
        <v>0</v>
      </c>
      <c r="Q55" s="420">
        <f t="shared" si="18"/>
        <v>0</v>
      </c>
      <c r="R55" s="420">
        <f t="shared" si="18"/>
        <v>0</v>
      </c>
      <c r="S55" s="420">
        <f t="shared" si="18"/>
        <v>0</v>
      </c>
      <c r="T55" s="420">
        <f t="shared" si="18"/>
        <v>0</v>
      </c>
      <c r="U55" s="420">
        <f t="shared" si="18"/>
        <v>0</v>
      </c>
      <c r="V55" s="420">
        <f t="shared" si="18"/>
        <v>0</v>
      </c>
      <c r="W55" s="420">
        <f t="shared" si="18"/>
        <v>0</v>
      </c>
      <c r="X55" s="420">
        <f t="shared" si="18"/>
        <v>0</v>
      </c>
      <c r="Y55" s="421"/>
      <c r="Z55" s="421"/>
      <c r="AA55" s="421"/>
      <c r="AB55" s="421"/>
      <c r="AC55" s="421"/>
    </row>
    <row r="56" spans="2:24" ht="15.75" thickBot="1">
      <c r="B56" s="1356"/>
      <c r="C56" s="1356"/>
      <c r="D56" s="1356"/>
      <c r="E56" s="1356"/>
      <c r="F56" s="1356"/>
      <c r="G56" s="1356"/>
      <c r="H56" s="1357"/>
      <c r="I56" s="1356"/>
      <c r="J56" s="1356"/>
      <c r="K56" s="1356"/>
      <c r="L56" s="1356"/>
      <c r="M56" s="1356"/>
      <c r="N56" s="1356"/>
      <c r="O56" s="1356"/>
      <c r="P56" s="1356"/>
      <c r="Q56" s="1356"/>
      <c r="R56" s="1356"/>
      <c r="S56" s="1356"/>
      <c r="T56" s="1356"/>
      <c r="U56" s="1356"/>
      <c r="V56" s="1356"/>
      <c r="W56" s="1356"/>
      <c r="X56" s="1356"/>
    </row>
    <row r="57" ht="15.75" thickTop="1"/>
    <row r="58" spans="2:24" ht="15">
      <c r="B58" s="418" t="s">
        <v>1109</v>
      </c>
      <c r="C58" s="418"/>
      <c r="D58" s="418"/>
      <c r="E58" s="418"/>
      <c r="F58" s="418"/>
      <c r="G58" s="418"/>
      <c r="H58" s="419"/>
      <c r="I58" s="418"/>
      <c r="J58" s="420">
        <f aca="true" t="shared" si="19" ref="J58:X58">+J55+J43+J31+J23</f>
        <v>0</v>
      </c>
      <c r="K58" s="420">
        <f t="shared" si="19"/>
        <v>0</v>
      </c>
      <c r="L58" s="420">
        <f t="shared" si="19"/>
        <v>0</v>
      </c>
      <c r="M58" s="420">
        <f t="shared" si="19"/>
        <v>0</v>
      </c>
      <c r="N58" s="420">
        <f t="shared" si="19"/>
        <v>0</v>
      </c>
      <c r="O58" s="420">
        <f t="shared" si="19"/>
        <v>0</v>
      </c>
      <c r="P58" s="420">
        <f t="shared" si="19"/>
        <v>0</v>
      </c>
      <c r="Q58" s="420">
        <f t="shared" si="19"/>
        <v>0</v>
      </c>
      <c r="R58" s="420">
        <f t="shared" si="19"/>
        <v>0</v>
      </c>
      <c r="S58" s="420">
        <f t="shared" si="19"/>
        <v>0</v>
      </c>
      <c r="T58" s="420">
        <f t="shared" si="19"/>
        <v>0</v>
      </c>
      <c r="U58" s="420">
        <f t="shared" si="19"/>
        <v>0</v>
      </c>
      <c r="V58" s="420">
        <f t="shared" si="19"/>
        <v>0</v>
      </c>
      <c r="W58" s="420">
        <f t="shared" si="19"/>
        <v>0</v>
      </c>
      <c r="X58" s="420">
        <f t="shared" si="19"/>
        <v>0</v>
      </c>
    </row>
  </sheetData>
  <sheetProtection/>
  <mergeCells count="8">
    <mergeCell ref="E48:F48"/>
    <mergeCell ref="E49:F49"/>
    <mergeCell ref="A5:E5"/>
    <mergeCell ref="A6:E6"/>
    <mergeCell ref="A7:E7"/>
    <mergeCell ref="E17:F17"/>
    <mergeCell ref="E28:F28"/>
    <mergeCell ref="E37:F37"/>
  </mergeCells>
  <printOptions/>
  <pageMargins left="0.5" right="0.5" top="0.5" bottom="0.25" header="0.25" footer="0.5"/>
  <pageSetup fitToHeight="1" fitToWidth="1" horizontalDpi="600" verticalDpi="600" orientation="landscape" paperSize="5" scale="58" r:id="rId1"/>
</worksheet>
</file>

<file path=xl/worksheets/sheet17.xml><?xml version="1.0" encoding="utf-8"?>
<worksheet xmlns="http://schemas.openxmlformats.org/spreadsheetml/2006/main" xmlns:r="http://schemas.openxmlformats.org/officeDocument/2006/relationships">
  <sheetPr codeName="Sheet12">
    <pageSetUpPr fitToPage="1"/>
  </sheetPr>
  <dimension ref="A1:FB64"/>
  <sheetViews>
    <sheetView showGridLines="0" zoomScale="75" zoomScaleNormal="75" zoomScalePageLayoutView="0" workbookViewId="0" topLeftCell="A1">
      <selection activeCell="H28" sqref="H28"/>
    </sheetView>
  </sheetViews>
  <sheetFormatPr defaultColWidth="7.10546875" defaultRowHeight="15"/>
  <cols>
    <col min="1" max="4" width="3.6640625" style="1358" customWidth="1"/>
    <col min="5" max="5" width="7.10546875" style="1358" customWidth="1"/>
    <col min="6" max="6" width="10.77734375" style="1358" customWidth="1"/>
    <col min="7" max="7" width="10.3359375" style="1358" customWidth="1"/>
    <col min="8" max="8" width="10.3359375" style="1359" customWidth="1"/>
    <col min="9" max="9" width="2.21484375" style="1359" customWidth="1"/>
    <col min="10" max="10" width="10.3359375" style="1340" customWidth="1"/>
    <col min="11" max="11" width="11.21484375" style="1340" customWidth="1"/>
    <col min="12" max="12" width="11.5546875" style="1340" customWidth="1"/>
    <col min="13" max="24" width="10.3359375" style="1340" customWidth="1"/>
    <col min="25" max="26" width="12.21484375" style="399" customWidth="1"/>
    <col min="27" max="52" width="12.21484375" style="1340" customWidth="1"/>
    <col min="53" max="56" width="12.21484375" style="1358" customWidth="1"/>
    <col min="57" max="16384" width="7.10546875" style="1358" customWidth="1"/>
  </cols>
  <sheetData>
    <row r="1" spans="1:26" s="1340" customFormat="1" ht="15">
      <c r="A1" s="418" t="s">
        <v>1084</v>
      </c>
      <c r="B1" s="418"/>
      <c r="C1" s="418"/>
      <c r="D1" s="418"/>
      <c r="E1" s="418"/>
      <c r="F1" s="418"/>
      <c r="G1" s="418"/>
      <c r="H1" s="1339"/>
      <c r="I1" s="1339"/>
      <c r="J1" s="418" t="s">
        <v>1606</v>
      </c>
      <c r="Y1" s="399"/>
      <c r="Z1" s="399"/>
    </row>
    <row r="2" spans="2:26" s="1340" customFormat="1" ht="15">
      <c r="B2" s="418"/>
      <c r="C2" s="418"/>
      <c r="D2" s="418"/>
      <c r="E2" s="418"/>
      <c r="F2" s="418"/>
      <c r="G2" s="418"/>
      <c r="H2" s="419"/>
      <c r="I2" s="419"/>
      <c r="J2" s="418"/>
      <c r="K2" s="418"/>
      <c r="Y2" s="399"/>
      <c r="Z2" s="399"/>
    </row>
    <row r="3" spans="1:26" s="1340" customFormat="1" ht="17.25">
      <c r="A3" s="423" t="s">
        <v>560</v>
      </c>
      <c r="H3" s="1339"/>
      <c r="I3" s="1339"/>
      <c r="Y3" s="399"/>
      <c r="Z3" s="399"/>
    </row>
    <row r="4" spans="1:26" s="1340" customFormat="1" ht="17.25">
      <c r="A4" s="423"/>
      <c r="H4" s="1339"/>
      <c r="I4" s="1339"/>
      <c r="Y4" s="399"/>
      <c r="Z4" s="399"/>
    </row>
    <row r="5" spans="1:26" s="1340" customFormat="1" ht="17.25">
      <c r="A5" s="1618">
        <f>+Breakdown!C5</f>
        <v>0</v>
      </c>
      <c r="B5" s="1619"/>
      <c r="C5" s="1619"/>
      <c r="D5" s="1619"/>
      <c r="E5" s="1619"/>
      <c r="H5" s="1339"/>
      <c r="I5" s="1339"/>
      <c r="K5" s="424" t="s">
        <v>1110</v>
      </c>
      <c r="L5" s="425"/>
      <c r="Y5" s="399"/>
      <c r="Z5" s="399"/>
    </row>
    <row r="6" spans="1:26" s="1340" customFormat="1" ht="17.25">
      <c r="A6" s="1618">
        <f>+Breakdown!C6</f>
        <v>0</v>
      </c>
      <c r="B6" s="1619"/>
      <c r="C6" s="1619"/>
      <c r="D6" s="1619"/>
      <c r="E6" s="1619"/>
      <c r="H6" s="1339"/>
      <c r="I6" s="1339"/>
      <c r="K6" s="424" t="s">
        <v>1111</v>
      </c>
      <c r="L6" s="426"/>
      <c r="Y6" s="399"/>
      <c r="Z6" s="399"/>
    </row>
    <row r="7" spans="1:26" s="1340" customFormat="1" ht="17.25">
      <c r="A7" s="1618">
        <f>+Breakdown!C7</f>
        <v>0</v>
      </c>
      <c r="B7" s="1619"/>
      <c r="C7" s="1619"/>
      <c r="D7" s="1619"/>
      <c r="E7" s="1619"/>
      <c r="F7" s="399"/>
      <c r="H7" s="1339"/>
      <c r="I7" s="1339"/>
      <c r="K7" s="424" t="s">
        <v>1112</v>
      </c>
      <c r="L7" s="426"/>
      <c r="Y7" s="399"/>
      <c r="Z7" s="399"/>
    </row>
    <row r="9" spans="11:24" ht="15">
      <c r="K9" s="1341"/>
      <c r="L9" s="1341"/>
      <c r="M9" s="1341"/>
      <c r="N9" s="1341"/>
      <c r="O9" s="1341"/>
      <c r="P9" s="1341"/>
      <c r="Q9" s="1341"/>
      <c r="R9" s="1341"/>
      <c r="S9" s="1341"/>
      <c r="T9" s="1341"/>
      <c r="U9" s="1341"/>
      <c r="V9" s="1341"/>
      <c r="W9" s="1341"/>
      <c r="X9" s="1341"/>
    </row>
    <row r="10" spans="7:52" s="1360" customFormat="1" ht="15">
      <c r="G10" s="1361" t="s">
        <v>1086</v>
      </c>
      <c r="H10" s="1362" t="s">
        <v>1087</v>
      </c>
      <c r="I10" s="1362"/>
      <c r="J10" s="403" t="s">
        <v>1088</v>
      </c>
      <c r="K10" s="403" t="s">
        <v>1088</v>
      </c>
      <c r="L10" s="403" t="s">
        <v>1088</v>
      </c>
      <c r="M10" s="403" t="s">
        <v>1088</v>
      </c>
      <c r="N10" s="403" t="s">
        <v>1088</v>
      </c>
      <c r="O10" s="403" t="s">
        <v>1088</v>
      </c>
      <c r="P10" s="403" t="s">
        <v>1088</v>
      </c>
      <c r="Q10" s="403" t="s">
        <v>1088</v>
      </c>
      <c r="R10" s="403" t="s">
        <v>1088</v>
      </c>
      <c r="S10" s="403" t="s">
        <v>1088</v>
      </c>
      <c r="T10" s="403" t="s">
        <v>1088</v>
      </c>
      <c r="U10" s="403" t="s">
        <v>1088</v>
      </c>
      <c r="V10" s="403" t="s">
        <v>1088</v>
      </c>
      <c r="W10" s="403" t="s">
        <v>1088</v>
      </c>
      <c r="X10" s="403" t="s">
        <v>1088</v>
      </c>
      <c r="Y10" s="399"/>
      <c r="Z10" s="399"/>
      <c r="AA10" s="418"/>
      <c r="AB10" s="418"/>
      <c r="AC10" s="418"/>
      <c r="AD10" s="418"/>
      <c r="AE10" s="418"/>
      <c r="AF10" s="418"/>
      <c r="AG10" s="418"/>
      <c r="AH10" s="418"/>
      <c r="AI10" s="418"/>
      <c r="AJ10" s="418"/>
      <c r="AK10" s="418"/>
      <c r="AL10" s="418"/>
      <c r="AM10" s="418"/>
      <c r="AN10" s="418"/>
      <c r="AO10" s="418"/>
      <c r="AP10" s="418"/>
      <c r="AQ10" s="418"/>
      <c r="AR10" s="418"/>
      <c r="AS10" s="418"/>
      <c r="AT10" s="418"/>
      <c r="AU10" s="418"/>
      <c r="AV10" s="418"/>
      <c r="AW10" s="418"/>
      <c r="AX10" s="418"/>
      <c r="AY10" s="418"/>
      <c r="AZ10" s="418"/>
    </row>
    <row r="11" spans="7:52" s="1360" customFormat="1" ht="15">
      <c r="G11" s="1361" t="s">
        <v>1089</v>
      </c>
      <c r="H11" s="1362" t="s">
        <v>1090</v>
      </c>
      <c r="I11" s="1362"/>
      <c r="J11" s="403">
        <v>1</v>
      </c>
      <c r="K11" s="403">
        <f aca="true" t="shared" si="0" ref="K11:X11">+J11+1</f>
        <v>2</v>
      </c>
      <c r="L11" s="403">
        <f t="shared" si="0"/>
        <v>3</v>
      </c>
      <c r="M11" s="403">
        <f t="shared" si="0"/>
        <v>4</v>
      </c>
      <c r="N11" s="403">
        <f t="shared" si="0"/>
        <v>5</v>
      </c>
      <c r="O11" s="403">
        <f t="shared" si="0"/>
        <v>6</v>
      </c>
      <c r="P11" s="403">
        <f t="shared" si="0"/>
        <v>7</v>
      </c>
      <c r="Q11" s="403">
        <f t="shared" si="0"/>
        <v>8</v>
      </c>
      <c r="R11" s="403">
        <f t="shared" si="0"/>
        <v>9</v>
      </c>
      <c r="S11" s="403">
        <f t="shared" si="0"/>
        <v>10</v>
      </c>
      <c r="T11" s="403">
        <f t="shared" si="0"/>
        <v>11</v>
      </c>
      <c r="U11" s="403">
        <f t="shared" si="0"/>
        <v>12</v>
      </c>
      <c r="V11" s="403">
        <f t="shared" si="0"/>
        <v>13</v>
      </c>
      <c r="W11" s="403">
        <f t="shared" si="0"/>
        <v>14</v>
      </c>
      <c r="X11" s="403">
        <f t="shared" si="0"/>
        <v>15</v>
      </c>
      <c r="Y11" s="399"/>
      <c r="Z11" s="399"/>
      <c r="AA11" s="418"/>
      <c r="AB11" s="418"/>
      <c r="AC11" s="418"/>
      <c r="AD11" s="418"/>
      <c r="AE11" s="418"/>
      <c r="AF11" s="418"/>
      <c r="AG11" s="418"/>
      <c r="AH11" s="418"/>
      <c r="AI11" s="418"/>
      <c r="AJ11" s="418"/>
      <c r="AK11" s="418"/>
      <c r="AL11" s="418"/>
      <c r="AM11" s="418"/>
      <c r="AN11" s="418"/>
      <c r="AO11" s="418"/>
      <c r="AP11" s="418"/>
      <c r="AQ11" s="418"/>
      <c r="AR11" s="418"/>
      <c r="AS11" s="418"/>
      <c r="AT11" s="418"/>
      <c r="AU11" s="418"/>
      <c r="AV11" s="418"/>
      <c r="AW11" s="418"/>
      <c r="AX11" s="418"/>
      <c r="AY11" s="418"/>
      <c r="AZ11" s="418"/>
    </row>
    <row r="14" spans="1:24" ht="15">
      <c r="A14" s="418" t="s">
        <v>1109</v>
      </c>
      <c r="C14" s="418"/>
      <c r="D14" s="418"/>
      <c r="E14" s="418"/>
      <c r="F14" s="418"/>
      <c r="G14" s="418"/>
      <c r="H14" s="419"/>
      <c r="I14" s="419"/>
      <c r="J14" s="420">
        <f>+'OPER INCOME'!J58</f>
        <v>0</v>
      </c>
      <c r="K14" s="420">
        <f>+'OPER INCOME'!K58</f>
        <v>0</v>
      </c>
      <c r="L14" s="420">
        <f>+'OPER INCOME'!L58</f>
        <v>0</v>
      </c>
      <c r="M14" s="420">
        <f>+'OPER INCOME'!M58</f>
        <v>0</v>
      </c>
      <c r="N14" s="420">
        <f>+'OPER INCOME'!N58</f>
        <v>0</v>
      </c>
      <c r="O14" s="420">
        <f>+'OPER INCOME'!O58</f>
        <v>0</v>
      </c>
      <c r="P14" s="420">
        <f>+'OPER INCOME'!P58</f>
        <v>0</v>
      </c>
      <c r="Q14" s="420">
        <f>+'OPER INCOME'!Q58</f>
        <v>0</v>
      </c>
      <c r="R14" s="420">
        <f>+'OPER INCOME'!R58</f>
        <v>0</v>
      </c>
      <c r="S14" s="420">
        <f>+'OPER INCOME'!S58</f>
        <v>0</v>
      </c>
      <c r="T14" s="420">
        <f>+'OPER INCOME'!T58</f>
        <v>0</v>
      </c>
      <c r="U14" s="420">
        <f>+'OPER INCOME'!U58</f>
        <v>0</v>
      </c>
      <c r="V14" s="420">
        <f>+'OPER INCOME'!V58</f>
        <v>0</v>
      </c>
      <c r="W14" s="420">
        <f>+'OPER INCOME'!W58</f>
        <v>0</v>
      </c>
      <c r="X14" s="420">
        <f>+'OPER INCOME'!X58</f>
        <v>0</v>
      </c>
    </row>
    <row r="17" ht="15">
      <c r="A17" s="418" t="s">
        <v>556</v>
      </c>
    </row>
    <row r="19" spans="2:114" ht="15">
      <c r="B19" s="1358" t="s">
        <v>1114</v>
      </c>
      <c r="G19" s="1363">
        <f>IF(OR(EligBasisLimits!$C$16=0,EligBasisLimits!$C$16=""),"",J19/EligBasisLimits!$C$16)</f>
      </c>
      <c r="H19" s="1364">
        <v>0.03</v>
      </c>
      <c r="I19" s="1365"/>
      <c r="J19" s="1366"/>
      <c r="K19" s="1367">
        <f aca="true" t="shared" si="1" ref="K19:X23">INT(J19*(1+$H19))</f>
        <v>0</v>
      </c>
      <c r="L19" s="1367">
        <f t="shared" si="1"/>
        <v>0</v>
      </c>
      <c r="M19" s="1367">
        <f t="shared" si="1"/>
        <v>0</v>
      </c>
      <c r="N19" s="1367">
        <f t="shared" si="1"/>
        <v>0</v>
      </c>
      <c r="O19" s="1367">
        <f t="shared" si="1"/>
        <v>0</v>
      </c>
      <c r="P19" s="1367">
        <f t="shared" si="1"/>
        <v>0</v>
      </c>
      <c r="Q19" s="1367">
        <f t="shared" si="1"/>
        <v>0</v>
      </c>
      <c r="R19" s="1367">
        <f t="shared" si="1"/>
        <v>0</v>
      </c>
      <c r="S19" s="1367">
        <f t="shared" si="1"/>
        <v>0</v>
      </c>
      <c r="T19" s="1367">
        <f t="shared" si="1"/>
        <v>0</v>
      </c>
      <c r="U19" s="1367">
        <f t="shared" si="1"/>
        <v>0</v>
      </c>
      <c r="V19" s="1367">
        <f t="shared" si="1"/>
        <v>0</v>
      </c>
      <c r="W19" s="1367">
        <f t="shared" si="1"/>
        <v>0</v>
      </c>
      <c r="X19" s="1367">
        <f t="shared" si="1"/>
        <v>0</v>
      </c>
      <c r="BA19" s="1340"/>
      <c r="BB19" s="1340"/>
      <c r="BC19" s="1340"/>
      <c r="BE19" s="1340"/>
      <c r="BF19" s="1340"/>
      <c r="BG19" s="1340"/>
      <c r="BH19" s="1340"/>
      <c r="BI19" s="1340"/>
      <c r="BJ19" s="1340"/>
      <c r="BK19" s="1340"/>
      <c r="BL19" s="1340"/>
      <c r="BM19" s="1340"/>
      <c r="BN19" s="1340"/>
      <c r="BO19" s="1340"/>
      <c r="BP19" s="1340"/>
      <c r="BQ19" s="1340"/>
      <c r="BR19" s="1340"/>
      <c r="BS19" s="1340"/>
      <c r="BT19" s="1340"/>
      <c r="BU19" s="1340"/>
      <c r="BV19" s="1340"/>
      <c r="BW19" s="1340"/>
      <c r="BX19" s="1340"/>
      <c r="BY19" s="1340"/>
      <c r="BZ19" s="1340"/>
      <c r="CA19" s="1340"/>
      <c r="CB19" s="1340"/>
      <c r="CC19" s="1340"/>
      <c r="CD19" s="1340"/>
      <c r="CE19" s="1340"/>
      <c r="CF19" s="1340"/>
      <c r="CG19" s="1340"/>
      <c r="CH19" s="1340"/>
      <c r="CI19" s="1340"/>
      <c r="CJ19" s="1340"/>
      <c r="CK19" s="1340"/>
      <c r="CL19" s="1340"/>
      <c r="CM19" s="1340"/>
      <c r="CN19" s="1340"/>
      <c r="CO19" s="1340"/>
      <c r="CP19" s="1340"/>
      <c r="CQ19" s="1340"/>
      <c r="CR19" s="1340"/>
      <c r="CS19" s="1340"/>
      <c r="CT19" s="1340"/>
      <c r="CU19" s="1340"/>
      <c r="CV19" s="1340"/>
      <c r="CW19" s="1340"/>
      <c r="CX19" s="1340"/>
      <c r="CY19" s="1340"/>
      <c r="CZ19" s="1340"/>
      <c r="DA19" s="1340"/>
      <c r="DB19" s="1340"/>
      <c r="DC19" s="1340"/>
      <c r="DD19" s="1340"/>
      <c r="DE19" s="1340"/>
      <c r="DF19" s="1340"/>
      <c r="DG19" s="1340"/>
      <c r="DH19" s="1340"/>
      <c r="DI19" s="1340"/>
      <c r="DJ19" s="1340"/>
    </row>
    <row r="20" spans="2:114" ht="15">
      <c r="B20" s="1358" t="s">
        <v>1115</v>
      </c>
      <c r="G20" s="1363">
        <f>IF(OR(EligBasisLimits!$C$16=0,EligBasisLimits!$C$16=""),"",J20/EligBasisLimits!$C$16)</f>
      </c>
      <c r="H20" s="1364">
        <v>0.03</v>
      </c>
      <c r="I20" s="1365"/>
      <c r="J20" s="1366"/>
      <c r="K20" s="1367">
        <f t="shared" si="1"/>
        <v>0</v>
      </c>
      <c r="L20" s="1367">
        <f t="shared" si="1"/>
        <v>0</v>
      </c>
      <c r="M20" s="1367">
        <f t="shared" si="1"/>
        <v>0</v>
      </c>
      <c r="N20" s="1367">
        <f t="shared" si="1"/>
        <v>0</v>
      </c>
      <c r="O20" s="1367">
        <f t="shared" si="1"/>
        <v>0</v>
      </c>
      <c r="P20" s="1367">
        <f t="shared" si="1"/>
        <v>0</v>
      </c>
      <c r="Q20" s="1367">
        <f t="shared" si="1"/>
        <v>0</v>
      </c>
      <c r="R20" s="1367">
        <f t="shared" si="1"/>
        <v>0</v>
      </c>
      <c r="S20" s="1367">
        <f t="shared" si="1"/>
        <v>0</v>
      </c>
      <c r="T20" s="1367">
        <f t="shared" si="1"/>
        <v>0</v>
      </c>
      <c r="U20" s="1367">
        <f t="shared" si="1"/>
        <v>0</v>
      </c>
      <c r="V20" s="1367">
        <f t="shared" si="1"/>
        <v>0</v>
      </c>
      <c r="W20" s="1367">
        <f t="shared" si="1"/>
        <v>0</v>
      </c>
      <c r="X20" s="1367">
        <f t="shared" si="1"/>
        <v>0</v>
      </c>
      <c r="BA20" s="1340"/>
      <c r="BB20" s="1340"/>
      <c r="BC20" s="1340"/>
      <c r="BE20" s="1340"/>
      <c r="BF20" s="1340"/>
      <c r="BG20" s="1340"/>
      <c r="BH20" s="1340"/>
      <c r="BI20" s="1340"/>
      <c r="BJ20" s="1340"/>
      <c r="BK20" s="1340"/>
      <c r="BL20" s="1340"/>
      <c r="BM20" s="1340"/>
      <c r="BN20" s="1340"/>
      <c r="BO20" s="1340"/>
      <c r="BP20" s="1340"/>
      <c r="BQ20" s="1340"/>
      <c r="BR20" s="1340"/>
      <c r="BS20" s="1340"/>
      <c r="BT20" s="1340"/>
      <c r="BU20" s="1340"/>
      <c r="BV20" s="1340"/>
      <c r="BW20" s="1340"/>
      <c r="BX20" s="1340"/>
      <c r="BY20" s="1340"/>
      <c r="BZ20" s="1340"/>
      <c r="CA20" s="1340"/>
      <c r="CB20" s="1340"/>
      <c r="CC20" s="1340"/>
      <c r="CD20" s="1340"/>
      <c r="CE20" s="1340"/>
      <c r="CF20" s="1340"/>
      <c r="CG20" s="1340"/>
      <c r="CH20" s="1340"/>
      <c r="CI20" s="1340"/>
      <c r="CJ20" s="1340"/>
      <c r="CK20" s="1340"/>
      <c r="CL20" s="1340"/>
      <c r="CM20" s="1340"/>
      <c r="CN20" s="1340"/>
      <c r="CO20" s="1340"/>
      <c r="CP20" s="1340"/>
      <c r="CQ20" s="1340"/>
      <c r="CR20" s="1340"/>
      <c r="CS20" s="1340"/>
      <c r="CT20" s="1340"/>
      <c r="CU20" s="1340"/>
      <c r="CV20" s="1340"/>
      <c r="CW20" s="1340"/>
      <c r="CX20" s="1340"/>
      <c r="CY20" s="1340"/>
      <c r="CZ20" s="1340"/>
      <c r="DA20" s="1340"/>
      <c r="DB20" s="1340"/>
      <c r="DC20" s="1340"/>
      <c r="DD20" s="1340"/>
      <c r="DE20" s="1340"/>
      <c r="DF20" s="1340"/>
      <c r="DG20" s="1340"/>
      <c r="DH20" s="1340"/>
      <c r="DI20" s="1340"/>
      <c r="DJ20" s="1340"/>
    </row>
    <row r="21" spans="2:114" ht="15">
      <c r="B21" s="1358" t="s">
        <v>1116</v>
      </c>
      <c r="G21" s="1363">
        <f>IF(OR(EligBasisLimits!$C$16=0,EligBasisLimits!$C$16=""),"",J21/EligBasisLimits!$C$16)</f>
      </c>
      <c r="H21" s="1364">
        <v>0.03</v>
      </c>
      <c r="I21" s="1365"/>
      <c r="J21" s="1366"/>
      <c r="K21" s="1367">
        <f t="shared" si="1"/>
        <v>0</v>
      </c>
      <c r="L21" s="1367">
        <f t="shared" si="1"/>
        <v>0</v>
      </c>
      <c r="M21" s="1367">
        <f t="shared" si="1"/>
        <v>0</v>
      </c>
      <c r="N21" s="1367">
        <f t="shared" si="1"/>
        <v>0</v>
      </c>
      <c r="O21" s="1367">
        <f t="shared" si="1"/>
        <v>0</v>
      </c>
      <c r="P21" s="1367">
        <f t="shared" si="1"/>
        <v>0</v>
      </c>
      <c r="Q21" s="1367">
        <f t="shared" si="1"/>
        <v>0</v>
      </c>
      <c r="R21" s="1367">
        <f t="shared" si="1"/>
        <v>0</v>
      </c>
      <c r="S21" s="1367">
        <f t="shared" si="1"/>
        <v>0</v>
      </c>
      <c r="T21" s="1367">
        <f t="shared" si="1"/>
        <v>0</v>
      </c>
      <c r="U21" s="1367">
        <f t="shared" si="1"/>
        <v>0</v>
      </c>
      <c r="V21" s="1367">
        <f t="shared" si="1"/>
        <v>0</v>
      </c>
      <c r="W21" s="1367">
        <f t="shared" si="1"/>
        <v>0</v>
      </c>
      <c r="X21" s="1367">
        <f t="shared" si="1"/>
        <v>0</v>
      </c>
      <c r="BA21" s="1340"/>
      <c r="BB21" s="1340"/>
      <c r="BC21" s="1340"/>
      <c r="BE21" s="1340"/>
      <c r="BF21" s="1340"/>
      <c r="BG21" s="1340"/>
      <c r="BH21" s="1340"/>
      <c r="BI21" s="1340"/>
      <c r="BJ21" s="1340"/>
      <c r="BK21" s="1340"/>
      <c r="BL21" s="1340"/>
      <c r="BM21" s="1340"/>
      <c r="BN21" s="1340"/>
      <c r="BO21" s="1340"/>
      <c r="BP21" s="1340"/>
      <c r="BQ21" s="1340"/>
      <c r="BR21" s="1340"/>
      <c r="BS21" s="1340"/>
      <c r="BT21" s="1340"/>
      <c r="BU21" s="1340"/>
      <c r="BV21" s="1340"/>
      <c r="BW21" s="1340"/>
      <c r="BX21" s="1340"/>
      <c r="BY21" s="1340"/>
      <c r="BZ21" s="1340"/>
      <c r="CA21" s="1340"/>
      <c r="CB21" s="1340"/>
      <c r="CC21" s="1340"/>
      <c r="CD21" s="1340"/>
      <c r="CE21" s="1340"/>
      <c r="CF21" s="1340"/>
      <c r="CG21" s="1340"/>
      <c r="CH21" s="1340"/>
      <c r="CI21" s="1340"/>
      <c r="CJ21" s="1340"/>
      <c r="CK21" s="1340"/>
      <c r="CL21" s="1340"/>
      <c r="CM21" s="1340"/>
      <c r="CN21" s="1340"/>
      <c r="CO21" s="1340"/>
      <c r="CP21" s="1340"/>
      <c r="CQ21" s="1340"/>
      <c r="CR21" s="1340"/>
      <c r="CS21" s="1340"/>
      <c r="CT21" s="1340"/>
      <c r="CU21" s="1340"/>
      <c r="CV21" s="1340"/>
      <c r="CW21" s="1340"/>
      <c r="CX21" s="1340"/>
      <c r="CY21" s="1340"/>
      <c r="CZ21" s="1340"/>
      <c r="DA21" s="1340"/>
      <c r="DB21" s="1340"/>
      <c r="DC21" s="1340"/>
      <c r="DD21" s="1340"/>
      <c r="DE21" s="1340"/>
      <c r="DF21" s="1340"/>
      <c r="DG21" s="1340"/>
      <c r="DH21" s="1340"/>
      <c r="DI21" s="1340"/>
      <c r="DJ21" s="1340"/>
    </row>
    <row r="22" spans="2:114" ht="15">
      <c r="B22" s="1358" t="s">
        <v>452</v>
      </c>
      <c r="G22" s="1363">
        <f>IF(OR(EligBasisLimits!$C$16=0,EligBasisLimits!$C$16=""),"",J22/EligBasisLimits!$C$16)</f>
      </c>
      <c r="H22" s="1364">
        <v>0.03</v>
      </c>
      <c r="I22" s="1365"/>
      <c r="J22" s="1366"/>
      <c r="K22" s="1367">
        <f t="shared" si="1"/>
        <v>0</v>
      </c>
      <c r="L22" s="1367">
        <f t="shared" si="1"/>
        <v>0</v>
      </c>
      <c r="M22" s="1367">
        <f t="shared" si="1"/>
        <v>0</v>
      </c>
      <c r="N22" s="1367">
        <f t="shared" si="1"/>
        <v>0</v>
      </c>
      <c r="O22" s="1367">
        <f t="shared" si="1"/>
        <v>0</v>
      </c>
      <c r="P22" s="1367">
        <f t="shared" si="1"/>
        <v>0</v>
      </c>
      <c r="Q22" s="1367">
        <f t="shared" si="1"/>
        <v>0</v>
      </c>
      <c r="R22" s="1367">
        <f t="shared" si="1"/>
        <v>0</v>
      </c>
      <c r="S22" s="1367">
        <f t="shared" si="1"/>
        <v>0</v>
      </c>
      <c r="T22" s="1367">
        <f t="shared" si="1"/>
        <v>0</v>
      </c>
      <c r="U22" s="1367">
        <f t="shared" si="1"/>
        <v>0</v>
      </c>
      <c r="V22" s="1367">
        <f t="shared" si="1"/>
        <v>0</v>
      </c>
      <c r="W22" s="1367">
        <f t="shared" si="1"/>
        <v>0</v>
      </c>
      <c r="X22" s="1367">
        <f t="shared" si="1"/>
        <v>0</v>
      </c>
      <c r="BA22" s="1340"/>
      <c r="BB22" s="1340"/>
      <c r="BC22" s="1340"/>
      <c r="BE22" s="1340"/>
      <c r="BF22" s="1340"/>
      <c r="BG22" s="1340"/>
      <c r="BH22" s="1340"/>
      <c r="BI22" s="1340"/>
      <c r="BJ22" s="1340"/>
      <c r="BK22" s="1340"/>
      <c r="BL22" s="1340"/>
      <c r="BM22" s="1340"/>
      <c r="BN22" s="1340"/>
      <c r="BO22" s="1340"/>
      <c r="BP22" s="1340"/>
      <c r="BQ22" s="1340"/>
      <c r="BR22" s="1340"/>
      <c r="BS22" s="1340"/>
      <c r="BT22" s="1340"/>
      <c r="BU22" s="1340"/>
      <c r="BV22" s="1340"/>
      <c r="BW22" s="1340"/>
      <c r="BX22" s="1340"/>
      <c r="BY22" s="1340"/>
      <c r="BZ22" s="1340"/>
      <c r="CA22" s="1340"/>
      <c r="CB22" s="1340"/>
      <c r="CC22" s="1340"/>
      <c r="CD22" s="1340"/>
      <c r="CE22" s="1340"/>
      <c r="CF22" s="1340"/>
      <c r="CG22" s="1340"/>
      <c r="CH22" s="1340"/>
      <c r="CI22" s="1340"/>
      <c r="CJ22" s="1340"/>
      <c r="CK22" s="1340"/>
      <c r="CL22" s="1340"/>
      <c r="CM22" s="1340"/>
      <c r="CN22" s="1340"/>
      <c r="CO22" s="1340"/>
      <c r="CP22" s="1340"/>
      <c r="CQ22" s="1340"/>
      <c r="CR22" s="1340"/>
      <c r="CS22" s="1340"/>
      <c r="CT22" s="1340"/>
      <c r="CU22" s="1340"/>
      <c r="CV22" s="1340"/>
      <c r="CW22" s="1340"/>
      <c r="CX22" s="1340"/>
      <c r="CY22" s="1340"/>
      <c r="CZ22" s="1340"/>
      <c r="DA22" s="1340"/>
      <c r="DB22" s="1340"/>
      <c r="DC22" s="1340"/>
      <c r="DD22" s="1340"/>
      <c r="DE22" s="1340"/>
      <c r="DF22" s="1340"/>
      <c r="DG22" s="1340"/>
      <c r="DH22" s="1340"/>
      <c r="DI22" s="1340"/>
      <c r="DJ22" s="1340"/>
    </row>
    <row r="23" spans="2:114" ht="15">
      <c r="B23" s="1368" t="s">
        <v>1117</v>
      </c>
      <c r="C23" s="1368"/>
      <c r="D23" s="1368"/>
      <c r="E23" s="1368"/>
      <c r="F23" s="1368"/>
      <c r="G23" s="1369">
        <f>IF(OR(EligBasisLimits!$C$16=0,EligBasisLimits!$C$16=""),"",J23/EligBasisLimits!$C$16)</f>
      </c>
      <c r="H23" s="432">
        <v>0.03</v>
      </c>
      <c r="I23" s="1370"/>
      <c r="J23" s="1371"/>
      <c r="K23" s="1372">
        <f t="shared" si="1"/>
        <v>0</v>
      </c>
      <c r="L23" s="1372">
        <f t="shared" si="1"/>
        <v>0</v>
      </c>
      <c r="M23" s="1372">
        <f t="shared" si="1"/>
        <v>0</v>
      </c>
      <c r="N23" s="1372">
        <f t="shared" si="1"/>
        <v>0</v>
      </c>
      <c r="O23" s="1372">
        <f t="shared" si="1"/>
        <v>0</v>
      </c>
      <c r="P23" s="1372">
        <f t="shared" si="1"/>
        <v>0</v>
      </c>
      <c r="Q23" s="1372">
        <f t="shared" si="1"/>
        <v>0</v>
      </c>
      <c r="R23" s="1372">
        <f t="shared" si="1"/>
        <v>0</v>
      </c>
      <c r="S23" s="1372">
        <f t="shared" si="1"/>
        <v>0</v>
      </c>
      <c r="T23" s="1372">
        <f t="shared" si="1"/>
        <v>0</v>
      </c>
      <c r="U23" s="1372">
        <f t="shared" si="1"/>
        <v>0</v>
      </c>
      <c r="V23" s="1372">
        <f t="shared" si="1"/>
        <v>0</v>
      </c>
      <c r="W23" s="1372">
        <f t="shared" si="1"/>
        <v>0</v>
      </c>
      <c r="X23" s="1372">
        <f t="shared" si="1"/>
        <v>0</v>
      </c>
      <c r="BA23" s="1340"/>
      <c r="BB23" s="1340"/>
      <c r="BC23" s="1340"/>
      <c r="BE23" s="1340"/>
      <c r="BF23" s="1340"/>
      <c r="BG23" s="1340"/>
      <c r="BH23" s="1340"/>
      <c r="BI23" s="1340"/>
      <c r="BJ23" s="1340"/>
      <c r="BK23" s="1340"/>
      <c r="BL23" s="1340"/>
      <c r="BM23" s="1340"/>
      <c r="BN23" s="1340"/>
      <c r="BO23" s="1340"/>
      <c r="BP23" s="1340"/>
      <c r="BQ23" s="1340"/>
      <c r="BR23" s="1340"/>
      <c r="BS23" s="1340"/>
      <c r="BT23" s="1340"/>
      <c r="BU23" s="1340"/>
      <c r="BV23" s="1340"/>
      <c r="BW23" s="1340"/>
      <c r="BX23" s="1340"/>
      <c r="BY23" s="1340"/>
      <c r="BZ23" s="1340"/>
      <c r="CA23" s="1340"/>
      <c r="CB23" s="1340"/>
      <c r="CC23" s="1340"/>
      <c r="CD23" s="1340"/>
      <c r="CE23" s="1340"/>
      <c r="CF23" s="1340"/>
      <c r="CG23" s="1340"/>
      <c r="CH23" s="1340"/>
      <c r="CI23" s="1340"/>
      <c r="CJ23" s="1340"/>
      <c r="CK23" s="1340"/>
      <c r="CL23" s="1340"/>
      <c r="CM23" s="1340"/>
      <c r="CN23" s="1340"/>
      <c r="CO23" s="1340"/>
      <c r="CP23" s="1340"/>
      <c r="CQ23" s="1340"/>
      <c r="CR23" s="1340"/>
      <c r="CS23" s="1340"/>
      <c r="CT23" s="1340"/>
      <c r="CU23" s="1340"/>
      <c r="CV23" s="1340"/>
      <c r="CW23" s="1340"/>
      <c r="CX23" s="1340"/>
      <c r="CY23" s="1340"/>
      <c r="CZ23" s="1340"/>
      <c r="DA23" s="1340"/>
      <c r="DB23" s="1340"/>
      <c r="DC23" s="1340"/>
      <c r="DD23" s="1340"/>
      <c r="DE23" s="1340"/>
      <c r="DF23" s="1340"/>
      <c r="DG23" s="1340"/>
      <c r="DH23" s="1340"/>
      <c r="DI23" s="1340"/>
      <c r="DJ23" s="1340"/>
    </row>
    <row r="24" spans="2:26" s="418" customFormat="1" ht="15">
      <c r="B24" s="418" t="s">
        <v>1098</v>
      </c>
      <c r="G24" s="1363">
        <f>IF(OR(EligBasisLimits!$C$16=0,EligBasisLimits!$C$16=""),"",J24/EligBasisLimits!$C$16)</f>
      </c>
      <c r="H24" s="1342"/>
      <c r="I24" s="1342"/>
      <c r="J24" s="420">
        <f>SUM(J19:J23)</f>
        <v>0</v>
      </c>
      <c r="K24" s="420">
        <f aca="true" t="shared" si="2" ref="K24:X24">SUM(K16:K23)</f>
        <v>0</v>
      </c>
      <c r="L24" s="420">
        <f t="shared" si="2"/>
        <v>0</v>
      </c>
      <c r="M24" s="420">
        <f t="shared" si="2"/>
        <v>0</v>
      </c>
      <c r="N24" s="420">
        <f t="shared" si="2"/>
        <v>0</v>
      </c>
      <c r="O24" s="420">
        <f t="shared" si="2"/>
        <v>0</v>
      </c>
      <c r="P24" s="420">
        <f t="shared" si="2"/>
        <v>0</v>
      </c>
      <c r="Q24" s="420">
        <f t="shared" si="2"/>
        <v>0</v>
      </c>
      <c r="R24" s="420">
        <f t="shared" si="2"/>
        <v>0</v>
      </c>
      <c r="S24" s="420">
        <f t="shared" si="2"/>
        <v>0</v>
      </c>
      <c r="T24" s="420">
        <f t="shared" si="2"/>
        <v>0</v>
      </c>
      <c r="U24" s="420">
        <f t="shared" si="2"/>
        <v>0</v>
      </c>
      <c r="V24" s="420">
        <f t="shared" si="2"/>
        <v>0</v>
      </c>
      <c r="W24" s="420">
        <f t="shared" si="2"/>
        <v>0</v>
      </c>
      <c r="X24" s="420">
        <f t="shared" si="2"/>
        <v>0</v>
      </c>
      <c r="Y24" s="399"/>
      <c r="Z24" s="399"/>
    </row>
    <row r="25" spans="8:114" ht="15">
      <c r="H25" s="1342"/>
      <c r="I25" s="1342"/>
      <c r="BA25" s="1340"/>
      <c r="BB25" s="1340"/>
      <c r="BC25" s="1340"/>
      <c r="BE25" s="1340"/>
      <c r="BF25" s="1340"/>
      <c r="BG25" s="1340"/>
      <c r="BH25" s="1340"/>
      <c r="BI25" s="1340"/>
      <c r="BJ25" s="1340"/>
      <c r="BK25" s="1340"/>
      <c r="BL25" s="1340"/>
      <c r="BM25" s="1340"/>
      <c r="BN25" s="1340"/>
      <c r="BO25" s="1340"/>
      <c r="BP25" s="1340"/>
      <c r="BQ25" s="1340"/>
      <c r="BR25" s="1340"/>
      <c r="BS25" s="1340"/>
      <c r="BT25" s="1340"/>
      <c r="BU25" s="1340"/>
      <c r="BV25" s="1340"/>
      <c r="BW25" s="1340"/>
      <c r="BX25" s="1340"/>
      <c r="BY25" s="1340"/>
      <c r="BZ25" s="1340"/>
      <c r="CA25" s="1340"/>
      <c r="CB25" s="1340"/>
      <c r="CC25" s="1340"/>
      <c r="CD25" s="1340"/>
      <c r="CE25" s="1340"/>
      <c r="CF25" s="1340"/>
      <c r="CG25" s="1340"/>
      <c r="CH25" s="1340"/>
      <c r="CI25" s="1340"/>
      <c r="CJ25" s="1340"/>
      <c r="CK25" s="1340"/>
      <c r="CL25" s="1340"/>
      <c r="CM25" s="1340"/>
      <c r="CN25" s="1340"/>
      <c r="CO25" s="1340"/>
      <c r="CP25" s="1340"/>
      <c r="CQ25" s="1340"/>
      <c r="CR25" s="1340"/>
      <c r="CS25" s="1340"/>
      <c r="CT25" s="1340"/>
      <c r="CU25" s="1340"/>
      <c r="CV25" s="1340"/>
      <c r="CW25" s="1340"/>
      <c r="CX25" s="1340"/>
      <c r="CY25" s="1340"/>
      <c r="CZ25" s="1340"/>
      <c r="DA25" s="1340"/>
      <c r="DB25" s="1340"/>
      <c r="DC25" s="1340"/>
      <c r="DD25" s="1340"/>
      <c r="DE25" s="1340"/>
      <c r="DF25" s="1340"/>
      <c r="DG25" s="1340"/>
      <c r="DH25" s="1340"/>
      <c r="DI25" s="1340"/>
      <c r="DJ25" s="1340"/>
    </row>
    <row r="26" spans="2:114" ht="15">
      <c r="B26" s="1358" t="s">
        <v>1118</v>
      </c>
      <c r="G26" s="1363">
        <f>IF(OR(EligBasisLimits!$C$16=0,EligBasisLimits!$C$16=""),"",J26/EligBasisLimits!$C$16)</f>
      </c>
      <c r="H26" s="1364">
        <v>0.03</v>
      </c>
      <c r="I26" s="1365"/>
      <c r="J26" s="1373"/>
      <c r="K26" s="1367">
        <f aca="true" t="shared" si="3" ref="K26:X26">INT(J26*(1+$H26))</f>
        <v>0</v>
      </c>
      <c r="L26" s="1367">
        <f t="shared" si="3"/>
        <v>0</v>
      </c>
      <c r="M26" s="1367">
        <f t="shared" si="3"/>
        <v>0</v>
      </c>
      <c r="N26" s="1367">
        <f t="shared" si="3"/>
        <v>0</v>
      </c>
      <c r="O26" s="1367">
        <f t="shared" si="3"/>
        <v>0</v>
      </c>
      <c r="P26" s="1367">
        <f t="shared" si="3"/>
        <v>0</v>
      </c>
      <c r="Q26" s="1367">
        <f t="shared" si="3"/>
        <v>0</v>
      </c>
      <c r="R26" s="1367">
        <f t="shared" si="3"/>
        <v>0</v>
      </c>
      <c r="S26" s="1367">
        <f t="shared" si="3"/>
        <v>0</v>
      </c>
      <c r="T26" s="1367">
        <f t="shared" si="3"/>
        <v>0</v>
      </c>
      <c r="U26" s="1367">
        <f t="shared" si="3"/>
        <v>0</v>
      </c>
      <c r="V26" s="1367">
        <f t="shared" si="3"/>
        <v>0</v>
      </c>
      <c r="W26" s="1367">
        <f t="shared" si="3"/>
        <v>0</v>
      </c>
      <c r="X26" s="1367">
        <f t="shared" si="3"/>
        <v>0</v>
      </c>
      <c r="BA26" s="1340"/>
      <c r="BB26" s="1340"/>
      <c r="BC26" s="1340"/>
      <c r="BE26" s="1340"/>
      <c r="BF26" s="1340"/>
      <c r="BG26" s="1340"/>
      <c r="BH26" s="1340"/>
      <c r="BI26" s="1340"/>
      <c r="BJ26" s="1340"/>
      <c r="BK26" s="1340"/>
      <c r="BL26" s="1340"/>
      <c r="BM26" s="1340"/>
      <c r="BN26" s="1340"/>
      <c r="BO26" s="1340"/>
      <c r="BP26" s="1340"/>
      <c r="BQ26" s="1340"/>
      <c r="BR26" s="1340"/>
      <c r="BS26" s="1340"/>
      <c r="BT26" s="1340"/>
      <c r="BU26" s="1340"/>
      <c r="BV26" s="1340"/>
      <c r="BW26" s="1340"/>
      <c r="BX26" s="1340"/>
      <c r="BY26" s="1340"/>
      <c r="BZ26" s="1340"/>
      <c r="CA26" s="1340"/>
      <c r="CB26" s="1340"/>
      <c r="CC26" s="1340"/>
      <c r="CD26" s="1340"/>
      <c r="CE26" s="1340"/>
      <c r="CF26" s="1340"/>
      <c r="CG26" s="1340"/>
      <c r="CH26" s="1340"/>
      <c r="CI26" s="1340"/>
      <c r="CJ26" s="1340"/>
      <c r="CK26" s="1340"/>
      <c r="CL26" s="1340"/>
      <c r="CM26" s="1340"/>
      <c r="CN26" s="1340"/>
      <c r="CO26" s="1340"/>
      <c r="CP26" s="1340"/>
      <c r="CQ26" s="1340"/>
      <c r="CR26" s="1340"/>
      <c r="CS26" s="1340"/>
      <c r="CT26" s="1340"/>
      <c r="CU26" s="1340"/>
      <c r="CV26" s="1340"/>
      <c r="CW26" s="1340"/>
      <c r="CX26" s="1340"/>
      <c r="CY26" s="1340"/>
      <c r="CZ26" s="1340"/>
      <c r="DA26" s="1340"/>
      <c r="DB26" s="1340"/>
      <c r="DC26" s="1340"/>
      <c r="DD26" s="1340"/>
      <c r="DE26" s="1340"/>
      <c r="DF26" s="1340"/>
      <c r="DG26" s="1340"/>
      <c r="DH26" s="1340"/>
      <c r="DI26" s="1340"/>
      <c r="DJ26" s="1340"/>
    </row>
    <row r="27" spans="2:114" ht="15">
      <c r="B27" s="1358" t="s">
        <v>1119</v>
      </c>
      <c r="G27" s="427">
        <f>IF(('OPER INCOME'!$AA$15+'OPER INCOME'!$AA$35)=0,"",+K27/('OPER INCOME'!$AA$15+'OPER INCOME'!$AA$35))</f>
      </c>
      <c r="H27" s="1341" t="s">
        <v>1094</v>
      </c>
      <c r="I27" s="1341"/>
      <c r="J27" s="1373"/>
      <c r="K27" s="1367">
        <f>INT(+J27*(1+'OPER INCOME'!$H$14))</f>
        <v>0</v>
      </c>
      <c r="L27" s="1367">
        <f>INT(+K27*(1+'OPER INCOME'!$H$14))</f>
        <v>0</v>
      </c>
      <c r="M27" s="1367">
        <f>INT(+L27*(1+'OPER INCOME'!$H$14))</f>
        <v>0</v>
      </c>
      <c r="N27" s="1367">
        <f>INT(+M27*(1+'OPER INCOME'!$H$14))</f>
        <v>0</v>
      </c>
      <c r="O27" s="1367">
        <f>INT(+N27*(1+'OPER INCOME'!$H$14))</f>
        <v>0</v>
      </c>
      <c r="P27" s="1367">
        <f>INT(+O27*(1+'OPER INCOME'!$H$14))</f>
        <v>0</v>
      </c>
      <c r="Q27" s="1367">
        <f>INT(+P27*(1+'OPER INCOME'!$H$14))</f>
        <v>0</v>
      </c>
      <c r="R27" s="1367">
        <f>INT(+Q27*(1+'OPER INCOME'!$H$14))</f>
        <v>0</v>
      </c>
      <c r="S27" s="1367">
        <f>INT(+R27*(1+'OPER INCOME'!$H$14))</f>
        <v>0</v>
      </c>
      <c r="T27" s="1367">
        <f>INT(+S27*(1+'OPER INCOME'!$H$14))</f>
        <v>0</v>
      </c>
      <c r="U27" s="1367">
        <f>INT(+T27*(1+'OPER INCOME'!$H$14))</f>
        <v>0</v>
      </c>
      <c r="V27" s="1367">
        <f>INT(+U27*(1+'OPER INCOME'!$H$14))</f>
        <v>0</v>
      </c>
      <c r="W27" s="1367">
        <f>INT(+V27*(1+'OPER INCOME'!$H$14))</f>
        <v>0</v>
      </c>
      <c r="X27" s="1367">
        <f>INT(+W27*(1+'OPER INCOME'!$H$14))</f>
        <v>0</v>
      </c>
      <c r="BA27" s="1340"/>
      <c r="BB27" s="1340"/>
      <c r="BC27" s="1340"/>
      <c r="BE27" s="1340"/>
      <c r="BF27" s="1340"/>
      <c r="BG27" s="1340"/>
      <c r="BH27" s="1340"/>
      <c r="BI27" s="1340"/>
      <c r="BJ27" s="1340"/>
      <c r="BK27" s="1340"/>
      <c r="BL27" s="1340"/>
      <c r="BM27" s="1340"/>
      <c r="BN27" s="1340"/>
      <c r="BO27" s="1340"/>
      <c r="BP27" s="1340"/>
      <c r="BQ27" s="1340"/>
      <c r="BR27" s="1340"/>
      <c r="BS27" s="1340"/>
      <c r="BT27" s="1340"/>
      <c r="BU27" s="1340"/>
      <c r="BV27" s="1340"/>
      <c r="BW27" s="1340"/>
      <c r="BX27" s="1340"/>
      <c r="BY27" s="1340"/>
      <c r="BZ27" s="1340"/>
      <c r="CA27" s="1340"/>
      <c r="CB27" s="1340"/>
      <c r="CC27" s="1340"/>
      <c r="CD27" s="1340"/>
      <c r="CE27" s="1340"/>
      <c r="CF27" s="1340"/>
      <c r="CG27" s="1340"/>
      <c r="CH27" s="1340"/>
      <c r="CI27" s="1340"/>
      <c r="CJ27" s="1340"/>
      <c r="CK27" s="1340"/>
      <c r="CL27" s="1340"/>
      <c r="CM27" s="1340"/>
      <c r="CN27" s="1340"/>
      <c r="CO27" s="1340"/>
      <c r="CP27" s="1340"/>
      <c r="CQ27" s="1340"/>
      <c r="CR27" s="1340"/>
      <c r="CS27" s="1340"/>
      <c r="CT27" s="1340"/>
      <c r="CU27" s="1340"/>
      <c r="CV27" s="1340"/>
      <c r="CW27" s="1340"/>
      <c r="CX27" s="1340"/>
      <c r="CY27" s="1340"/>
      <c r="CZ27" s="1340"/>
      <c r="DA27" s="1340"/>
      <c r="DB27" s="1340"/>
      <c r="DC27" s="1340"/>
      <c r="DD27" s="1340"/>
      <c r="DE27" s="1340"/>
      <c r="DF27" s="1340"/>
      <c r="DG27" s="1340"/>
      <c r="DH27" s="1340"/>
      <c r="DI27" s="1340"/>
      <c r="DJ27" s="1340"/>
    </row>
    <row r="28" spans="2:114" ht="15">
      <c r="B28" s="1358" t="s">
        <v>1120</v>
      </c>
      <c r="G28" s="427">
        <f>IF(('OPER INCOME'!$AA$15+'OPER INCOME'!$AA$35)=0,"",+K28/('OPER INCOME'!$AA$15+'OPER INCOME'!$AA$35))</f>
      </c>
      <c r="H28" s="1341" t="s">
        <v>1094</v>
      </c>
      <c r="I28" s="1341"/>
      <c r="J28" s="1373"/>
      <c r="K28" s="1367">
        <f>INT(+J28*(1+'OPER INCOME'!$H$14))</f>
        <v>0</v>
      </c>
      <c r="L28" s="1367">
        <f>INT(+K28*(1+'OPER INCOME'!$H$14))</f>
        <v>0</v>
      </c>
      <c r="M28" s="1367">
        <f>INT(+L28*(1+'OPER INCOME'!$H$14))</f>
        <v>0</v>
      </c>
      <c r="N28" s="1367">
        <f>INT(+M28*(1+'OPER INCOME'!$H$14))</f>
        <v>0</v>
      </c>
      <c r="O28" s="1367">
        <f>INT(+N28*(1+'OPER INCOME'!$H$14))</f>
        <v>0</v>
      </c>
      <c r="P28" s="1367">
        <f>INT(+O28*(1+'OPER INCOME'!$H$14))</f>
        <v>0</v>
      </c>
      <c r="Q28" s="1367">
        <f>INT(+P28*(1+'OPER INCOME'!$H$14))</f>
        <v>0</v>
      </c>
      <c r="R28" s="1367">
        <f>INT(+Q28*(1+'OPER INCOME'!$H$14))</f>
        <v>0</v>
      </c>
      <c r="S28" s="1367">
        <f>INT(+R28*(1+'OPER INCOME'!$H$14))</f>
        <v>0</v>
      </c>
      <c r="T28" s="1367">
        <f>INT(+S28*(1+'OPER INCOME'!$H$14))</f>
        <v>0</v>
      </c>
      <c r="U28" s="1367">
        <f>INT(+T28*(1+'OPER INCOME'!$H$14))</f>
        <v>0</v>
      </c>
      <c r="V28" s="1367">
        <f>INT(+U28*(1+'OPER INCOME'!$H$14))</f>
        <v>0</v>
      </c>
      <c r="W28" s="1367">
        <f>INT(+V28*(1+'OPER INCOME'!$H$14))</f>
        <v>0</v>
      </c>
      <c r="X28" s="1367">
        <f>INT(+W28*(1+'OPER INCOME'!$H$14))</f>
        <v>0</v>
      </c>
      <c r="BA28" s="1340"/>
      <c r="BB28" s="1340"/>
      <c r="BC28" s="1340"/>
      <c r="BE28" s="1340"/>
      <c r="BF28" s="1340"/>
      <c r="BG28" s="1340"/>
      <c r="BH28" s="1340"/>
      <c r="BI28" s="1340"/>
      <c r="BJ28" s="1340"/>
      <c r="BK28" s="1340"/>
      <c r="BL28" s="1340"/>
      <c r="BM28" s="1340"/>
      <c r="BN28" s="1340"/>
      <c r="BO28" s="1340"/>
      <c r="BP28" s="1340"/>
      <c r="BQ28" s="1340"/>
      <c r="BR28" s="1340"/>
      <c r="BS28" s="1340"/>
      <c r="BT28" s="1340"/>
      <c r="BU28" s="1340"/>
      <c r="BV28" s="1340"/>
      <c r="BW28" s="1340"/>
      <c r="BX28" s="1340"/>
      <c r="BY28" s="1340"/>
      <c r="BZ28" s="1340"/>
      <c r="CA28" s="1340"/>
      <c r="CB28" s="1340"/>
      <c r="CC28" s="1340"/>
      <c r="CD28" s="1340"/>
      <c r="CE28" s="1340"/>
      <c r="CF28" s="1340"/>
      <c r="CG28" s="1340"/>
      <c r="CH28" s="1340"/>
      <c r="CI28" s="1340"/>
      <c r="CJ28" s="1340"/>
      <c r="CK28" s="1340"/>
      <c r="CL28" s="1340"/>
      <c r="CM28" s="1340"/>
      <c r="CN28" s="1340"/>
      <c r="CO28" s="1340"/>
      <c r="CP28" s="1340"/>
      <c r="CQ28" s="1340"/>
      <c r="CR28" s="1340"/>
      <c r="CS28" s="1340"/>
      <c r="CT28" s="1340"/>
      <c r="CU28" s="1340"/>
      <c r="CV28" s="1340"/>
      <c r="CW28" s="1340"/>
      <c r="CX28" s="1340"/>
      <c r="CY28" s="1340"/>
      <c r="CZ28" s="1340"/>
      <c r="DA28" s="1340"/>
      <c r="DB28" s="1340"/>
      <c r="DC28" s="1340"/>
      <c r="DD28" s="1340"/>
      <c r="DE28" s="1340"/>
      <c r="DF28" s="1340"/>
      <c r="DG28" s="1340"/>
      <c r="DH28" s="1340"/>
      <c r="DI28" s="1340"/>
      <c r="DJ28" s="1340"/>
    </row>
    <row r="29" spans="2:114" ht="15">
      <c r="B29" s="1358" t="s">
        <v>1121</v>
      </c>
      <c r="G29" s="1363">
        <f>IF(OR(EligBasisLimits!$C$16=0,EligBasisLimits!$C$16=""),"",J29/EligBasisLimits!$C$16)</f>
      </c>
      <c r="H29" s="1364">
        <v>0.03</v>
      </c>
      <c r="I29" s="1374"/>
      <c r="J29" s="1373"/>
      <c r="K29" s="1367">
        <f aca="true" t="shared" si="4" ref="K29:X33">INT(J29*(1+$H29))</f>
        <v>0</v>
      </c>
      <c r="L29" s="1367">
        <f t="shared" si="4"/>
        <v>0</v>
      </c>
      <c r="M29" s="1367">
        <f t="shared" si="4"/>
        <v>0</v>
      </c>
      <c r="N29" s="1367">
        <f t="shared" si="4"/>
        <v>0</v>
      </c>
      <c r="O29" s="1367">
        <f t="shared" si="4"/>
        <v>0</v>
      </c>
      <c r="P29" s="1367">
        <f t="shared" si="4"/>
        <v>0</v>
      </c>
      <c r="Q29" s="1367">
        <f t="shared" si="4"/>
        <v>0</v>
      </c>
      <c r="R29" s="1367">
        <f t="shared" si="4"/>
        <v>0</v>
      </c>
      <c r="S29" s="1367">
        <f t="shared" si="4"/>
        <v>0</v>
      </c>
      <c r="T29" s="1367">
        <f t="shared" si="4"/>
        <v>0</v>
      </c>
      <c r="U29" s="1367">
        <f t="shared" si="4"/>
        <v>0</v>
      </c>
      <c r="V29" s="1367">
        <f t="shared" si="4"/>
        <v>0</v>
      </c>
      <c r="W29" s="1367">
        <f t="shared" si="4"/>
        <v>0</v>
      </c>
      <c r="X29" s="1367">
        <f t="shared" si="4"/>
        <v>0</v>
      </c>
      <c r="BA29" s="1340"/>
      <c r="BB29" s="1340"/>
      <c r="BC29" s="1340"/>
      <c r="BE29" s="1340"/>
      <c r="BF29" s="1340"/>
      <c r="BG29" s="1340"/>
      <c r="BH29" s="1340"/>
      <c r="BI29" s="1340"/>
      <c r="BJ29" s="1340"/>
      <c r="BK29" s="1340"/>
      <c r="BL29" s="1340"/>
      <c r="BM29" s="1340"/>
      <c r="BN29" s="1340"/>
      <c r="BO29" s="1340"/>
      <c r="BP29" s="1340"/>
      <c r="BQ29" s="1340"/>
      <c r="BR29" s="1340"/>
      <c r="BS29" s="1340"/>
      <c r="BT29" s="1340"/>
      <c r="BU29" s="1340"/>
      <c r="BV29" s="1340"/>
      <c r="BW29" s="1340"/>
      <c r="BX29" s="1340"/>
      <c r="BY29" s="1340"/>
      <c r="BZ29" s="1340"/>
      <c r="CA29" s="1340"/>
      <c r="CB29" s="1340"/>
      <c r="CC29" s="1340"/>
      <c r="CD29" s="1340"/>
      <c r="CE29" s="1340"/>
      <c r="CF29" s="1340"/>
      <c r="CG29" s="1340"/>
      <c r="CH29" s="1340"/>
      <c r="CI29" s="1340"/>
      <c r="CJ29" s="1340"/>
      <c r="CK29" s="1340"/>
      <c r="CL29" s="1340"/>
      <c r="CM29" s="1340"/>
      <c r="CN29" s="1340"/>
      <c r="CO29" s="1340"/>
      <c r="CP29" s="1340"/>
      <c r="CQ29" s="1340"/>
      <c r="CR29" s="1340"/>
      <c r="CS29" s="1340"/>
      <c r="CT29" s="1340"/>
      <c r="CU29" s="1340"/>
      <c r="CV29" s="1340"/>
      <c r="CW29" s="1340"/>
      <c r="CX29" s="1340"/>
      <c r="CY29" s="1340"/>
      <c r="CZ29" s="1340"/>
      <c r="DA29" s="1340"/>
      <c r="DB29" s="1340"/>
      <c r="DC29" s="1340"/>
      <c r="DD29" s="1340"/>
      <c r="DE29" s="1340"/>
      <c r="DF29" s="1340"/>
      <c r="DG29" s="1340"/>
      <c r="DH29" s="1340"/>
      <c r="DI29" s="1340"/>
      <c r="DJ29" s="1340"/>
    </row>
    <row r="30" spans="2:114" ht="15">
      <c r="B30" s="1358" t="s">
        <v>1122</v>
      </c>
      <c r="G30" s="1363">
        <f>IF(OR(EligBasisLimits!$C$16=0,EligBasisLimits!$C$16=""),"",J30/EligBasisLimits!$C$16)</f>
      </c>
      <c r="H30" s="1364">
        <v>0.03</v>
      </c>
      <c r="I30" s="1374"/>
      <c r="J30" s="1373"/>
      <c r="K30" s="1367">
        <f t="shared" si="4"/>
        <v>0</v>
      </c>
      <c r="L30" s="1367">
        <f t="shared" si="4"/>
        <v>0</v>
      </c>
      <c r="M30" s="1367">
        <f t="shared" si="4"/>
        <v>0</v>
      </c>
      <c r="N30" s="1367">
        <f t="shared" si="4"/>
        <v>0</v>
      </c>
      <c r="O30" s="1367">
        <f t="shared" si="4"/>
        <v>0</v>
      </c>
      <c r="P30" s="1367">
        <f t="shared" si="4"/>
        <v>0</v>
      </c>
      <c r="Q30" s="1367">
        <f t="shared" si="4"/>
        <v>0</v>
      </c>
      <c r="R30" s="1367">
        <f t="shared" si="4"/>
        <v>0</v>
      </c>
      <c r="S30" s="1367">
        <f t="shared" si="4"/>
        <v>0</v>
      </c>
      <c r="T30" s="1367">
        <f t="shared" si="4"/>
        <v>0</v>
      </c>
      <c r="U30" s="1367">
        <f t="shared" si="4"/>
        <v>0</v>
      </c>
      <c r="V30" s="1367">
        <f t="shared" si="4"/>
        <v>0</v>
      </c>
      <c r="W30" s="1367">
        <f t="shared" si="4"/>
        <v>0</v>
      </c>
      <c r="X30" s="1367">
        <f t="shared" si="4"/>
        <v>0</v>
      </c>
      <c r="BA30" s="1340"/>
      <c r="BB30" s="1340"/>
      <c r="BC30" s="1340"/>
      <c r="BE30" s="1340"/>
      <c r="BF30" s="1340"/>
      <c r="BG30" s="1340"/>
      <c r="BH30" s="1340"/>
      <c r="BI30" s="1340"/>
      <c r="BJ30" s="1340"/>
      <c r="BK30" s="1340"/>
      <c r="BL30" s="1340"/>
      <c r="BM30" s="1340"/>
      <c r="BN30" s="1340"/>
      <c r="BO30" s="1340"/>
      <c r="BP30" s="1340"/>
      <c r="BQ30" s="1340"/>
      <c r="BR30" s="1340"/>
      <c r="BS30" s="1340"/>
      <c r="BT30" s="1340"/>
      <c r="BU30" s="1340"/>
      <c r="BV30" s="1340"/>
      <c r="BW30" s="1340"/>
      <c r="BX30" s="1340"/>
      <c r="BY30" s="1340"/>
      <c r="BZ30" s="1340"/>
      <c r="CA30" s="1340"/>
      <c r="CB30" s="1340"/>
      <c r="CC30" s="1340"/>
      <c r="CD30" s="1340"/>
      <c r="CE30" s="1340"/>
      <c r="CF30" s="1340"/>
      <c r="CG30" s="1340"/>
      <c r="CH30" s="1340"/>
      <c r="CI30" s="1340"/>
      <c r="CJ30" s="1340"/>
      <c r="CK30" s="1340"/>
      <c r="CL30" s="1340"/>
      <c r="CM30" s="1340"/>
      <c r="CN30" s="1340"/>
      <c r="CO30" s="1340"/>
      <c r="CP30" s="1340"/>
      <c r="CQ30" s="1340"/>
      <c r="CR30" s="1340"/>
      <c r="CS30" s="1340"/>
      <c r="CT30" s="1340"/>
      <c r="CU30" s="1340"/>
      <c r="CV30" s="1340"/>
      <c r="CW30" s="1340"/>
      <c r="CX30" s="1340"/>
      <c r="CY30" s="1340"/>
      <c r="CZ30" s="1340"/>
      <c r="DA30" s="1340"/>
      <c r="DB30" s="1340"/>
      <c r="DC30" s="1340"/>
      <c r="DD30" s="1340"/>
      <c r="DE30" s="1340"/>
      <c r="DF30" s="1340"/>
      <c r="DG30" s="1340"/>
      <c r="DH30" s="1340"/>
      <c r="DI30" s="1340"/>
      <c r="DJ30" s="1340"/>
    </row>
    <row r="31" spans="2:114" ht="17.25">
      <c r="B31" s="1358" t="s">
        <v>1108</v>
      </c>
      <c r="E31" s="1375"/>
      <c r="F31" s="1375"/>
      <c r="G31" s="1363">
        <f>IF(OR(EligBasisLimits!$C$16=0,EligBasisLimits!$C$16=""),"",J31/EligBasisLimits!$C$16)</f>
      </c>
      <c r="H31" s="1364">
        <v>0.03</v>
      </c>
      <c r="I31" s="1365"/>
      <c r="J31" s="1376"/>
      <c r="K31" s="1367">
        <f t="shared" si="4"/>
        <v>0</v>
      </c>
      <c r="L31" s="1367">
        <f t="shared" si="4"/>
        <v>0</v>
      </c>
      <c r="M31" s="1367">
        <f t="shared" si="4"/>
        <v>0</v>
      </c>
      <c r="N31" s="1367">
        <f t="shared" si="4"/>
        <v>0</v>
      </c>
      <c r="O31" s="1367">
        <f t="shared" si="4"/>
        <v>0</v>
      </c>
      <c r="P31" s="1367">
        <f t="shared" si="4"/>
        <v>0</v>
      </c>
      <c r="Q31" s="1367">
        <f t="shared" si="4"/>
        <v>0</v>
      </c>
      <c r="R31" s="1367">
        <f t="shared" si="4"/>
        <v>0</v>
      </c>
      <c r="S31" s="1367">
        <f t="shared" si="4"/>
        <v>0</v>
      </c>
      <c r="T31" s="1367">
        <f t="shared" si="4"/>
        <v>0</v>
      </c>
      <c r="U31" s="1367">
        <f t="shared" si="4"/>
        <v>0</v>
      </c>
      <c r="V31" s="1367">
        <f t="shared" si="4"/>
        <v>0</v>
      </c>
      <c r="W31" s="1367">
        <f t="shared" si="4"/>
        <v>0</v>
      </c>
      <c r="X31" s="1367">
        <f t="shared" si="4"/>
        <v>0</v>
      </c>
      <c r="BA31" s="1340"/>
      <c r="BB31" s="1340"/>
      <c r="BC31" s="1340"/>
      <c r="BE31" s="1340"/>
      <c r="BF31" s="1340"/>
      <c r="BG31" s="1340"/>
      <c r="BH31" s="1340"/>
      <c r="BI31" s="1340"/>
      <c r="BJ31" s="1340"/>
      <c r="BK31" s="1340"/>
      <c r="BL31" s="1340"/>
      <c r="BM31" s="1340"/>
      <c r="BN31" s="1340"/>
      <c r="BO31" s="1340"/>
      <c r="BP31" s="1340"/>
      <c r="BQ31" s="1340"/>
      <c r="BR31" s="1340"/>
      <c r="BS31" s="1340"/>
      <c r="BT31" s="1340"/>
      <c r="BU31" s="1340"/>
      <c r="BV31" s="1340"/>
      <c r="BW31" s="1340"/>
      <c r="BX31" s="1340"/>
      <c r="BY31" s="1340"/>
      <c r="BZ31" s="1340"/>
      <c r="CA31" s="1340"/>
      <c r="CB31" s="1340"/>
      <c r="CC31" s="1340"/>
      <c r="CD31" s="1340"/>
      <c r="CE31" s="1340"/>
      <c r="CF31" s="1340"/>
      <c r="CG31" s="1340"/>
      <c r="CH31" s="1340"/>
      <c r="CI31" s="1340"/>
      <c r="CJ31" s="1340"/>
      <c r="CK31" s="1340"/>
      <c r="CL31" s="1340"/>
      <c r="CM31" s="1340"/>
      <c r="CN31" s="1340"/>
      <c r="CO31" s="1340"/>
      <c r="CP31" s="1340"/>
      <c r="CQ31" s="1340"/>
      <c r="CR31" s="1340"/>
      <c r="CS31" s="1340"/>
      <c r="CT31" s="1340"/>
      <c r="CU31" s="1340"/>
      <c r="CV31" s="1340"/>
      <c r="CW31" s="1340"/>
      <c r="CX31" s="1340"/>
      <c r="CY31" s="1340"/>
      <c r="CZ31" s="1340"/>
      <c r="DA31" s="1340"/>
      <c r="DB31" s="1340"/>
      <c r="DC31" s="1340"/>
      <c r="DD31" s="1340"/>
      <c r="DE31" s="1340"/>
      <c r="DF31" s="1340"/>
      <c r="DG31" s="1340"/>
      <c r="DH31" s="1340"/>
      <c r="DI31" s="1340"/>
      <c r="DJ31" s="1340"/>
    </row>
    <row r="32" spans="2:114" ht="17.25">
      <c r="B32" s="1358" t="s">
        <v>1108</v>
      </c>
      <c r="E32" s="1375"/>
      <c r="F32" s="1375"/>
      <c r="G32" s="1363">
        <f>IF(OR(EligBasisLimits!$C$16=0,EligBasisLimits!$C$16=""),"",J32/EligBasisLimits!$C$16)</f>
      </c>
      <c r="H32" s="1364">
        <v>0.03</v>
      </c>
      <c r="I32" s="1365"/>
      <c r="J32" s="1376"/>
      <c r="K32" s="1367">
        <f t="shared" si="4"/>
        <v>0</v>
      </c>
      <c r="L32" s="1367">
        <f t="shared" si="4"/>
        <v>0</v>
      </c>
      <c r="M32" s="1367">
        <f t="shared" si="4"/>
        <v>0</v>
      </c>
      <c r="N32" s="1367">
        <f t="shared" si="4"/>
        <v>0</v>
      </c>
      <c r="O32" s="1367">
        <f t="shared" si="4"/>
        <v>0</v>
      </c>
      <c r="P32" s="1367">
        <f t="shared" si="4"/>
        <v>0</v>
      </c>
      <c r="Q32" s="1367">
        <f t="shared" si="4"/>
        <v>0</v>
      </c>
      <c r="R32" s="1367">
        <f t="shared" si="4"/>
        <v>0</v>
      </c>
      <c r="S32" s="1367">
        <f t="shared" si="4"/>
        <v>0</v>
      </c>
      <c r="T32" s="1367">
        <f t="shared" si="4"/>
        <v>0</v>
      </c>
      <c r="U32" s="1367">
        <f t="shared" si="4"/>
        <v>0</v>
      </c>
      <c r="V32" s="1367">
        <f t="shared" si="4"/>
        <v>0</v>
      </c>
      <c r="W32" s="1367">
        <f t="shared" si="4"/>
        <v>0</v>
      </c>
      <c r="X32" s="1367">
        <f t="shared" si="4"/>
        <v>0</v>
      </c>
      <c r="BA32" s="1340"/>
      <c r="BB32" s="1340"/>
      <c r="BC32" s="1340"/>
      <c r="BE32" s="1340"/>
      <c r="BF32" s="1340"/>
      <c r="BG32" s="1340"/>
      <c r="BH32" s="1340"/>
      <c r="BI32" s="1340"/>
      <c r="BJ32" s="1340"/>
      <c r="BK32" s="1340"/>
      <c r="BL32" s="1340"/>
      <c r="BM32" s="1340"/>
      <c r="BN32" s="1340"/>
      <c r="BO32" s="1340"/>
      <c r="BP32" s="1340"/>
      <c r="BQ32" s="1340"/>
      <c r="BR32" s="1340"/>
      <c r="BS32" s="1340"/>
      <c r="BT32" s="1340"/>
      <c r="BU32" s="1340"/>
      <c r="BV32" s="1340"/>
      <c r="BW32" s="1340"/>
      <c r="BX32" s="1340"/>
      <c r="BY32" s="1340"/>
      <c r="BZ32" s="1340"/>
      <c r="CA32" s="1340"/>
      <c r="CB32" s="1340"/>
      <c r="CC32" s="1340"/>
      <c r="CD32" s="1340"/>
      <c r="CE32" s="1340"/>
      <c r="CF32" s="1340"/>
      <c r="CG32" s="1340"/>
      <c r="CH32" s="1340"/>
      <c r="CI32" s="1340"/>
      <c r="CJ32" s="1340"/>
      <c r="CK32" s="1340"/>
      <c r="CL32" s="1340"/>
      <c r="CM32" s="1340"/>
      <c r="CN32" s="1340"/>
      <c r="CO32" s="1340"/>
      <c r="CP32" s="1340"/>
      <c r="CQ32" s="1340"/>
      <c r="CR32" s="1340"/>
      <c r="CS32" s="1340"/>
      <c r="CT32" s="1340"/>
      <c r="CU32" s="1340"/>
      <c r="CV32" s="1340"/>
      <c r="CW32" s="1340"/>
      <c r="CX32" s="1340"/>
      <c r="CY32" s="1340"/>
      <c r="CZ32" s="1340"/>
      <c r="DA32" s="1340"/>
      <c r="DB32" s="1340"/>
      <c r="DC32" s="1340"/>
      <c r="DD32" s="1340"/>
      <c r="DE32" s="1340"/>
      <c r="DF32" s="1340"/>
      <c r="DG32" s="1340"/>
      <c r="DH32" s="1340"/>
      <c r="DI32" s="1340"/>
      <c r="DJ32" s="1340"/>
    </row>
    <row r="33" spans="2:158" ht="17.25">
      <c r="B33" s="1368" t="s">
        <v>1108</v>
      </c>
      <c r="C33" s="1368"/>
      <c r="D33" s="1368"/>
      <c r="E33" s="1377"/>
      <c r="F33" s="1377"/>
      <c r="G33" s="1369">
        <f>IF(OR(EligBasisLimits!$C$16=0,EligBasisLimits!$C$16=""),"",J33/EligBasisLimits!$C$16)</f>
      </c>
      <c r="H33" s="432">
        <v>0.03</v>
      </c>
      <c r="I33" s="1370"/>
      <c r="J33" s="1378"/>
      <c r="K33" s="1372">
        <f t="shared" si="4"/>
        <v>0</v>
      </c>
      <c r="L33" s="1372">
        <f t="shared" si="4"/>
        <v>0</v>
      </c>
      <c r="M33" s="1372">
        <f t="shared" si="4"/>
        <v>0</v>
      </c>
      <c r="N33" s="1372">
        <f t="shared" si="4"/>
        <v>0</v>
      </c>
      <c r="O33" s="1372">
        <f t="shared" si="4"/>
        <v>0</v>
      </c>
      <c r="P33" s="1372">
        <f t="shared" si="4"/>
        <v>0</v>
      </c>
      <c r="Q33" s="1372">
        <f t="shared" si="4"/>
        <v>0</v>
      </c>
      <c r="R33" s="1372">
        <f t="shared" si="4"/>
        <v>0</v>
      </c>
      <c r="S33" s="1372">
        <f t="shared" si="4"/>
        <v>0</v>
      </c>
      <c r="T33" s="1372">
        <f t="shared" si="4"/>
        <v>0</v>
      </c>
      <c r="U33" s="1372">
        <f t="shared" si="4"/>
        <v>0</v>
      </c>
      <c r="V33" s="1372">
        <f t="shared" si="4"/>
        <v>0</v>
      </c>
      <c r="W33" s="1372">
        <f t="shared" si="4"/>
        <v>0</v>
      </c>
      <c r="X33" s="1372">
        <f t="shared" si="4"/>
        <v>0</v>
      </c>
      <c r="AA33" s="399"/>
      <c r="AB33" s="399"/>
      <c r="AC33" s="399"/>
      <c r="AD33" s="399"/>
      <c r="AE33" s="399"/>
      <c r="AF33" s="399"/>
      <c r="AG33" s="399"/>
      <c r="AH33" s="399"/>
      <c r="AI33" s="399"/>
      <c r="AJ33" s="399"/>
      <c r="AK33" s="399"/>
      <c r="AL33" s="399"/>
      <c r="AM33" s="399"/>
      <c r="AN33" s="399"/>
      <c r="AO33" s="399"/>
      <c r="AP33" s="399"/>
      <c r="AQ33" s="399"/>
      <c r="AR33" s="399"/>
      <c r="AS33" s="399"/>
      <c r="AT33" s="399"/>
      <c r="AU33" s="399"/>
      <c r="AV33" s="399"/>
      <c r="AW33" s="399"/>
      <c r="AX33" s="399"/>
      <c r="AY33" s="399"/>
      <c r="AZ33" s="399"/>
      <c r="BA33" s="399"/>
      <c r="BB33" s="399"/>
      <c r="BC33" s="399"/>
      <c r="BD33" s="399"/>
      <c r="BE33" s="399"/>
      <c r="BF33" s="399"/>
      <c r="BG33" s="399"/>
      <c r="BH33" s="399"/>
      <c r="BI33" s="399"/>
      <c r="BJ33" s="399"/>
      <c r="BK33" s="399"/>
      <c r="BL33" s="399"/>
      <c r="BM33" s="399"/>
      <c r="BN33" s="399"/>
      <c r="BO33" s="399"/>
      <c r="BP33" s="399"/>
      <c r="BQ33" s="399"/>
      <c r="BR33" s="399"/>
      <c r="BS33" s="399"/>
      <c r="BT33" s="399"/>
      <c r="BU33" s="399"/>
      <c r="BV33" s="399"/>
      <c r="BW33" s="399"/>
      <c r="BX33" s="399"/>
      <c r="BY33" s="399"/>
      <c r="BZ33" s="399"/>
      <c r="CA33" s="399"/>
      <c r="CB33" s="399"/>
      <c r="CC33" s="399"/>
      <c r="CD33" s="399"/>
      <c r="CE33" s="399"/>
      <c r="CF33" s="399"/>
      <c r="CG33" s="399"/>
      <c r="CH33" s="399"/>
      <c r="CI33" s="399"/>
      <c r="CJ33" s="399"/>
      <c r="CK33" s="399"/>
      <c r="CL33" s="399"/>
      <c r="CM33" s="399"/>
      <c r="CN33" s="399"/>
      <c r="CO33" s="399"/>
      <c r="CP33" s="399"/>
      <c r="CQ33" s="399"/>
      <c r="CR33" s="399"/>
      <c r="CS33" s="399"/>
      <c r="CT33" s="399"/>
      <c r="CU33" s="399"/>
      <c r="CV33" s="399"/>
      <c r="CW33" s="399"/>
      <c r="CX33" s="399"/>
      <c r="CY33" s="399"/>
      <c r="CZ33" s="399"/>
      <c r="DA33" s="399"/>
      <c r="DB33" s="399"/>
      <c r="DC33" s="399"/>
      <c r="DD33" s="399"/>
      <c r="DE33" s="399"/>
      <c r="DF33" s="399"/>
      <c r="DG33" s="399"/>
      <c r="DH33" s="399"/>
      <c r="DI33" s="399"/>
      <c r="DJ33" s="399"/>
      <c r="DK33" s="399"/>
      <c r="DL33" s="399"/>
      <c r="DM33" s="399"/>
      <c r="DN33" s="399"/>
      <c r="DO33" s="399"/>
      <c r="DP33" s="399"/>
      <c r="DQ33" s="399"/>
      <c r="DR33" s="399"/>
      <c r="DS33" s="399"/>
      <c r="DT33" s="399"/>
      <c r="DU33" s="399"/>
      <c r="DV33" s="399"/>
      <c r="DW33" s="399"/>
      <c r="DX33" s="399"/>
      <c r="DY33" s="399"/>
      <c r="DZ33" s="399"/>
      <c r="EA33" s="399"/>
      <c r="EB33" s="399"/>
      <c r="EC33" s="399"/>
      <c r="ED33" s="399"/>
      <c r="EE33" s="399"/>
      <c r="EF33" s="399"/>
      <c r="EG33" s="399"/>
      <c r="EH33" s="399"/>
      <c r="EI33" s="399"/>
      <c r="EJ33" s="399"/>
      <c r="EK33" s="399"/>
      <c r="EL33" s="399"/>
      <c r="EM33" s="399"/>
      <c r="EN33" s="399"/>
      <c r="EO33" s="399"/>
      <c r="EP33" s="399"/>
      <c r="EQ33" s="399"/>
      <c r="ER33" s="399"/>
      <c r="ES33" s="399"/>
      <c r="ET33" s="399"/>
      <c r="EU33" s="399"/>
      <c r="EV33" s="399"/>
      <c r="EW33" s="399"/>
      <c r="EX33" s="399"/>
      <c r="EY33" s="399"/>
      <c r="EZ33" s="399"/>
      <c r="FA33" s="399"/>
      <c r="FB33" s="399"/>
    </row>
    <row r="34" spans="8:158" s="418" customFormat="1" ht="18" customHeight="1">
      <c r="H34" s="419"/>
      <c r="I34" s="419"/>
      <c r="J34" s="420"/>
      <c r="K34" s="420"/>
      <c r="L34" s="420"/>
      <c r="M34" s="420"/>
      <c r="N34" s="420"/>
      <c r="O34" s="420"/>
      <c r="P34" s="420"/>
      <c r="Q34" s="420"/>
      <c r="R34" s="420"/>
      <c r="S34" s="420"/>
      <c r="T34" s="420"/>
      <c r="U34" s="420"/>
      <c r="V34" s="420"/>
      <c r="W34" s="420"/>
      <c r="X34" s="420"/>
      <c r="Y34" s="399"/>
      <c r="Z34" s="399"/>
      <c r="AA34" s="399"/>
      <c r="AB34" s="399"/>
      <c r="AC34" s="399"/>
      <c r="AD34" s="399"/>
      <c r="AE34" s="399"/>
      <c r="AF34" s="399"/>
      <c r="AG34" s="399"/>
      <c r="AH34" s="399"/>
      <c r="AI34" s="399"/>
      <c r="AJ34" s="399"/>
      <c r="AK34" s="399"/>
      <c r="AL34" s="399"/>
      <c r="AM34" s="399"/>
      <c r="AN34" s="399"/>
      <c r="AO34" s="399"/>
      <c r="AP34" s="399"/>
      <c r="AQ34" s="399"/>
      <c r="AR34" s="399"/>
      <c r="AS34" s="399"/>
      <c r="AT34" s="399"/>
      <c r="AU34" s="399"/>
      <c r="AV34" s="399"/>
      <c r="AW34" s="399"/>
      <c r="AX34" s="399"/>
      <c r="AY34" s="399"/>
      <c r="AZ34" s="399"/>
      <c r="BA34" s="399"/>
      <c r="BB34" s="399"/>
      <c r="BC34" s="399"/>
      <c r="BD34" s="399"/>
      <c r="BE34" s="399"/>
      <c r="BF34" s="399"/>
      <c r="BG34" s="399"/>
      <c r="BH34" s="399"/>
      <c r="BI34" s="399"/>
      <c r="BJ34" s="399"/>
      <c r="BK34" s="399"/>
      <c r="BL34" s="399"/>
      <c r="BM34" s="399"/>
      <c r="BN34" s="399"/>
      <c r="BO34" s="399"/>
      <c r="BP34" s="399"/>
      <c r="BQ34" s="399"/>
      <c r="BR34" s="399"/>
      <c r="BS34" s="399"/>
      <c r="BT34" s="399"/>
      <c r="BU34" s="399"/>
      <c r="BV34" s="399"/>
      <c r="BW34" s="399"/>
      <c r="BX34" s="399"/>
      <c r="BY34" s="399"/>
      <c r="BZ34" s="399"/>
      <c r="CA34" s="399"/>
      <c r="CB34" s="399"/>
      <c r="CC34" s="399"/>
      <c r="CD34" s="399"/>
      <c r="CE34" s="399"/>
      <c r="CF34" s="399"/>
      <c r="CG34" s="399"/>
      <c r="CH34" s="399"/>
      <c r="CI34" s="399"/>
      <c r="CJ34" s="399"/>
      <c r="CK34" s="399"/>
      <c r="CL34" s="399"/>
      <c r="CM34" s="399"/>
      <c r="CN34" s="399"/>
      <c r="CO34" s="399"/>
      <c r="CP34" s="399"/>
      <c r="CQ34" s="399"/>
      <c r="CR34" s="399"/>
      <c r="CS34" s="399"/>
      <c r="CT34" s="399"/>
      <c r="CU34" s="399"/>
      <c r="CV34" s="399"/>
      <c r="CW34" s="399"/>
      <c r="CX34" s="399"/>
      <c r="CY34" s="399"/>
      <c r="CZ34" s="399"/>
      <c r="DA34" s="399"/>
      <c r="DB34" s="399"/>
      <c r="DC34" s="399"/>
      <c r="DD34" s="399"/>
      <c r="DE34" s="399"/>
      <c r="DF34" s="399"/>
      <c r="DG34" s="399"/>
      <c r="DH34" s="399"/>
      <c r="DI34" s="399"/>
      <c r="DJ34" s="399"/>
      <c r="DK34" s="399"/>
      <c r="DL34" s="399"/>
      <c r="DM34" s="399"/>
      <c r="DN34" s="399"/>
      <c r="DO34" s="399"/>
      <c r="DP34" s="399"/>
      <c r="DQ34" s="399"/>
      <c r="DR34" s="399"/>
      <c r="DS34" s="399"/>
      <c r="DT34" s="399"/>
      <c r="DU34" s="399"/>
      <c r="DV34" s="399"/>
      <c r="DW34" s="399"/>
      <c r="DX34" s="399"/>
      <c r="DY34" s="399"/>
      <c r="DZ34" s="399"/>
      <c r="EA34" s="399"/>
      <c r="EB34" s="399"/>
      <c r="EC34" s="399"/>
      <c r="ED34" s="399"/>
      <c r="EE34" s="399"/>
      <c r="EF34" s="399"/>
      <c r="EG34" s="399"/>
      <c r="EH34" s="399"/>
      <c r="EI34" s="399"/>
      <c r="EJ34" s="399"/>
      <c r="EK34" s="399"/>
      <c r="EL34" s="399"/>
      <c r="EM34" s="399"/>
      <c r="EN34" s="399"/>
      <c r="EO34" s="399"/>
      <c r="EP34" s="399"/>
      <c r="EQ34" s="399"/>
      <c r="ER34" s="399"/>
      <c r="ES34" s="399"/>
      <c r="ET34" s="399"/>
      <c r="EU34" s="399"/>
      <c r="EV34" s="399"/>
      <c r="EW34" s="399"/>
      <c r="EX34" s="399"/>
      <c r="EY34" s="399"/>
      <c r="EZ34" s="399"/>
      <c r="FA34" s="399"/>
      <c r="FB34" s="399"/>
    </row>
    <row r="35" spans="8:158" s="1379" customFormat="1" ht="15.75" thickBot="1">
      <c r="H35" s="1357"/>
      <c r="I35" s="1357"/>
      <c r="J35" s="1356"/>
      <c r="K35" s="1356"/>
      <c r="L35" s="1356"/>
      <c r="M35" s="1356"/>
      <c r="N35" s="1356"/>
      <c r="O35" s="1356"/>
      <c r="P35" s="1356"/>
      <c r="Q35" s="1356"/>
      <c r="R35" s="1356"/>
      <c r="S35" s="1356"/>
      <c r="T35" s="1356"/>
      <c r="U35" s="1356"/>
      <c r="V35" s="1356"/>
      <c r="W35" s="1356"/>
      <c r="X35" s="1356"/>
      <c r="Y35" s="399"/>
      <c r="Z35" s="399"/>
      <c r="AA35" s="399"/>
      <c r="AB35" s="399"/>
      <c r="AC35" s="399"/>
      <c r="AD35" s="399"/>
      <c r="AE35" s="399"/>
      <c r="AF35" s="399"/>
      <c r="AG35" s="399"/>
      <c r="AH35" s="399"/>
      <c r="AI35" s="399"/>
      <c r="AJ35" s="399"/>
      <c r="AK35" s="399"/>
      <c r="AL35" s="399"/>
      <c r="AM35" s="399"/>
      <c r="AN35" s="399"/>
      <c r="AO35" s="399"/>
      <c r="AP35" s="399"/>
      <c r="AQ35" s="399"/>
      <c r="AR35" s="399"/>
      <c r="AS35" s="399"/>
      <c r="AT35" s="399"/>
      <c r="AU35" s="399"/>
      <c r="AV35" s="399"/>
      <c r="AW35" s="399"/>
      <c r="AX35" s="399"/>
      <c r="AY35" s="399"/>
      <c r="AZ35" s="399"/>
      <c r="BA35" s="399"/>
      <c r="BB35" s="399"/>
      <c r="BC35" s="399"/>
      <c r="BD35" s="399"/>
      <c r="BE35" s="399"/>
      <c r="BF35" s="399"/>
      <c r="BG35" s="399"/>
      <c r="BH35" s="399"/>
      <c r="BI35" s="399"/>
      <c r="BJ35" s="399"/>
      <c r="BK35" s="399"/>
      <c r="BL35" s="399"/>
      <c r="BM35" s="399"/>
      <c r="BN35" s="399"/>
      <c r="BO35" s="399"/>
      <c r="BP35" s="399"/>
      <c r="BQ35" s="399"/>
      <c r="BR35" s="399"/>
      <c r="BS35" s="399"/>
      <c r="BT35" s="399"/>
      <c r="BU35" s="399"/>
      <c r="BV35" s="399"/>
      <c r="BW35" s="399"/>
      <c r="BX35" s="399"/>
      <c r="BY35" s="399"/>
      <c r="BZ35" s="399"/>
      <c r="CA35" s="399"/>
      <c r="CB35" s="399"/>
      <c r="CC35" s="399"/>
      <c r="CD35" s="399"/>
      <c r="CE35" s="399"/>
      <c r="CF35" s="399"/>
      <c r="CG35" s="399"/>
      <c r="CH35" s="399"/>
      <c r="CI35" s="399"/>
      <c r="CJ35" s="399"/>
      <c r="CK35" s="399"/>
      <c r="CL35" s="399"/>
      <c r="CM35" s="399"/>
      <c r="CN35" s="399"/>
      <c r="CO35" s="399"/>
      <c r="CP35" s="399"/>
      <c r="CQ35" s="399"/>
      <c r="CR35" s="399"/>
      <c r="CS35" s="399"/>
      <c r="CT35" s="399"/>
      <c r="CU35" s="399"/>
      <c r="CV35" s="399"/>
      <c r="CW35" s="399"/>
      <c r="CX35" s="399"/>
      <c r="CY35" s="399"/>
      <c r="CZ35" s="399"/>
      <c r="DA35" s="399"/>
      <c r="DB35" s="399"/>
      <c r="DC35" s="399"/>
      <c r="DD35" s="399"/>
      <c r="DE35" s="399"/>
      <c r="DF35" s="399"/>
      <c r="DG35" s="399"/>
      <c r="DH35" s="399"/>
      <c r="DI35" s="399"/>
      <c r="DJ35" s="399"/>
      <c r="DK35" s="399"/>
      <c r="DL35" s="399"/>
      <c r="DM35" s="399"/>
      <c r="DN35" s="399"/>
      <c r="DO35" s="399"/>
      <c r="DP35" s="399"/>
      <c r="DQ35" s="399"/>
      <c r="DR35" s="399"/>
      <c r="DS35" s="399"/>
      <c r="DT35" s="399"/>
      <c r="DU35" s="399"/>
      <c r="DV35" s="399"/>
      <c r="DW35" s="399"/>
      <c r="DX35" s="399"/>
      <c r="DY35" s="399"/>
      <c r="DZ35" s="399"/>
      <c r="EA35" s="399"/>
      <c r="EB35" s="399"/>
      <c r="EC35" s="399"/>
      <c r="ED35" s="399"/>
      <c r="EE35" s="399"/>
      <c r="EF35" s="399"/>
      <c r="EG35" s="399"/>
      <c r="EH35" s="399"/>
      <c r="EI35" s="399"/>
      <c r="EJ35" s="399"/>
      <c r="EK35" s="399"/>
      <c r="EL35" s="399"/>
      <c r="EM35" s="399"/>
      <c r="EN35" s="399"/>
      <c r="EO35" s="399"/>
      <c r="EP35" s="399"/>
      <c r="EQ35" s="399"/>
      <c r="ER35" s="399"/>
      <c r="ES35" s="399"/>
      <c r="ET35" s="399"/>
      <c r="EU35" s="399"/>
      <c r="EV35" s="399"/>
      <c r="EW35" s="399"/>
      <c r="EX35" s="399"/>
      <c r="EY35" s="399"/>
      <c r="EZ35" s="399"/>
      <c r="FA35" s="399"/>
      <c r="FB35" s="399"/>
    </row>
    <row r="36" spans="2:158" s="418" customFormat="1" ht="15.75" thickTop="1">
      <c r="B36" s="418" t="s">
        <v>1123</v>
      </c>
      <c r="G36" s="428">
        <f>IF(OR(EligBasisLimits!$C$16=0,EligBasisLimits!$C$16=""),"",J36/EligBasisLimits!$C$16)</f>
      </c>
      <c r="H36" s="419"/>
      <c r="I36" s="419"/>
      <c r="J36" s="420">
        <f aca="true" t="shared" si="5" ref="J36:X36">SUM(J24:J33)</f>
        <v>0</v>
      </c>
      <c r="K36" s="420">
        <f t="shared" si="5"/>
        <v>0</v>
      </c>
      <c r="L36" s="420">
        <f t="shared" si="5"/>
        <v>0</v>
      </c>
      <c r="M36" s="420">
        <f t="shared" si="5"/>
        <v>0</v>
      </c>
      <c r="N36" s="420">
        <f t="shared" si="5"/>
        <v>0</v>
      </c>
      <c r="O36" s="420">
        <f t="shared" si="5"/>
        <v>0</v>
      </c>
      <c r="P36" s="420">
        <f t="shared" si="5"/>
        <v>0</v>
      </c>
      <c r="Q36" s="420">
        <f t="shared" si="5"/>
        <v>0</v>
      </c>
      <c r="R36" s="420">
        <f t="shared" si="5"/>
        <v>0</v>
      </c>
      <c r="S36" s="420">
        <f t="shared" si="5"/>
        <v>0</v>
      </c>
      <c r="T36" s="420">
        <f t="shared" si="5"/>
        <v>0</v>
      </c>
      <c r="U36" s="420">
        <f t="shared" si="5"/>
        <v>0</v>
      </c>
      <c r="V36" s="420">
        <f t="shared" si="5"/>
        <v>0</v>
      </c>
      <c r="W36" s="420">
        <f t="shared" si="5"/>
        <v>0</v>
      </c>
      <c r="X36" s="420">
        <f t="shared" si="5"/>
        <v>0</v>
      </c>
      <c r="Y36" s="399"/>
      <c r="Z36" s="399"/>
      <c r="AA36" s="399"/>
      <c r="AB36" s="399"/>
      <c r="AC36" s="399"/>
      <c r="AD36" s="399"/>
      <c r="AE36" s="399"/>
      <c r="AF36" s="399"/>
      <c r="AG36" s="399"/>
      <c r="AH36" s="399"/>
      <c r="AI36" s="399"/>
      <c r="AJ36" s="399"/>
      <c r="AK36" s="399"/>
      <c r="AL36" s="399"/>
      <c r="AM36" s="399"/>
      <c r="AN36" s="399"/>
      <c r="AO36" s="399"/>
      <c r="AP36" s="399"/>
      <c r="AQ36" s="399"/>
      <c r="AR36" s="399"/>
      <c r="AS36" s="399"/>
      <c r="AT36" s="399"/>
      <c r="AU36" s="399"/>
      <c r="AV36" s="399"/>
      <c r="AW36" s="399"/>
      <c r="AX36" s="399"/>
      <c r="AY36" s="399"/>
      <c r="AZ36" s="399"/>
      <c r="BA36" s="399"/>
      <c r="BB36" s="399"/>
      <c r="BC36" s="399"/>
      <c r="BD36" s="399"/>
      <c r="BE36" s="399"/>
      <c r="BF36" s="399"/>
      <c r="BG36" s="399"/>
      <c r="BH36" s="399"/>
      <c r="BI36" s="399"/>
      <c r="BJ36" s="399"/>
      <c r="BK36" s="399"/>
      <c r="BL36" s="399"/>
      <c r="BM36" s="399"/>
      <c r="BN36" s="399"/>
      <c r="BO36" s="399"/>
      <c r="BP36" s="399"/>
      <c r="BQ36" s="399"/>
      <c r="BR36" s="399"/>
      <c r="BS36" s="399"/>
      <c r="BT36" s="399"/>
      <c r="BU36" s="399"/>
      <c r="BV36" s="399"/>
      <c r="BW36" s="399"/>
      <c r="BX36" s="399"/>
      <c r="BY36" s="399"/>
      <c r="BZ36" s="399"/>
      <c r="CA36" s="399"/>
      <c r="CB36" s="399"/>
      <c r="CC36" s="399"/>
      <c r="CD36" s="399"/>
      <c r="CE36" s="399"/>
      <c r="CF36" s="399"/>
      <c r="CG36" s="399"/>
      <c r="CH36" s="399"/>
      <c r="CI36" s="399"/>
      <c r="CJ36" s="399"/>
      <c r="CK36" s="399"/>
      <c r="CL36" s="399"/>
      <c r="CM36" s="399"/>
      <c r="CN36" s="399"/>
      <c r="CO36" s="399"/>
      <c r="CP36" s="399"/>
      <c r="CQ36" s="399"/>
      <c r="CR36" s="399"/>
      <c r="CS36" s="399"/>
      <c r="CT36" s="399"/>
      <c r="CU36" s="399"/>
      <c r="CV36" s="399"/>
      <c r="CW36" s="399"/>
      <c r="CX36" s="399"/>
      <c r="CY36" s="399"/>
      <c r="CZ36" s="399"/>
      <c r="DA36" s="399"/>
      <c r="DB36" s="399"/>
      <c r="DC36" s="399"/>
      <c r="DD36" s="399"/>
      <c r="DE36" s="399"/>
      <c r="DF36" s="399"/>
      <c r="DG36" s="399"/>
      <c r="DH36" s="399"/>
      <c r="DI36" s="399"/>
      <c r="DJ36" s="399"/>
      <c r="DK36" s="399"/>
      <c r="DL36" s="399"/>
      <c r="DM36" s="399"/>
      <c r="DN36" s="399"/>
      <c r="DO36" s="399"/>
      <c r="DP36" s="399"/>
      <c r="DQ36" s="399"/>
      <c r="DR36" s="399"/>
      <c r="DS36" s="399"/>
      <c r="DT36" s="399"/>
      <c r="DU36" s="399"/>
      <c r="DV36" s="399"/>
      <c r="DW36" s="399"/>
      <c r="DX36" s="399"/>
      <c r="DY36" s="399"/>
      <c r="DZ36" s="399"/>
      <c r="EA36" s="399"/>
      <c r="EB36" s="399"/>
      <c r="EC36" s="399"/>
      <c r="ED36" s="399"/>
      <c r="EE36" s="399"/>
      <c r="EF36" s="399"/>
      <c r="EG36" s="399"/>
      <c r="EH36" s="399"/>
      <c r="EI36" s="399"/>
      <c r="EJ36" s="399"/>
      <c r="EK36" s="399"/>
      <c r="EL36" s="399"/>
      <c r="EM36" s="399"/>
      <c r="EN36" s="399"/>
      <c r="EO36" s="399"/>
      <c r="EP36" s="399"/>
      <c r="EQ36" s="399"/>
      <c r="ER36" s="399"/>
      <c r="ES36" s="399"/>
      <c r="ET36" s="399"/>
      <c r="EU36" s="399"/>
      <c r="EV36" s="399"/>
      <c r="EW36" s="399"/>
      <c r="EX36" s="399"/>
      <c r="EY36" s="399"/>
      <c r="EZ36" s="399"/>
      <c r="FA36" s="399"/>
      <c r="FB36" s="399"/>
    </row>
    <row r="37" spans="8:158" s="1379" customFormat="1" ht="15.75" thickBot="1">
      <c r="H37" s="1357"/>
      <c r="I37" s="1357"/>
      <c r="J37" s="1356"/>
      <c r="K37" s="1356"/>
      <c r="L37" s="1356"/>
      <c r="M37" s="1356"/>
      <c r="N37" s="1356"/>
      <c r="O37" s="1356"/>
      <c r="P37" s="1356"/>
      <c r="Q37" s="1356"/>
      <c r="R37" s="1356"/>
      <c r="S37" s="1356"/>
      <c r="T37" s="1356"/>
      <c r="U37" s="1356"/>
      <c r="V37" s="1356"/>
      <c r="W37" s="1356"/>
      <c r="X37" s="1356"/>
      <c r="Y37" s="399"/>
      <c r="Z37" s="399"/>
      <c r="AA37" s="399"/>
      <c r="AB37" s="399"/>
      <c r="AC37" s="399"/>
      <c r="AD37" s="399"/>
      <c r="AE37" s="399"/>
      <c r="AF37" s="399"/>
      <c r="AG37" s="399"/>
      <c r="AH37" s="399"/>
      <c r="AI37" s="399"/>
      <c r="AJ37" s="399"/>
      <c r="AK37" s="399"/>
      <c r="AL37" s="399"/>
      <c r="AM37" s="399"/>
      <c r="AN37" s="399"/>
      <c r="AO37" s="399"/>
      <c r="AP37" s="399"/>
      <c r="AQ37" s="399"/>
      <c r="AR37" s="399"/>
      <c r="AS37" s="399"/>
      <c r="AT37" s="399"/>
      <c r="AU37" s="399"/>
      <c r="AV37" s="399"/>
      <c r="AW37" s="399"/>
      <c r="AX37" s="399"/>
      <c r="AY37" s="399"/>
      <c r="AZ37" s="399"/>
      <c r="BA37" s="399"/>
      <c r="BB37" s="399"/>
      <c r="BC37" s="399"/>
      <c r="BD37" s="399"/>
      <c r="BE37" s="399"/>
      <c r="BF37" s="399"/>
      <c r="BG37" s="399"/>
      <c r="BH37" s="399"/>
      <c r="BI37" s="399"/>
      <c r="BJ37" s="399"/>
      <c r="BK37" s="399"/>
      <c r="BL37" s="399"/>
      <c r="BM37" s="399"/>
      <c r="BN37" s="399"/>
      <c r="BO37" s="399"/>
      <c r="BP37" s="399"/>
      <c r="BQ37" s="399"/>
      <c r="BR37" s="399"/>
      <c r="BS37" s="399"/>
      <c r="BT37" s="399"/>
      <c r="BU37" s="399"/>
      <c r="BV37" s="399"/>
      <c r="BW37" s="399"/>
      <c r="BX37" s="399"/>
      <c r="BY37" s="399"/>
      <c r="BZ37" s="399"/>
      <c r="CA37" s="399"/>
      <c r="CB37" s="399"/>
      <c r="CC37" s="399"/>
      <c r="CD37" s="399"/>
      <c r="CE37" s="399"/>
      <c r="CF37" s="399"/>
      <c r="CG37" s="399"/>
      <c r="CH37" s="399"/>
      <c r="CI37" s="399"/>
      <c r="CJ37" s="399"/>
      <c r="CK37" s="399"/>
      <c r="CL37" s="399"/>
      <c r="CM37" s="399"/>
      <c r="CN37" s="399"/>
      <c r="CO37" s="399"/>
      <c r="CP37" s="399"/>
      <c r="CQ37" s="399"/>
      <c r="CR37" s="399"/>
      <c r="CS37" s="399"/>
      <c r="CT37" s="399"/>
      <c r="CU37" s="399"/>
      <c r="CV37" s="399"/>
      <c r="CW37" s="399"/>
      <c r="CX37" s="399"/>
      <c r="CY37" s="399"/>
      <c r="CZ37" s="399"/>
      <c r="DA37" s="399"/>
      <c r="DB37" s="399"/>
      <c r="DC37" s="399"/>
      <c r="DD37" s="399"/>
      <c r="DE37" s="399"/>
      <c r="DF37" s="399"/>
      <c r="DG37" s="399"/>
      <c r="DH37" s="399"/>
      <c r="DI37" s="399"/>
      <c r="DJ37" s="399"/>
      <c r="DK37" s="399"/>
      <c r="DL37" s="399"/>
      <c r="DM37" s="399"/>
      <c r="DN37" s="399"/>
      <c r="DO37" s="399"/>
      <c r="DP37" s="399"/>
      <c r="DQ37" s="399"/>
      <c r="DR37" s="399"/>
      <c r="DS37" s="399"/>
      <c r="DT37" s="399"/>
      <c r="DU37" s="399"/>
      <c r="DV37" s="399"/>
      <c r="DW37" s="399"/>
      <c r="DX37" s="399"/>
      <c r="DY37" s="399"/>
      <c r="DZ37" s="399"/>
      <c r="EA37" s="399"/>
      <c r="EB37" s="399"/>
      <c r="EC37" s="399"/>
      <c r="ED37" s="399"/>
      <c r="EE37" s="399"/>
      <c r="EF37" s="399"/>
      <c r="EG37" s="399"/>
      <c r="EH37" s="399"/>
      <c r="EI37" s="399"/>
      <c r="EJ37" s="399"/>
      <c r="EK37" s="399"/>
      <c r="EL37" s="399"/>
      <c r="EM37" s="399"/>
      <c r="EN37" s="399"/>
      <c r="EO37" s="399"/>
      <c r="EP37" s="399"/>
      <c r="EQ37" s="399"/>
      <c r="ER37" s="399"/>
      <c r="ES37" s="399"/>
      <c r="ET37" s="399"/>
      <c r="EU37" s="399"/>
      <c r="EV37" s="399"/>
      <c r="EW37" s="399"/>
      <c r="EX37" s="399"/>
      <c r="EY37" s="399"/>
      <c r="EZ37" s="399"/>
      <c r="FA37" s="399"/>
      <c r="FB37" s="399"/>
    </row>
    <row r="38" spans="1:158" s="1340" customFormat="1" ht="15.75" thickTop="1">
      <c r="A38" s="418" t="s">
        <v>560</v>
      </c>
      <c r="H38" s="1339"/>
      <c r="I38" s="1339"/>
      <c r="J38" s="420">
        <f aca="true" t="shared" si="6" ref="J38:X38">+J14-J36</f>
        <v>0</v>
      </c>
      <c r="K38" s="420">
        <f t="shared" si="6"/>
        <v>0</v>
      </c>
      <c r="L38" s="420">
        <f t="shared" si="6"/>
        <v>0</v>
      </c>
      <c r="M38" s="420">
        <f t="shared" si="6"/>
        <v>0</v>
      </c>
      <c r="N38" s="420">
        <f t="shared" si="6"/>
        <v>0</v>
      </c>
      <c r="O38" s="420">
        <f t="shared" si="6"/>
        <v>0</v>
      </c>
      <c r="P38" s="420">
        <f t="shared" si="6"/>
        <v>0</v>
      </c>
      <c r="Q38" s="420">
        <f t="shared" si="6"/>
        <v>0</v>
      </c>
      <c r="R38" s="420">
        <f t="shared" si="6"/>
        <v>0</v>
      </c>
      <c r="S38" s="420">
        <f t="shared" si="6"/>
        <v>0</v>
      </c>
      <c r="T38" s="420">
        <f t="shared" si="6"/>
        <v>0</v>
      </c>
      <c r="U38" s="420">
        <f t="shared" si="6"/>
        <v>0</v>
      </c>
      <c r="V38" s="420">
        <f t="shared" si="6"/>
        <v>0</v>
      </c>
      <c r="W38" s="420">
        <f t="shared" si="6"/>
        <v>0</v>
      </c>
      <c r="X38" s="420">
        <f t="shared" si="6"/>
        <v>0</v>
      </c>
      <c r="Y38" s="399"/>
      <c r="Z38" s="399"/>
      <c r="AA38" s="399"/>
      <c r="AB38" s="399"/>
      <c r="AC38" s="399"/>
      <c r="AD38" s="399"/>
      <c r="AE38" s="399"/>
      <c r="AF38" s="399"/>
      <c r="AG38" s="399"/>
      <c r="AH38" s="399"/>
      <c r="AI38" s="399"/>
      <c r="AJ38" s="399"/>
      <c r="AK38" s="399"/>
      <c r="AL38" s="399"/>
      <c r="AM38" s="399"/>
      <c r="AN38" s="399"/>
      <c r="AO38" s="399"/>
      <c r="AP38" s="399"/>
      <c r="AQ38" s="399"/>
      <c r="AR38" s="399"/>
      <c r="AS38" s="399"/>
      <c r="AT38" s="399"/>
      <c r="AU38" s="399"/>
      <c r="AV38" s="399"/>
      <c r="AW38" s="399"/>
      <c r="AX38" s="399"/>
      <c r="AY38" s="399"/>
      <c r="AZ38" s="399"/>
      <c r="BA38" s="399"/>
      <c r="BB38" s="399"/>
      <c r="BC38" s="399"/>
      <c r="BD38" s="399"/>
      <c r="BE38" s="399"/>
      <c r="BF38" s="399"/>
      <c r="BG38" s="399"/>
      <c r="BH38" s="399"/>
      <c r="BI38" s="399"/>
      <c r="BJ38" s="399"/>
      <c r="BK38" s="399"/>
      <c r="BL38" s="399"/>
      <c r="BM38" s="399"/>
      <c r="BN38" s="399"/>
      <c r="BO38" s="399"/>
      <c r="BP38" s="399"/>
      <c r="BQ38" s="399"/>
      <c r="BR38" s="399"/>
      <c r="BS38" s="399"/>
      <c r="BT38" s="399"/>
      <c r="BU38" s="399"/>
      <c r="BV38" s="399"/>
      <c r="BW38" s="399"/>
      <c r="BX38" s="399"/>
      <c r="BY38" s="399"/>
      <c r="BZ38" s="399"/>
      <c r="CA38" s="399"/>
      <c r="CB38" s="399"/>
      <c r="CC38" s="399"/>
      <c r="CD38" s="399"/>
      <c r="CE38" s="399"/>
      <c r="CF38" s="399"/>
      <c r="CG38" s="399"/>
      <c r="CH38" s="399"/>
      <c r="CI38" s="399"/>
      <c r="CJ38" s="399"/>
      <c r="CK38" s="399"/>
      <c r="CL38" s="399"/>
      <c r="CM38" s="399"/>
      <c r="CN38" s="399"/>
      <c r="CO38" s="399"/>
      <c r="CP38" s="399"/>
      <c r="CQ38" s="399"/>
      <c r="CR38" s="399"/>
      <c r="CS38" s="399"/>
      <c r="CT38" s="399"/>
      <c r="CU38" s="399"/>
      <c r="CV38" s="399"/>
      <c r="CW38" s="399"/>
      <c r="CX38" s="399"/>
      <c r="CY38" s="399"/>
      <c r="CZ38" s="399"/>
      <c r="DA38" s="399"/>
      <c r="DB38" s="399"/>
      <c r="DC38" s="399"/>
      <c r="DD38" s="399"/>
      <c r="DE38" s="399"/>
      <c r="DF38" s="399"/>
      <c r="DG38" s="399"/>
      <c r="DH38" s="399"/>
      <c r="DI38" s="399"/>
      <c r="DJ38" s="399"/>
      <c r="DK38" s="399"/>
      <c r="DL38" s="399"/>
      <c r="DM38" s="399"/>
      <c r="DN38" s="399"/>
      <c r="DO38" s="399"/>
      <c r="DP38" s="399"/>
      <c r="DQ38" s="399"/>
      <c r="DR38" s="399"/>
      <c r="DS38" s="399"/>
      <c r="DT38" s="399"/>
      <c r="DU38" s="399"/>
      <c r="DV38" s="399"/>
      <c r="DW38" s="399"/>
      <c r="DX38" s="399"/>
      <c r="DY38" s="399"/>
      <c r="DZ38" s="399"/>
      <c r="EA38" s="399"/>
      <c r="EB38" s="399"/>
      <c r="EC38" s="399"/>
      <c r="ED38" s="399"/>
      <c r="EE38" s="399"/>
      <c r="EF38" s="399"/>
      <c r="EG38" s="399"/>
      <c r="EH38" s="399"/>
      <c r="EI38" s="399"/>
      <c r="EJ38" s="399"/>
      <c r="EK38" s="399"/>
      <c r="EL38" s="399"/>
      <c r="EM38" s="399"/>
      <c r="EN38" s="399"/>
      <c r="EO38" s="399"/>
      <c r="EP38" s="399"/>
      <c r="EQ38" s="399"/>
      <c r="ER38" s="399"/>
      <c r="ES38" s="399"/>
      <c r="ET38" s="399"/>
      <c r="EU38" s="399"/>
      <c r="EV38" s="399"/>
      <c r="EW38" s="399"/>
      <c r="EX38" s="399"/>
      <c r="EY38" s="399"/>
      <c r="EZ38" s="399"/>
      <c r="FA38" s="399"/>
      <c r="FB38" s="399"/>
    </row>
    <row r="39" spans="27:158" ht="15">
      <c r="AA39" s="399"/>
      <c r="AB39" s="399"/>
      <c r="AC39" s="399"/>
      <c r="AD39" s="399"/>
      <c r="AE39" s="399"/>
      <c r="AF39" s="399"/>
      <c r="AG39" s="399"/>
      <c r="AH39" s="399"/>
      <c r="AI39" s="399"/>
      <c r="AJ39" s="399"/>
      <c r="AK39" s="399"/>
      <c r="AL39" s="399"/>
      <c r="AM39" s="399"/>
      <c r="AN39" s="399"/>
      <c r="AO39" s="399"/>
      <c r="AP39" s="399"/>
      <c r="AQ39" s="399"/>
      <c r="AR39" s="399"/>
      <c r="AS39" s="399"/>
      <c r="AT39" s="399"/>
      <c r="AU39" s="399"/>
      <c r="AV39" s="399"/>
      <c r="AW39" s="399"/>
      <c r="AX39" s="399"/>
      <c r="AY39" s="399"/>
      <c r="AZ39" s="399"/>
      <c r="BA39" s="399"/>
      <c r="BB39" s="399"/>
      <c r="BC39" s="399"/>
      <c r="BD39" s="399"/>
      <c r="BE39" s="399"/>
      <c r="BF39" s="399"/>
      <c r="BG39" s="399"/>
      <c r="BH39" s="399"/>
      <c r="BI39" s="399"/>
      <c r="BJ39" s="399"/>
      <c r="BK39" s="399"/>
      <c r="BL39" s="399"/>
      <c r="BM39" s="399"/>
      <c r="BN39" s="399"/>
      <c r="BO39" s="399"/>
      <c r="BP39" s="399"/>
      <c r="BQ39" s="399"/>
      <c r="BR39" s="399"/>
      <c r="BS39" s="399"/>
      <c r="BT39" s="399"/>
      <c r="BU39" s="399"/>
      <c r="BV39" s="399"/>
      <c r="BW39" s="399"/>
      <c r="BX39" s="399"/>
      <c r="BY39" s="399"/>
      <c r="BZ39" s="399"/>
      <c r="CA39" s="399"/>
      <c r="CB39" s="399"/>
      <c r="CC39" s="399"/>
      <c r="CD39" s="399"/>
      <c r="CE39" s="399"/>
      <c r="CF39" s="399"/>
      <c r="CG39" s="399"/>
      <c r="CH39" s="399"/>
      <c r="CI39" s="399"/>
      <c r="CJ39" s="399"/>
      <c r="CK39" s="399"/>
      <c r="CL39" s="399"/>
      <c r="CM39" s="399"/>
      <c r="CN39" s="399"/>
      <c r="CO39" s="399"/>
      <c r="CP39" s="399"/>
      <c r="CQ39" s="399"/>
      <c r="CR39" s="399"/>
      <c r="CS39" s="399"/>
      <c r="CT39" s="399"/>
      <c r="CU39" s="399"/>
      <c r="CV39" s="399"/>
      <c r="CW39" s="399"/>
      <c r="CX39" s="399"/>
      <c r="CY39" s="399"/>
      <c r="CZ39" s="399"/>
      <c r="DA39" s="399"/>
      <c r="DB39" s="399"/>
      <c r="DC39" s="399"/>
      <c r="DD39" s="399"/>
      <c r="DE39" s="399"/>
      <c r="DF39" s="399"/>
      <c r="DG39" s="399"/>
      <c r="DH39" s="399"/>
      <c r="DI39" s="399"/>
      <c r="DJ39" s="399"/>
      <c r="DK39" s="399"/>
      <c r="DL39" s="399"/>
      <c r="DM39" s="399"/>
      <c r="DN39" s="399"/>
      <c r="DO39" s="399"/>
      <c r="DP39" s="399"/>
      <c r="DQ39" s="399"/>
      <c r="DR39" s="399"/>
      <c r="DS39" s="399"/>
      <c r="DT39" s="399"/>
      <c r="DU39" s="399"/>
      <c r="DV39" s="399"/>
      <c r="DW39" s="399"/>
      <c r="DX39" s="399"/>
      <c r="DY39" s="399"/>
      <c r="DZ39" s="399"/>
      <c r="EA39" s="399"/>
      <c r="EB39" s="399"/>
      <c r="EC39" s="399"/>
      <c r="ED39" s="399"/>
      <c r="EE39" s="399"/>
      <c r="EF39" s="399"/>
      <c r="EG39" s="399"/>
      <c r="EH39" s="399"/>
      <c r="EI39" s="399"/>
      <c r="EJ39" s="399"/>
      <c r="EK39" s="399"/>
      <c r="EL39" s="399"/>
      <c r="EM39" s="399"/>
      <c r="EN39" s="399"/>
      <c r="EO39" s="399"/>
      <c r="EP39" s="399"/>
      <c r="EQ39" s="399"/>
      <c r="ER39" s="399"/>
      <c r="ES39" s="399"/>
      <c r="ET39" s="399"/>
      <c r="EU39" s="399"/>
      <c r="EV39" s="399"/>
      <c r="EW39" s="399"/>
      <c r="EX39" s="399"/>
      <c r="EY39" s="399"/>
      <c r="EZ39" s="399"/>
      <c r="FA39" s="399"/>
      <c r="FB39" s="399"/>
    </row>
    <row r="40" spans="1:158" ht="15">
      <c r="A40" s="418" t="s">
        <v>561</v>
      </c>
      <c r="AA40" s="399"/>
      <c r="AB40" s="399"/>
      <c r="AC40" s="399"/>
      <c r="AD40" s="399"/>
      <c r="AE40" s="399"/>
      <c r="AF40" s="399"/>
      <c r="AG40" s="399"/>
      <c r="AH40" s="399"/>
      <c r="AI40" s="399"/>
      <c r="AJ40" s="399"/>
      <c r="AK40" s="399"/>
      <c r="AL40" s="399"/>
      <c r="AM40" s="399"/>
      <c r="AN40" s="399"/>
      <c r="AO40" s="399"/>
      <c r="AP40" s="399"/>
      <c r="AQ40" s="399"/>
      <c r="AR40" s="399"/>
      <c r="AS40" s="399"/>
      <c r="AT40" s="399"/>
      <c r="AU40" s="399"/>
      <c r="AV40" s="399"/>
      <c r="AW40" s="399"/>
      <c r="AX40" s="399"/>
      <c r="AY40" s="399"/>
      <c r="AZ40" s="399"/>
      <c r="BA40" s="399"/>
      <c r="BB40" s="399"/>
      <c r="BC40" s="399"/>
      <c r="BD40" s="399"/>
      <c r="BE40" s="399"/>
      <c r="BF40" s="399"/>
      <c r="BG40" s="399"/>
      <c r="BH40" s="399"/>
      <c r="BI40" s="399"/>
      <c r="BJ40" s="399"/>
      <c r="BK40" s="399"/>
      <c r="BL40" s="399"/>
      <c r="BM40" s="399"/>
      <c r="BN40" s="399"/>
      <c r="BO40" s="399"/>
      <c r="BP40" s="399"/>
      <c r="BQ40" s="399"/>
      <c r="BR40" s="399"/>
      <c r="BS40" s="399"/>
      <c r="BT40" s="399"/>
      <c r="BU40" s="399"/>
      <c r="BV40" s="399"/>
      <c r="BW40" s="399"/>
      <c r="BX40" s="399"/>
      <c r="BY40" s="399"/>
      <c r="BZ40" s="399"/>
      <c r="CA40" s="399"/>
      <c r="CB40" s="399"/>
      <c r="CC40" s="399"/>
      <c r="CD40" s="399"/>
      <c r="CE40" s="399"/>
      <c r="CF40" s="399"/>
      <c r="CG40" s="399"/>
      <c r="CH40" s="399"/>
      <c r="CI40" s="399"/>
      <c r="CJ40" s="399"/>
      <c r="CK40" s="399"/>
      <c r="CL40" s="399"/>
      <c r="CM40" s="399"/>
      <c r="CN40" s="399"/>
      <c r="CO40" s="399"/>
      <c r="CP40" s="399"/>
      <c r="CQ40" s="399"/>
      <c r="CR40" s="399"/>
      <c r="CS40" s="399"/>
      <c r="CT40" s="399"/>
      <c r="CU40" s="399"/>
      <c r="CV40" s="399"/>
      <c r="CW40" s="399"/>
      <c r="CX40" s="399"/>
      <c r="CY40" s="399"/>
      <c r="CZ40" s="399"/>
      <c r="DA40" s="399"/>
      <c r="DB40" s="399"/>
      <c r="DC40" s="399"/>
      <c r="DD40" s="399"/>
      <c r="DE40" s="399"/>
      <c r="DF40" s="399"/>
      <c r="DG40" s="399"/>
      <c r="DH40" s="399"/>
      <c r="DI40" s="399"/>
      <c r="DJ40" s="399"/>
      <c r="DK40" s="399"/>
      <c r="DL40" s="399"/>
      <c r="DM40" s="399"/>
      <c r="DN40" s="399"/>
      <c r="DO40" s="399"/>
      <c r="DP40" s="399"/>
      <c r="DQ40" s="399"/>
      <c r="DR40" s="399"/>
      <c r="DS40" s="399"/>
      <c r="DT40" s="399"/>
      <c r="DU40" s="399"/>
      <c r="DV40" s="399"/>
      <c r="DW40" s="399"/>
      <c r="DX40" s="399"/>
      <c r="DY40" s="399"/>
      <c r="DZ40" s="399"/>
      <c r="EA40" s="399"/>
      <c r="EB40" s="399"/>
      <c r="EC40" s="399"/>
      <c r="ED40" s="399"/>
      <c r="EE40" s="399"/>
      <c r="EF40" s="399"/>
      <c r="EG40" s="399"/>
      <c r="EH40" s="399"/>
      <c r="EI40" s="399"/>
      <c r="EJ40" s="399"/>
      <c r="EK40" s="399"/>
      <c r="EL40" s="399"/>
      <c r="EM40" s="399"/>
      <c r="EN40" s="399"/>
      <c r="EO40" s="399"/>
      <c r="EP40" s="399"/>
      <c r="EQ40" s="399"/>
      <c r="ER40" s="399"/>
      <c r="ES40" s="399"/>
      <c r="ET40" s="399"/>
      <c r="EU40" s="399"/>
      <c r="EV40" s="399"/>
      <c r="EW40" s="399"/>
      <c r="EX40" s="399"/>
      <c r="EY40" s="399"/>
      <c r="EZ40" s="399"/>
      <c r="FA40" s="399"/>
      <c r="FB40" s="399"/>
    </row>
    <row r="41" spans="2:158" s="1360" customFormat="1" ht="15">
      <c r="B41" s="1360" t="s">
        <v>1124</v>
      </c>
      <c r="G41" s="1380"/>
      <c r="H41" s="1381"/>
      <c r="I41" s="1381"/>
      <c r="J41" s="1367">
        <f>IF(OR(Breakdown!H86=0,Breakdown!H86=""),0,-ROUND(PMT(Breakdown!D86/12,Breakdown!F86*12,Breakdown!H86)*12,0))</f>
        <v>0</v>
      </c>
      <c r="K41" s="1367">
        <f>IF(K11&lt;Breakdown!$F$86,NOI!J41,0)</f>
        <v>0</v>
      </c>
      <c r="L41" s="1367">
        <f>IF(L11&lt;Breakdown!$F$86,NOI!K41,0)</f>
        <v>0</v>
      </c>
      <c r="M41" s="1367">
        <f>IF(M11&lt;Breakdown!$F$86,NOI!L41,0)</f>
        <v>0</v>
      </c>
      <c r="N41" s="1367">
        <f>IF(N11&lt;Breakdown!$F$86,NOI!M41,0)</f>
        <v>0</v>
      </c>
      <c r="O41" s="1367">
        <f>IF(O11&lt;Breakdown!$F$86,NOI!N41,0)</f>
        <v>0</v>
      </c>
      <c r="P41" s="1367">
        <f>IF(P11&lt;Breakdown!$F$86,NOI!O41,0)</f>
        <v>0</v>
      </c>
      <c r="Q41" s="1367">
        <f>IF(Q11&lt;Breakdown!$F$86,NOI!P41,0)</f>
        <v>0</v>
      </c>
      <c r="R41" s="1367">
        <f>IF(R11&lt;Breakdown!$F$86,NOI!Q41,0)</f>
        <v>0</v>
      </c>
      <c r="S41" s="1367">
        <f>IF(S11&lt;Breakdown!$F$86,NOI!R41,0)</f>
        <v>0</v>
      </c>
      <c r="T41" s="1367">
        <f>IF(T11&lt;Breakdown!$F$86,NOI!S41,0)</f>
        <v>0</v>
      </c>
      <c r="U41" s="1367">
        <f>IF(U11&lt;Breakdown!$F$86,NOI!T41,0)</f>
        <v>0</v>
      </c>
      <c r="V41" s="1367">
        <f>IF(V11&lt;Breakdown!$F$86,NOI!U41,0)</f>
        <v>0</v>
      </c>
      <c r="W41" s="1367">
        <f>IF(W11&lt;Breakdown!$F$86,NOI!V41,0)</f>
        <v>0</v>
      </c>
      <c r="X41" s="1367">
        <f>IF(X11&lt;Breakdown!$F$86,NOI!W41,0)</f>
        <v>0</v>
      </c>
      <c r="Y41" s="399"/>
      <c r="Z41" s="399"/>
      <c r="AA41" s="399"/>
      <c r="AB41" s="399"/>
      <c r="AC41" s="399"/>
      <c r="AD41" s="399"/>
      <c r="AE41" s="399"/>
      <c r="AF41" s="399"/>
      <c r="AG41" s="399"/>
      <c r="AH41" s="399"/>
      <c r="AI41" s="399"/>
      <c r="AJ41" s="399"/>
      <c r="AK41" s="399"/>
      <c r="AL41" s="399"/>
      <c r="AM41" s="399"/>
      <c r="AN41" s="399"/>
      <c r="AO41" s="399"/>
      <c r="AP41" s="399"/>
      <c r="AQ41" s="399"/>
      <c r="AR41" s="399"/>
      <c r="AS41" s="399"/>
      <c r="AT41" s="399"/>
      <c r="AU41" s="399"/>
      <c r="AV41" s="399"/>
      <c r="AW41" s="399"/>
      <c r="AX41" s="399"/>
      <c r="AY41" s="399"/>
      <c r="AZ41" s="399"/>
      <c r="BA41" s="399"/>
      <c r="BB41" s="399"/>
      <c r="BC41" s="399"/>
      <c r="BD41" s="399"/>
      <c r="BE41" s="399"/>
      <c r="BF41" s="399"/>
      <c r="BG41" s="399"/>
      <c r="BH41" s="399"/>
      <c r="BI41" s="399"/>
      <c r="BJ41" s="399"/>
      <c r="BK41" s="399"/>
      <c r="BL41" s="399"/>
      <c r="BM41" s="399"/>
      <c r="BN41" s="399"/>
      <c r="BO41" s="399"/>
      <c r="BP41" s="399"/>
      <c r="BQ41" s="399"/>
      <c r="BR41" s="399"/>
      <c r="BS41" s="399"/>
      <c r="BT41" s="399"/>
      <c r="BU41" s="399"/>
      <c r="BV41" s="399"/>
      <c r="BW41" s="399"/>
      <c r="BX41" s="399"/>
      <c r="BY41" s="399"/>
      <c r="BZ41" s="399"/>
      <c r="CA41" s="399"/>
      <c r="CB41" s="399"/>
      <c r="CC41" s="399"/>
      <c r="CD41" s="399"/>
      <c r="CE41" s="399"/>
      <c r="CF41" s="399"/>
      <c r="CG41" s="399"/>
      <c r="CH41" s="399"/>
      <c r="CI41" s="399"/>
      <c r="CJ41" s="399"/>
      <c r="CK41" s="399"/>
      <c r="CL41" s="399"/>
      <c r="CM41" s="399"/>
      <c r="CN41" s="399"/>
      <c r="CO41" s="399"/>
      <c r="CP41" s="399"/>
      <c r="CQ41" s="399"/>
      <c r="CR41" s="399"/>
      <c r="CS41" s="399"/>
      <c r="CT41" s="399"/>
      <c r="CU41" s="399"/>
      <c r="CV41" s="399"/>
      <c r="CW41" s="399"/>
      <c r="CX41" s="399"/>
      <c r="CY41" s="399"/>
      <c r="CZ41" s="399"/>
      <c r="DA41" s="399"/>
      <c r="DB41" s="399"/>
      <c r="DC41" s="399"/>
      <c r="DD41" s="399"/>
      <c r="DE41" s="399"/>
      <c r="DF41" s="399"/>
      <c r="DG41" s="399"/>
      <c r="DH41" s="399"/>
      <c r="DI41" s="399"/>
      <c r="DJ41" s="399"/>
      <c r="DK41" s="399"/>
      <c r="DL41" s="399"/>
      <c r="DM41" s="399"/>
      <c r="DN41" s="399"/>
      <c r="DO41" s="399"/>
      <c r="DP41" s="399"/>
      <c r="DQ41" s="399"/>
      <c r="DR41" s="399"/>
      <c r="DS41" s="399"/>
      <c r="DT41" s="399"/>
      <c r="DU41" s="399"/>
      <c r="DV41" s="399"/>
      <c r="DW41" s="399"/>
      <c r="DX41" s="399"/>
      <c r="DY41" s="399"/>
      <c r="DZ41" s="399"/>
      <c r="EA41" s="399"/>
      <c r="EB41" s="399"/>
      <c r="EC41" s="399"/>
      <c r="ED41" s="399"/>
      <c r="EE41" s="399"/>
      <c r="EF41" s="399"/>
      <c r="EG41" s="399"/>
      <c r="EH41" s="399"/>
      <c r="EI41" s="399"/>
      <c r="EJ41" s="399"/>
      <c r="EK41" s="399"/>
      <c r="EL41" s="399"/>
      <c r="EM41" s="399"/>
      <c r="EN41" s="399"/>
      <c r="EO41" s="399"/>
      <c r="EP41" s="399"/>
      <c r="EQ41" s="399"/>
      <c r="ER41" s="399"/>
      <c r="ES41" s="399"/>
      <c r="ET41" s="399"/>
      <c r="EU41" s="399"/>
      <c r="EV41" s="399"/>
      <c r="EW41" s="399"/>
      <c r="EX41" s="399"/>
      <c r="EY41" s="399"/>
      <c r="EZ41" s="399"/>
      <c r="FA41" s="399"/>
      <c r="FB41" s="399"/>
    </row>
    <row r="42" spans="2:158" s="1360" customFormat="1" ht="15">
      <c r="B42" s="1360" t="s">
        <v>1125</v>
      </c>
      <c r="G42" s="1382"/>
      <c r="H42" s="1383" t="s">
        <v>1126</v>
      </c>
      <c r="I42" s="1383"/>
      <c r="J42" s="1367"/>
      <c r="K42" s="1367">
        <f aca="true" t="shared" si="7" ref="K42:X42">IF(K41&gt;0,J42,0)</f>
        <v>0</v>
      </c>
      <c r="L42" s="1367">
        <f t="shared" si="7"/>
        <v>0</v>
      </c>
      <c r="M42" s="1367">
        <f t="shared" si="7"/>
        <v>0</v>
      </c>
      <c r="N42" s="1367">
        <f t="shared" si="7"/>
        <v>0</v>
      </c>
      <c r="O42" s="1367">
        <f t="shared" si="7"/>
        <v>0</v>
      </c>
      <c r="P42" s="1367">
        <f t="shared" si="7"/>
        <v>0</v>
      </c>
      <c r="Q42" s="1367">
        <f t="shared" si="7"/>
        <v>0</v>
      </c>
      <c r="R42" s="1367">
        <f t="shared" si="7"/>
        <v>0</v>
      </c>
      <c r="S42" s="1367">
        <f t="shared" si="7"/>
        <v>0</v>
      </c>
      <c r="T42" s="1367">
        <f t="shared" si="7"/>
        <v>0</v>
      </c>
      <c r="U42" s="1367">
        <f t="shared" si="7"/>
        <v>0</v>
      </c>
      <c r="V42" s="1367">
        <f t="shared" si="7"/>
        <v>0</v>
      </c>
      <c r="W42" s="1367">
        <f t="shared" si="7"/>
        <v>0</v>
      </c>
      <c r="X42" s="1367">
        <f t="shared" si="7"/>
        <v>0</v>
      </c>
      <c r="Y42" s="399"/>
      <c r="Z42" s="399"/>
      <c r="AA42" s="399"/>
      <c r="AB42" s="399"/>
      <c r="AC42" s="399"/>
      <c r="AD42" s="399"/>
      <c r="AE42" s="399"/>
      <c r="AF42" s="399"/>
      <c r="AG42" s="399"/>
      <c r="AH42" s="399"/>
      <c r="AI42" s="399"/>
      <c r="AJ42" s="399"/>
      <c r="AK42" s="399"/>
      <c r="AL42" s="399"/>
      <c r="AM42" s="399"/>
      <c r="AN42" s="399"/>
      <c r="AO42" s="399"/>
      <c r="AP42" s="399"/>
      <c r="AQ42" s="399"/>
      <c r="AR42" s="399"/>
      <c r="AS42" s="399"/>
      <c r="AT42" s="399"/>
      <c r="AU42" s="399"/>
      <c r="AV42" s="399"/>
      <c r="AW42" s="399"/>
      <c r="AX42" s="399"/>
      <c r="AY42" s="399"/>
      <c r="AZ42" s="399"/>
      <c r="BA42" s="399"/>
      <c r="BB42" s="399"/>
      <c r="BC42" s="399"/>
      <c r="BD42" s="399"/>
      <c r="BE42" s="399"/>
      <c r="BF42" s="399"/>
      <c r="BG42" s="399"/>
      <c r="BH42" s="399"/>
      <c r="BI42" s="399"/>
      <c r="BJ42" s="399"/>
      <c r="BK42" s="399"/>
      <c r="BL42" s="399"/>
      <c r="BM42" s="399"/>
      <c r="BN42" s="399"/>
      <c r="BO42" s="399"/>
      <c r="BP42" s="399"/>
      <c r="BQ42" s="399"/>
      <c r="BR42" s="399"/>
      <c r="BS42" s="399"/>
      <c r="BT42" s="399"/>
      <c r="BU42" s="399"/>
      <c r="BV42" s="399"/>
      <c r="BW42" s="399"/>
      <c r="BX42" s="399"/>
      <c r="BY42" s="399"/>
      <c r="BZ42" s="399"/>
      <c r="CA42" s="399"/>
      <c r="CB42" s="399"/>
      <c r="CC42" s="399"/>
      <c r="CD42" s="399"/>
      <c r="CE42" s="399"/>
      <c r="CF42" s="399"/>
      <c r="CG42" s="399"/>
      <c r="CH42" s="399"/>
      <c r="CI42" s="399"/>
      <c r="CJ42" s="399"/>
      <c r="CK42" s="399"/>
      <c r="CL42" s="399"/>
      <c r="CM42" s="399"/>
      <c r="CN42" s="399"/>
      <c r="CO42" s="399"/>
      <c r="CP42" s="399"/>
      <c r="CQ42" s="399"/>
      <c r="CR42" s="399"/>
      <c r="CS42" s="399"/>
      <c r="CT42" s="399"/>
      <c r="CU42" s="399"/>
      <c r="CV42" s="399"/>
      <c r="CW42" s="399"/>
      <c r="CX42" s="399"/>
      <c r="CY42" s="399"/>
      <c r="CZ42" s="399"/>
      <c r="DA42" s="399"/>
      <c r="DB42" s="399"/>
      <c r="DC42" s="399"/>
      <c r="DD42" s="399"/>
      <c r="DE42" s="399"/>
      <c r="DF42" s="399"/>
      <c r="DG42" s="399"/>
      <c r="DH42" s="399"/>
      <c r="DI42" s="399"/>
      <c r="DJ42" s="399"/>
      <c r="DK42" s="399"/>
      <c r="DL42" s="399"/>
      <c r="DM42" s="399"/>
      <c r="DN42" s="399"/>
      <c r="DO42" s="399"/>
      <c r="DP42" s="399"/>
      <c r="DQ42" s="399"/>
      <c r="DR42" s="399"/>
      <c r="DS42" s="399"/>
      <c r="DT42" s="399"/>
      <c r="DU42" s="399"/>
      <c r="DV42" s="399"/>
      <c r="DW42" s="399"/>
      <c r="DX42" s="399"/>
      <c r="DY42" s="399"/>
      <c r="DZ42" s="399"/>
      <c r="EA42" s="399"/>
      <c r="EB42" s="399"/>
      <c r="EC42" s="399"/>
      <c r="ED42" s="399"/>
      <c r="EE42" s="399"/>
      <c r="EF42" s="399"/>
      <c r="EG42" s="399"/>
      <c r="EH42" s="399"/>
      <c r="EI42" s="399"/>
      <c r="EJ42" s="399"/>
      <c r="EK42" s="399"/>
      <c r="EL42" s="399"/>
      <c r="EM42" s="399"/>
      <c r="EN42" s="399"/>
      <c r="EO42" s="399"/>
      <c r="EP42" s="399"/>
      <c r="EQ42" s="399"/>
      <c r="ER42" s="399"/>
      <c r="ES42" s="399"/>
      <c r="ET42" s="399"/>
      <c r="EU42" s="399"/>
      <c r="EV42" s="399"/>
      <c r="EW42" s="399"/>
      <c r="EX42" s="399"/>
      <c r="EY42" s="399"/>
      <c r="EZ42" s="399"/>
      <c r="FA42" s="399"/>
      <c r="FB42" s="399"/>
    </row>
    <row r="43" spans="27:158" ht="15">
      <c r="AA43" s="399"/>
      <c r="AB43" s="399"/>
      <c r="AC43" s="399"/>
      <c r="AD43" s="399"/>
      <c r="AE43" s="399"/>
      <c r="AF43" s="399"/>
      <c r="AG43" s="399"/>
      <c r="AH43" s="399"/>
      <c r="AI43" s="399"/>
      <c r="AJ43" s="399"/>
      <c r="AK43" s="399"/>
      <c r="AL43" s="399"/>
      <c r="AM43" s="399"/>
      <c r="AN43" s="399"/>
      <c r="AO43" s="399"/>
      <c r="AP43" s="399"/>
      <c r="AQ43" s="399"/>
      <c r="AR43" s="399"/>
      <c r="AS43" s="399"/>
      <c r="AT43" s="399"/>
      <c r="AU43" s="399"/>
      <c r="AV43" s="399"/>
      <c r="AW43" s="399"/>
      <c r="AX43" s="399"/>
      <c r="AY43" s="399"/>
      <c r="AZ43" s="399"/>
      <c r="BA43" s="399"/>
      <c r="BB43" s="399"/>
      <c r="BC43" s="399"/>
      <c r="BD43" s="399"/>
      <c r="BE43" s="399"/>
      <c r="BF43" s="399"/>
      <c r="BG43" s="399"/>
      <c r="BH43" s="399"/>
      <c r="BI43" s="399"/>
      <c r="BJ43" s="399"/>
      <c r="BK43" s="399"/>
      <c r="BL43" s="399"/>
      <c r="BM43" s="399"/>
      <c r="BN43" s="399"/>
      <c r="BO43" s="399"/>
      <c r="BP43" s="399"/>
      <c r="BQ43" s="399"/>
      <c r="BR43" s="399"/>
      <c r="BS43" s="399"/>
      <c r="BT43" s="399"/>
      <c r="BU43" s="399"/>
      <c r="BV43" s="399"/>
      <c r="BW43" s="399"/>
      <c r="BX43" s="399"/>
      <c r="BY43" s="399"/>
      <c r="BZ43" s="399"/>
      <c r="CA43" s="399"/>
      <c r="CB43" s="399"/>
      <c r="CC43" s="399"/>
      <c r="CD43" s="399"/>
      <c r="CE43" s="399"/>
      <c r="CF43" s="399"/>
      <c r="CG43" s="399"/>
      <c r="CH43" s="399"/>
      <c r="CI43" s="399"/>
      <c r="CJ43" s="399"/>
      <c r="CK43" s="399"/>
      <c r="CL43" s="399"/>
      <c r="CM43" s="399"/>
      <c r="CN43" s="399"/>
      <c r="CO43" s="399"/>
      <c r="CP43" s="399"/>
      <c r="CQ43" s="399"/>
      <c r="CR43" s="399"/>
      <c r="CS43" s="399"/>
      <c r="CT43" s="399"/>
      <c r="CU43" s="399"/>
      <c r="CV43" s="399"/>
      <c r="CW43" s="399"/>
      <c r="CX43" s="399"/>
      <c r="CY43" s="399"/>
      <c r="CZ43" s="399"/>
      <c r="DA43" s="399"/>
      <c r="DB43" s="399"/>
      <c r="DC43" s="399"/>
      <c r="DD43" s="399"/>
      <c r="DE43" s="399"/>
      <c r="DF43" s="399"/>
      <c r="DG43" s="399"/>
      <c r="DH43" s="399"/>
      <c r="DI43" s="399"/>
      <c r="DJ43" s="399"/>
      <c r="DK43" s="399"/>
      <c r="DL43" s="399"/>
      <c r="DM43" s="399"/>
      <c r="DN43" s="399"/>
      <c r="DO43" s="399"/>
      <c r="DP43" s="399"/>
      <c r="DQ43" s="399"/>
      <c r="DR43" s="399"/>
      <c r="DS43" s="399"/>
      <c r="DT43" s="399"/>
      <c r="DU43" s="399"/>
      <c r="DV43" s="399"/>
      <c r="DW43" s="399"/>
      <c r="DX43" s="399"/>
      <c r="DY43" s="399"/>
      <c r="DZ43" s="399"/>
      <c r="EA43" s="399"/>
      <c r="EB43" s="399"/>
      <c r="EC43" s="399"/>
      <c r="ED43" s="399"/>
      <c r="EE43" s="399"/>
      <c r="EF43" s="399"/>
      <c r="EG43" s="399"/>
      <c r="EH43" s="399"/>
      <c r="EI43" s="399"/>
      <c r="EJ43" s="399"/>
      <c r="EK43" s="399"/>
      <c r="EL43" s="399"/>
      <c r="EM43" s="399"/>
      <c r="EN43" s="399"/>
      <c r="EO43" s="399"/>
      <c r="EP43" s="399"/>
      <c r="EQ43" s="399"/>
      <c r="ER43" s="399"/>
      <c r="ES43" s="399"/>
      <c r="ET43" s="399"/>
      <c r="EU43" s="399"/>
      <c r="EV43" s="399"/>
      <c r="EW43" s="399"/>
      <c r="EX43" s="399"/>
      <c r="EY43" s="399"/>
      <c r="EZ43" s="399"/>
      <c r="FA43" s="399"/>
      <c r="FB43" s="399"/>
    </row>
    <row r="44" spans="2:158" ht="15">
      <c r="B44" s="1358" t="s">
        <v>1127</v>
      </c>
      <c r="J44" s="1376"/>
      <c r="K44" s="1376"/>
      <c r="L44" s="1376"/>
      <c r="M44" s="1376"/>
      <c r="N44" s="1376"/>
      <c r="O44" s="1376"/>
      <c r="P44" s="1376"/>
      <c r="Q44" s="1376"/>
      <c r="R44" s="1376"/>
      <c r="S44" s="1376"/>
      <c r="T44" s="1376"/>
      <c r="U44" s="1376"/>
      <c r="V44" s="1376"/>
      <c r="W44" s="1376"/>
      <c r="X44" s="1376"/>
      <c r="AA44" s="399"/>
      <c r="AB44" s="399"/>
      <c r="AC44" s="399"/>
      <c r="AD44" s="399"/>
      <c r="AE44" s="399"/>
      <c r="AF44" s="399"/>
      <c r="AG44" s="399"/>
      <c r="AH44" s="399"/>
      <c r="AI44" s="399"/>
      <c r="AJ44" s="399"/>
      <c r="AK44" s="399"/>
      <c r="AL44" s="399"/>
      <c r="AM44" s="399"/>
      <c r="AN44" s="399"/>
      <c r="AO44" s="399"/>
      <c r="AP44" s="399"/>
      <c r="AQ44" s="399"/>
      <c r="AR44" s="399"/>
      <c r="AS44" s="399"/>
      <c r="AT44" s="399"/>
      <c r="AU44" s="399"/>
      <c r="AV44" s="399"/>
      <c r="AW44" s="399"/>
      <c r="AX44" s="399"/>
      <c r="AY44" s="399"/>
      <c r="AZ44" s="399"/>
      <c r="BA44" s="399"/>
      <c r="BB44" s="399"/>
      <c r="BC44" s="399"/>
      <c r="BD44" s="399"/>
      <c r="BE44" s="399"/>
      <c r="BF44" s="399"/>
      <c r="BG44" s="399"/>
      <c r="BH44" s="399"/>
      <c r="BI44" s="399"/>
      <c r="BJ44" s="399"/>
      <c r="BK44" s="399"/>
      <c r="BL44" s="399"/>
      <c r="BM44" s="399"/>
      <c r="BN44" s="399"/>
      <c r="BO44" s="399"/>
      <c r="BP44" s="399"/>
      <c r="BQ44" s="399"/>
      <c r="BR44" s="399"/>
      <c r="BS44" s="399"/>
      <c r="BT44" s="399"/>
      <c r="BU44" s="399"/>
      <c r="BV44" s="399"/>
      <c r="BW44" s="399"/>
      <c r="BX44" s="399"/>
      <c r="BY44" s="399"/>
      <c r="BZ44" s="399"/>
      <c r="CA44" s="399"/>
      <c r="CB44" s="399"/>
      <c r="CC44" s="399"/>
      <c r="CD44" s="399"/>
      <c r="CE44" s="399"/>
      <c r="CF44" s="399"/>
      <c r="CG44" s="399"/>
      <c r="CH44" s="399"/>
      <c r="CI44" s="399"/>
      <c r="CJ44" s="399"/>
      <c r="CK44" s="399"/>
      <c r="CL44" s="399"/>
      <c r="CM44" s="399"/>
      <c r="CN44" s="399"/>
      <c r="CO44" s="399"/>
      <c r="CP44" s="399"/>
      <c r="CQ44" s="399"/>
      <c r="CR44" s="399"/>
      <c r="CS44" s="399"/>
      <c r="CT44" s="399"/>
      <c r="CU44" s="399"/>
      <c r="CV44" s="399"/>
      <c r="CW44" s="399"/>
      <c r="CX44" s="399"/>
      <c r="CY44" s="399"/>
      <c r="CZ44" s="399"/>
      <c r="DA44" s="399"/>
      <c r="DB44" s="399"/>
      <c r="DC44" s="399"/>
      <c r="DD44" s="399"/>
      <c r="DE44" s="399"/>
      <c r="DF44" s="399"/>
      <c r="DG44" s="399"/>
      <c r="DH44" s="399"/>
      <c r="DI44" s="399"/>
      <c r="DJ44" s="399"/>
      <c r="DK44" s="399"/>
      <c r="DL44" s="399"/>
      <c r="DM44" s="399"/>
      <c r="DN44" s="399"/>
      <c r="DO44" s="399"/>
      <c r="DP44" s="399"/>
      <c r="DQ44" s="399"/>
      <c r="DR44" s="399"/>
      <c r="DS44" s="399"/>
      <c r="DT44" s="399"/>
      <c r="DU44" s="399"/>
      <c r="DV44" s="399"/>
      <c r="DW44" s="399"/>
      <c r="DX44" s="399"/>
      <c r="DY44" s="399"/>
      <c r="DZ44" s="399"/>
      <c r="EA44" s="399"/>
      <c r="EB44" s="399"/>
      <c r="EC44" s="399"/>
      <c r="ED44" s="399"/>
      <c r="EE44" s="399"/>
      <c r="EF44" s="399"/>
      <c r="EG44" s="399"/>
      <c r="EH44" s="399"/>
      <c r="EI44" s="399"/>
      <c r="EJ44" s="399"/>
      <c r="EK44" s="399"/>
      <c r="EL44" s="399"/>
      <c r="EM44" s="399"/>
      <c r="EN44" s="399"/>
      <c r="EO44" s="399"/>
      <c r="EP44" s="399"/>
      <c r="EQ44" s="399"/>
      <c r="ER44" s="399"/>
      <c r="ES44" s="399"/>
      <c r="ET44" s="399"/>
      <c r="EU44" s="399"/>
      <c r="EV44" s="399"/>
      <c r="EW44" s="399"/>
      <c r="EX44" s="399"/>
      <c r="EY44" s="399"/>
      <c r="EZ44" s="399"/>
      <c r="FA44" s="399"/>
      <c r="FB44" s="399"/>
    </row>
    <row r="45" spans="8:158" s="1379" customFormat="1" ht="15.75" thickBot="1">
      <c r="H45" s="1357"/>
      <c r="I45" s="1357"/>
      <c r="J45" s="1356"/>
      <c r="K45" s="1356"/>
      <c r="L45" s="1356"/>
      <c r="M45" s="1356"/>
      <c r="N45" s="1356"/>
      <c r="O45" s="1356"/>
      <c r="P45" s="1356"/>
      <c r="Q45" s="1356"/>
      <c r="R45" s="1356"/>
      <c r="S45" s="1356"/>
      <c r="T45" s="1356"/>
      <c r="U45" s="1356"/>
      <c r="V45" s="1356"/>
      <c r="W45" s="1356"/>
      <c r="X45" s="1356"/>
      <c r="Y45" s="399"/>
      <c r="Z45" s="399"/>
      <c r="AA45" s="399"/>
      <c r="AB45" s="399"/>
      <c r="AC45" s="399"/>
      <c r="AD45" s="399"/>
      <c r="AE45" s="399"/>
      <c r="AF45" s="399"/>
      <c r="AG45" s="399"/>
      <c r="AH45" s="399"/>
      <c r="AI45" s="399"/>
      <c r="AJ45" s="399"/>
      <c r="AK45" s="399"/>
      <c r="AL45" s="399"/>
      <c r="AM45" s="399"/>
      <c r="AN45" s="399"/>
      <c r="AO45" s="399"/>
      <c r="AP45" s="399"/>
      <c r="AQ45" s="399"/>
      <c r="AR45" s="399"/>
      <c r="AS45" s="399"/>
      <c r="AT45" s="399"/>
      <c r="AU45" s="399"/>
      <c r="AV45" s="399"/>
      <c r="AW45" s="399"/>
      <c r="AX45" s="399"/>
      <c r="AY45" s="399"/>
      <c r="AZ45" s="399"/>
      <c r="BA45" s="399"/>
      <c r="BB45" s="399"/>
      <c r="BC45" s="399"/>
      <c r="BD45" s="399"/>
      <c r="BE45" s="399"/>
      <c r="BF45" s="399"/>
      <c r="BG45" s="399"/>
      <c r="BH45" s="399"/>
      <c r="BI45" s="399"/>
      <c r="BJ45" s="399"/>
      <c r="BK45" s="399"/>
      <c r="BL45" s="399"/>
      <c r="BM45" s="399"/>
      <c r="BN45" s="399"/>
      <c r="BO45" s="399"/>
      <c r="BP45" s="399"/>
      <c r="BQ45" s="399"/>
      <c r="BR45" s="399"/>
      <c r="BS45" s="399"/>
      <c r="BT45" s="399"/>
      <c r="BU45" s="399"/>
      <c r="BV45" s="399"/>
      <c r="BW45" s="399"/>
      <c r="BX45" s="399"/>
      <c r="BY45" s="399"/>
      <c r="BZ45" s="399"/>
      <c r="CA45" s="399"/>
      <c r="CB45" s="399"/>
      <c r="CC45" s="399"/>
      <c r="CD45" s="399"/>
      <c r="CE45" s="399"/>
      <c r="CF45" s="399"/>
      <c r="CG45" s="399"/>
      <c r="CH45" s="399"/>
      <c r="CI45" s="399"/>
      <c r="CJ45" s="399"/>
      <c r="CK45" s="399"/>
      <c r="CL45" s="399"/>
      <c r="CM45" s="399"/>
      <c r="CN45" s="399"/>
      <c r="CO45" s="399"/>
      <c r="CP45" s="399"/>
      <c r="CQ45" s="399"/>
      <c r="CR45" s="399"/>
      <c r="CS45" s="399"/>
      <c r="CT45" s="399"/>
      <c r="CU45" s="399"/>
      <c r="CV45" s="399"/>
      <c r="CW45" s="399"/>
      <c r="CX45" s="399"/>
      <c r="CY45" s="399"/>
      <c r="CZ45" s="399"/>
      <c r="DA45" s="399"/>
      <c r="DB45" s="399"/>
      <c r="DC45" s="399"/>
      <c r="DD45" s="399"/>
      <c r="DE45" s="399"/>
      <c r="DF45" s="399"/>
      <c r="DG45" s="399"/>
      <c r="DH45" s="399"/>
      <c r="DI45" s="399"/>
      <c r="DJ45" s="399"/>
      <c r="DK45" s="399"/>
      <c r="DL45" s="399"/>
      <c r="DM45" s="399"/>
      <c r="DN45" s="399"/>
      <c r="DO45" s="399"/>
      <c r="DP45" s="399"/>
      <c r="DQ45" s="399"/>
      <c r="DR45" s="399"/>
      <c r="DS45" s="399"/>
      <c r="DT45" s="399"/>
      <c r="DU45" s="399"/>
      <c r="DV45" s="399"/>
      <c r="DW45" s="399"/>
      <c r="DX45" s="399"/>
      <c r="DY45" s="399"/>
      <c r="DZ45" s="399"/>
      <c r="EA45" s="399"/>
      <c r="EB45" s="399"/>
      <c r="EC45" s="399"/>
      <c r="ED45" s="399"/>
      <c r="EE45" s="399"/>
      <c r="EF45" s="399"/>
      <c r="EG45" s="399"/>
      <c r="EH45" s="399"/>
      <c r="EI45" s="399"/>
      <c r="EJ45" s="399"/>
      <c r="EK45" s="399"/>
      <c r="EL45" s="399"/>
      <c r="EM45" s="399"/>
      <c r="EN45" s="399"/>
      <c r="EO45" s="399"/>
      <c r="EP45" s="399"/>
      <c r="EQ45" s="399"/>
      <c r="ER45" s="399"/>
      <c r="ES45" s="399"/>
      <c r="ET45" s="399"/>
      <c r="EU45" s="399"/>
      <c r="EV45" s="399"/>
      <c r="EW45" s="399"/>
      <c r="EX45" s="399"/>
      <c r="EY45" s="399"/>
      <c r="EZ45" s="399"/>
      <c r="FA45" s="399"/>
      <c r="FB45" s="399"/>
    </row>
    <row r="46" spans="1:158" s="418" customFormat="1" ht="15.75" thickTop="1">
      <c r="A46" s="418" t="s">
        <v>1128</v>
      </c>
      <c r="H46" s="419"/>
      <c r="I46" s="419"/>
      <c r="J46" s="420">
        <f aca="true" t="shared" si="8" ref="J46:X46">+J38-SUM(J41:J44)</f>
        <v>0</v>
      </c>
      <c r="K46" s="420">
        <f t="shared" si="8"/>
        <v>0</v>
      </c>
      <c r="L46" s="420">
        <f t="shared" si="8"/>
        <v>0</v>
      </c>
      <c r="M46" s="420">
        <f t="shared" si="8"/>
        <v>0</v>
      </c>
      <c r="N46" s="420">
        <f t="shared" si="8"/>
        <v>0</v>
      </c>
      <c r="O46" s="420">
        <f t="shared" si="8"/>
        <v>0</v>
      </c>
      <c r="P46" s="420">
        <f t="shared" si="8"/>
        <v>0</v>
      </c>
      <c r="Q46" s="420">
        <f t="shared" si="8"/>
        <v>0</v>
      </c>
      <c r="R46" s="420">
        <f t="shared" si="8"/>
        <v>0</v>
      </c>
      <c r="S46" s="420">
        <f t="shared" si="8"/>
        <v>0</v>
      </c>
      <c r="T46" s="420">
        <f t="shared" si="8"/>
        <v>0</v>
      </c>
      <c r="U46" s="420">
        <f t="shared" si="8"/>
        <v>0</v>
      </c>
      <c r="V46" s="420">
        <f t="shared" si="8"/>
        <v>0</v>
      </c>
      <c r="W46" s="420">
        <f t="shared" si="8"/>
        <v>0</v>
      </c>
      <c r="X46" s="420">
        <f t="shared" si="8"/>
        <v>0</v>
      </c>
      <c r="Y46" s="399"/>
      <c r="Z46" s="399"/>
      <c r="AA46" s="399"/>
      <c r="AB46" s="399"/>
      <c r="AC46" s="399"/>
      <c r="AD46" s="399"/>
      <c r="AE46" s="399"/>
      <c r="AF46" s="399"/>
      <c r="AG46" s="399"/>
      <c r="AH46" s="399"/>
      <c r="AI46" s="399"/>
      <c r="AJ46" s="399"/>
      <c r="AK46" s="399"/>
      <c r="AL46" s="399"/>
      <c r="AM46" s="399"/>
      <c r="AN46" s="399"/>
      <c r="AO46" s="399"/>
      <c r="AP46" s="399"/>
      <c r="AQ46" s="399"/>
      <c r="AR46" s="399"/>
      <c r="AS46" s="399"/>
      <c r="AT46" s="399"/>
      <c r="AU46" s="399"/>
      <c r="AV46" s="399"/>
      <c r="AW46" s="399"/>
      <c r="AX46" s="399"/>
      <c r="AY46" s="399"/>
      <c r="AZ46" s="399"/>
      <c r="BA46" s="399"/>
      <c r="BB46" s="399"/>
      <c r="BC46" s="399"/>
      <c r="BD46" s="399"/>
      <c r="BE46" s="399"/>
      <c r="BF46" s="399"/>
      <c r="BG46" s="399"/>
      <c r="BH46" s="399"/>
      <c r="BI46" s="399"/>
      <c r="BJ46" s="399"/>
      <c r="BK46" s="399"/>
      <c r="BL46" s="399"/>
      <c r="BM46" s="399"/>
      <c r="BN46" s="399"/>
      <c r="BO46" s="399"/>
      <c r="BP46" s="399"/>
      <c r="BQ46" s="399"/>
      <c r="BR46" s="399"/>
      <c r="BS46" s="399"/>
      <c r="BT46" s="399"/>
      <c r="BU46" s="399"/>
      <c r="BV46" s="399"/>
      <c r="BW46" s="399"/>
      <c r="BX46" s="399"/>
      <c r="BY46" s="399"/>
      <c r="BZ46" s="399"/>
      <c r="CA46" s="399"/>
      <c r="CB46" s="399"/>
      <c r="CC46" s="399"/>
      <c r="CD46" s="399"/>
      <c r="CE46" s="399"/>
      <c r="CF46" s="399"/>
      <c r="CG46" s="399"/>
      <c r="CH46" s="399"/>
      <c r="CI46" s="399"/>
      <c r="CJ46" s="399"/>
      <c r="CK46" s="399"/>
      <c r="CL46" s="399"/>
      <c r="CM46" s="399"/>
      <c r="CN46" s="399"/>
      <c r="CO46" s="399"/>
      <c r="CP46" s="399"/>
      <c r="CQ46" s="399"/>
      <c r="CR46" s="399"/>
      <c r="CS46" s="399"/>
      <c r="CT46" s="399"/>
      <c r="CU46" s="399"/>
      <c r="CV46" s="399"/>
      <c r="CW46" s="399"/>
      <c r="CX46" s="399"/>
      <c r="CY46" s="399"/>
      <c r="CZ46" s="399"/>
      <c r="DA46" s="399"/>
      <c r="DB46" s="399"/>
      <c r="DC46" s="399"/>
      <c r="DD46" s="399"/>
      <c r="DE46" s="399"/>
      <c r="DF46" s="399"/>
      <c r="DG46" s="399"/>
      <c r="DH46" s="399"/>
      <c r="DI46" s="399"/>
      <c r="DJ46" s="399"/>
      <c r="DK46" s="399"/>
      <c r="DL46" s="399"/>
      <c r="DM46" s="399"/>
      <c r="DN46" s="399"/>
      <c r="DO46" s="399"/>
      <c r="DP46" s="399"/>
      <c r="DQ46" s="399"/>
      <c r="DR46" s="399"/>
      <c r="DS46" s="399"/>
      <c r="DT46" s="399"/>
      <c r="DU46" s="399"/>
      <c r="DV46" s="399"/>
      <c r="DW46" s="399"/>
      <c r="DX46" s="399"/>
      <c r="DY46" s="399"/>
      <c r="DZ46" s="399"/>
      <c r="EA46" s="399"/>
      <c r="EB46" s="399"/>
      <c r="EC46" s="399"/>
      <c r="ED46" s="399"/>
      <c r="EE46" s="399"/>
      <c r="EF46" s="399"/>
      <c r="EG46" s="399"/>
      <c r="EH46" s="399"/>
      <c r="EI46" s="399"/>
      <c r="EJ46" s="399"/>
      <c r="EK46" s="399"/>
      <c r="EL46" s="399"/>
      <c r="EM46" s="399"/>
      <c r="EN46" s="399"/>
      <c r="EO46" s="399"/>
      <c r="EP46" s="399"/>
      <c r="EQ46" s="399"/>
      <c r="ER46" s="399"/>
      <c r="ES46" s="399"/>
      <c r="ET46" s="399"/>
      <c r="EU46" s="399"/>
      <c r="EV46" s="399"/>
      <c r="EW46" s="399"/>
      <c r="EX46" s="399"/>
      <c r="EY46" s="399"/>
      <c r="EZ46" s="399"/>
      <c r="FA46" s="399"/>
      <c r="FB46" s="399"/>
    </row>
    <row r="47" spans="27:158" ht="15">
      <c r="AA47" s="399"/>
      <c r="AB47" s="399"/>
      <c r="AC47" s="399"/>
      <c r="AD47" s="399"/>
      <c r="AE47" s="399"/>
      <c r="AF47" s="399"/>
      <c r="AG47" s="399"/>
      <c r="AH47" s="399"/>
      <c r="AI47" s="399"/>
      <c r="AJ47" s="399"/>
      <c r="AK47" s="399"/>
      <c r="AL47" s="399"/>
      <c r="AM47" s="399"/>
      <c r="AN47" s="399"/>
      <c r="AO47" s="399"/>
      <c r="AP47" s="399"/>
      <c r="AQ47" s="399"/>
      <c r="AR47" s="399"/>
      <c r="AS47" s="399"/>
      <c r="AT47" s="399"/>
      <c r="AU47" s="399"/>
      <c r="AV47" s="399"/>
      <c r="AW47" s="399"/>
      <c r="AX47" s="399"/>
      <c r="AY47" s="399"/>
      <c r="AZ47" s="399"/>
      <c r="BA47" s="399"/>
      <c r="BB47" s="399"/>
      <c r="BC47" s="399"/>
      <c r="BD47" s="399"/>
      <c r="BE47" s="399"/>
      <c r="BF47" s="399"/>
      <c r="BG47" s="399"/>
      <c r="BH47" s="399"/>
      <c r="BI47" s="399"/>
      <c r="BJ47" s="399"/>
      <c r="BK47" s="399"/>
      <c r="BL47" s="399"/>
      <c r="BM47" s="399"/>
      <c r="BN47" s="399"/>
      <c r="BO47" s="399"/>
      <c r="BP47" s="399"/>
      <c r="BQ47" s="399"/>
      <c r="BR47" s="399"/>
      <c r="BS47" s="399"/>
      <c r="BT47" s="399"/>
      <c r="BU47" s="399"/>
      <c r="BV47" s="399"/>
      <c r="BW47" s="399"/>
      <c r="BX47" s="399"/>
      <c r="BY47" s="399"/>
      <c r="BZ47" s="399"/>
      <c r="CA47" s="399"/>
      <c r="CB47" s="399"/>
      <c r="CC47" s="399"/>
      <c r="CD47" s="399"/>
      <c r="CE47" s="399"/>
      <c r="CF47" s="399"/>
      <c r="CG47" s="399"/>
      <c r="CH47" s="399"/>
      <c r="CI47" s="399"/>
      <c r="CJ47" s="399"/>
      <c r="CK47" s="399"/>
      <c r="CL47" s="399"/>
      <c r="CM47" s="399"/>
      <c r="CN47" s="399"/>
      <c r="CO47" s="399"/>
      <c r="CP47" s="399"/>
      <c r="CQ47" s="399"/>
      <c r="CR47" s="399"/>
      <c r="CS47" s="399"/>
      <c r="CT47" s="399"/>
      <c r="CU47" s="399"/>
      <c r="CV47" s="399"/>
      <c r="CW47" s="399"/>
      <c r="CX47" s="399"/>
      <c r="CY47" s="399"/>
      <c r="CZ47" s="399"/>
      <c r="DA47" s="399"/>
      <c r="DB47" s="399"/>
      <c r="DC47" s="399"/>
      <c r="DD47" s="399"/>
      <c r="DE47" s="399"/>
      <c r="DF47" s="399"/>
      <c r="DG47" s="399"/>
      <c r="DH47" s="399"/>
      <c r="DI47" s="399"/>
      <c r="DJ47" s="399"/>
      <c r="DK47" s="399"/>
      <c r="DL47" s="399"/>
      <c r="DM47" s="399"/>
      <c r="DN47" s="399"/>
      <c r="DO47" s="399"/>
      <c r="DP47" s="399"/>
      <c r="DQ47" s="399"/>
      <c r="DR47" s="399"/>
      <c r="DS47" s="399"/>
      <c r="DT47" s="399"/>
      <c r="DU47" s="399"/>
      <c r="DV47" s="399"/>
      <c r="DW47" s="399"/>
      <c r="DX47" s="399"/>
      <c r="DY47" s="399"/>
      <c r="DZ47" s="399"/>
      <c r="EA47" s="399"/>
      <c r="EB47" s="399"/>
      <c r="EC47" s="399"/>
      <c r="ED47" s="399"/>
      <c r="EE47" s="399"/>
      <c r="EF47" s="399"/>
      <c r="EG47" s="399"/>
      <c r="EH47" s="399"/>
      <c r="EI47" s="399"/>
      <c r="EJ47" s="399"/>
      <c r="EK47" s="399"/>
      <c r="EL47" s="399"/>
      <c r="EM47" s="399"/>
      <c r="EN47" s="399"/>
      <c r="EO47" s="399"/>
      <c r="EP47" s="399"/>
      <c r="EQ47" s="399"/>
      <c r="ER47" s="399"/>
      <c r="ES47" s="399"/>
      <c r="ET47" s="399"/>
      <c r="EU47" s="399"/>
      <c r="EV47" s="399"/>
      <c r="EW47" s="399"/>
      <c r="EX47" s="399"/>
      <c r="EY47" s="399"/>
      <c r="EZ47" s="399"/>
      <c r="FA47" s="399"/>
      <c r="FB47" s="399"/>
    </row>
    <row r="48" spans="8:158" s="1384" customFormat="1" ht="15">
      <c r="H48" s="1385"/>
      <c r="I48" s="1385"/>
      <c r="J48" s="1386"/>
      <c r="K48" s="1386"/>
      <c r="L48" s="1386"/>
      <c r="M48" s="1386"/>
      <c r="N48" s="1386"/>
      <c r="O48" s="1386"/>
      <c r="P48" s="1386"/>
      <c r="Q48" s="1386"/>
      <c r="R48" s="1386"/>
      <c r="S48" s="1386"/>
      <c r="T48" s="1386"/>
      <c r="U48" s="1386"/>
      <c r="V48" s="1386"/>
      <c r="W48" s="1386"/>
      <c r="X48" s="1386"/>
      <c r="Y48" s="478"/>
      <c r="Z48" s="478"/>
      <c r="AA48" s="478"/>
      <c r="AB48" s="478"/>
      <c r="AC48" s="478"/>
      <c r="AD48" s="478"/>
      <c r="AE48" s="478"/>
      <c r="AF48" s="478"/>
      <c r="AG48" s="478"/>
      <c r="AH48" s="478"/>
      <c r="AI48" s="478"/>
      <c r="AJ48" s="478"/>
      <c r="AK48" s="478"/>
      <c r="AL48" s="478"/>
      <c r="AM48" s="478"/>
      <c r="AN48" s="478"/>
      <c r="AO48" s="478"/>
      <c r="AP48" s="478"/>
      <c r="AQ48" s="478"/>
      <c r="AR48" s="478"/>
      <c r="AS48" s="478"/>
      <c r="AT48" s="478"/>
      <c r="AU48" s="478"/>
      <c r="AV48" s="478"/>
      <c r="AW48" s="478"/>
      <c r="AX48" s="478"/>
      <c r="AY48" s="478"/>
      <c r="AZ48" s="478"/>
      <c r="BA48" s="478"/>
      <c r="BB48" s="478"/>
      <c r="BC48" s="478"/>
      <c r="BD48" s="478"/>
      <c r="BE48" s="478"/>
      <c r="BF48" s="478"/>
      <c r="BG48" s="478"/>
      <c r="BH48" s="478"/>
      <c r="BI48" s="478"/>
      <c r="BJ48" s="478"/>
      <c r="BK48" s="478"/>
      <c r="BL48" s="478"/>
      <c r="BM48" s="478"/>
      <c r="BN48" s="478"/>
      <c r="BO48" s="478"/>
      <c r="BP48" s="478"/>
      <c r="BQ48" s="478"/>
      <c r="BR48" s="478"/>
      <c r="BS48" s="478"/>
      <c r="BT48" s="478"/>
      <c r="BU48" s="478"/>
      <c r="BV48" s="478"/>
      <c r="BW48" s="478"/>
      <c r="BX48" s="478"/>
      <c r="BY48" s="478"/>
      <c r="BZ48" s="478"/>
      <c r="CA48" s="478"/>
      <c r="CB48" s="478"/>
      <c r="CC48" s="478"/>
      <c r="CD48" s="478"/>
      <c r="CE48" s="478"/>
      <c r="CF48" s="478"/>
      <c r="CG48" s="478"/>
      <c r="CH48" s="478"/>
      <c r="CI48" s="478"/>
      <c r="CJ48" s="478"/>
      <c r="CK48" s="478"/>
      <c r="CL48" s="478"/>
      <c r="CM48" s="478"/>
      <c r="CN48" s="478"/>
      <c r="CO48" s="478"/>
      <c r="CP48" s="478"/>
      <c r="CQ48" s="478"/>
      <c r="CR48" s="478"/>
      <c r="CS48" s="478"/>
      <c r="CT48" s="478"/>
      <c r="CU48" s="478"/>
      <c r="CV48" s="478"/>
      <c r="CW48" s="478"/>
      <c r="CX48" s="478"/>
      <c r="CY48" s="478"/>
      <c r="CZ48" s="478"/>
      <c r="DA48" s="478"/>
      <c r="DB48" s="478"/>
      <c r="DC48" s="478"/>
      <c r="DD48" s="478"/>
      <c r="DE48" s="478"/>
      <c r="DF48" s="478"/>
      <c r="DG48" s="478"/>
      <c r="DH48" s="478"/>
      <c r="DI48" s="478"/>
      <c r="DJ48" s="478"/>
      <c r="DK48" s="478"/>
      <c r="DL48" s="478"/>
      <c r="DM48" s="478"/>
      <c r="DN48" s="478"/>
      <c r="DO48" s="478"/>
      <c r="DP48" s="478"/>
      <c r="DQ48" s="478"/>
      <c r="DR48" s="478"/>
      <c r="DS48" s="478"/>
      <c r="DT48" s="478"/>
      <c r="DU48" s="478"/>
      <c r="DV48" s="478"/>
      <c r="DW48" s="478"/>
      <c r="DX48" s="478"/>
      <c r="DY48" s="478"/>
      <c r="DZ48" s="478"/>
      <c r="EA48" s="478"/>
      <c r="EB48" s="478"/>
      <c r="EC48" s="478"/>
      <c r="ED48" s="478"/>
      <c r="EE48" s="478"/>
      <c r="EF48" s="478"/>
      <c r="EG48" s="478"/>
      <c r="EH48" s="478"/>
      <c r="EI48" s="478"/>
      <c r="EJ48" s="478"/>
      <c r="EK48" s="478"/>
      <c r="EL48" s="478"/>
      <c r="EM48" s="478"/>
      <c r="EN48" s="478"/>
      <c r="EO48" s="478"/>
      <c r="EP48" s="478"/>
      <c r="EQ48" s="478"/>
      <c r="ER48" s="478"/>
      <c r="ES48" s="478"/>
      <c r="ET48" s="478"/>
      <c r="EU48" s="478"/>
      <c r="EV48" s="478"/>
      <c r="EW48" s="478"/>
      <c r="EX48" s="478"/>
      <c r="EY48" s="478"/>
      <c r="EZ48" s="478"/>
      <c r="FA48" s="478"/>
      <c r="FB48" s="478"/>
    </row>
    <row r="49" spans="27:158" ht="15">
      <c r="AA49" s="399"/>
      <c r="AB49" s="399"/>
      <c r="AC49" s="399"/>
      <c r="AD49" s="399"/>
      <c r="AE49" s="399"/>
      <c r="AF49" s="399"/>
      <c r="AG49" s="399"/>
      <c r="AH49" s="399"/>
      <c r="AI49" s="399"/>
      <c r="AJ49" s="399"/>
      <c r="AK49" s="399"/>
      <c r="AL49" s="399"/>
      <c r="AM49" s="399"/>
      <c r="AN49" s="399"/>
      <c r="AO49" s="399"/>
      <c r="AP49" s="399"/>
      <c r="AQ49" s="399"/>
      <c r="AR49" s="399"/>
      <c r="AS49" s="399"/>
      <c r="AT49" s="399"/>
      <c r="AU49" s="399"/>
      <c r="AV49" s="399"/>
      <c r="AW49" s="399"/>
      <c r="AX49" s="399"/>
      <c r="AY49" s="399"/>
      <c r="AZ49" s="399"/>
      <c r="BA49" s="399"/>
      <c r="BB49" s="399"/>
      <c r="BC49" s="399"/>
      <c r="BD49" s="399"/>
      <c r="BE49" s="399"/>
      <c r="BF49" s="399"/>
      <c r="BG49" s="399"/>
      <c r="BH49" s="399"/>
      <c r="BI49" s="399"/>
      <c r="BJ49" s="399"/>
      <c r="BK49" s="399"/>
      <c r="BL49" s="399"/>
      <c r="BM49" s="399"/>
      <c r="BN49" s="399"/>
      <c r="BO49" s="399"/>
      <c r="BP49" s="399"/>
      <c r="BQ49" s="399"/>
      <c r="BR49" s="399"/>
      <c r="BS49" s="399"/>
      <c r="BT49" s="399"/>
      <c r="BU49" s="399"/>
      <c r="BV49" s="399"/>
      <c r="BW49" s="399"/>
      <c r="BX49" s="399"/>
      <c r="BY49" s="399"/>
      <c r="BZ49" s="399"/>
      <c r="CA49" s="399"/>
      <c r="CB49" s="399"/>
      <c r="CC49" s="399"/>
      <c r="CD49" s="399"/>
      <c r="CE49" s="399"/>
      <c r="CF49" s="399"/>
      <c r="CG49" s="399"/>
      <c r="CH49" s="399"/>
      <c r="CI49" s="399"/>
      <c r="CJ49" s="399"/>
      <c r="CK49" s="399"/>
      <c r="CL49" s="399"/>
      <c r="CM49" s="399"/>
      <c r="CN49" s="399"/>
      <c r="CO49" s="399"/>
      <c r="CP49" s="399"/>
      <c r="CQ49" s="399"/>
      <c r="CR49" s="399"/>
      <c r="CS49" s="399"/>
      <c r="CT49" s="399"/>
      <c r="CU49" s="399"/>
      <c r="CV49" s="399"/>
      <c r="CW49" s="399"/>
      <c r="CX49" s="399"/>
      <c r="CY49" s="399"/>
      <c r="CZ49" s="399"/>
      <c r="DA49" s="399"/>
      <c r="DB49" s="399"/>
      <c r="DC49" s="399"/>
      <c r="DD49" s="399"/>
      <c r="DE49" s="399"/>
      <c r="DF49" s="399"/>
      <c r="DG49" s="399"/>
      <c r="DH49" s="399"/>
      <c r="DI49" s="399"/>
      <c r="DJ49" s="399"/>
      <c r="DK49" s="399"/>
      <c r="DL49" s="399"/>
      <c r="DM49" s="399"/>
      <c r="DN49" s="399"/>
      <c r="DO49" s="399"/>
      <c r="DP49" s="399"/>
      <c r="DQ49" s="399"/>
      <c r="DR49" s="399"/>
      <c r="DS49" s="399"/>
      <c r="DT49" s="399"/>
      <c r="DU49" s="399"/>
      <c r="DV49" s="399"/>
      <c r="DW49" s="399"/>
      <c r="DX49" s="399"/>
      <c r="DY49" s="399"/>
      <c r="DZ49" s="399"/>
      <c r="EA49" s="399"/>
      <c r="EB49" s="399"/>
      <c r="EC49" s="399"/>
      <c r="ED49" s="399"/>
      <c r="EE49" s="399"/>
      <c r="EF49" s="399"/>
      <c r="EG49" s="399"/>
      <c r="EH49" s="399"/>
      <c r="EI49" s="399"/>
      <c r="EJ49" s="399"/>
      <c r="EK49" s="399"/>
      <c r="EL49" s="399"/>
      <c r="EM49" s="399"/>
      <c r="EN49" s="399"/>
      <c r="EO49" s="399"/>
      <c r="EP49" s="399"/>
      <c r="EQ49" s="399"/>
      <c r="ER49" s="399"/>
      <c r="ES49" s="399"/>
      <c r="ET49" s="399"/>
      <c r="EU49" s="399"/>
      <c r="EV49" s="399"/>
      <c r="EW49" s="399"/>
      <c r="EX49" s="399"/>
      <c r="EY49" s="399"/>
      <c r="EZ49" s="399"/>
      <c r="FA49" s="399"/>
      <c r="FB49" s="399"/>
    </row>
    <row r="50" spans="1:158" ht="15">
      <c r="A50" s="418" t="s">
        <v>1129</v>
      </c>
      <c r="AA50" s="399"/>
      <c r="AB50" s="399"/>
      <c r="AC50" s="399"/>
      <c r="AD50" s="399"/>
      <c r="AE50" s="399"/>
      <c r="AF50" s="399"/>
      <c r="AG50" s="399"/>
      <c r="AH50" s="399"/>
      <c r="AI50" s="399"/>
      <c r="AJ50" s="399"/>
      <c r="AK50" s="399"/>
      <c r="AL50" s="399"/>
      <c r="AM50" s="399"/>
      <c r="AN50" s="399"/>
      <c r="AO50" s="399"/>
      <c r="AP50" s="399"/>
      <c r="AQ50" s="399"/>
      <c r="AR50" s="399"/>
      <c r="AS50" s="399"/>
      <c r="AT50" s="399"/>
      <c r="AU50" s="399"/>
      <c r="AV50" s="399"/>
      <c r="AW50" s="399"/>
      <c r="AX50" s="399"/>
      <c r="AY50" s="399"/>
      <c r="AZ50" s="399"/>
      <c r="BA50" s="399"/>
      <c r="BB50" s="399"/>
      <c r="BC50" s="399"/>
      <c r="BD50" s="399"/>
      <c r="BE50" s="399"/>
      <c r="BF50" s="399"/>
      <c r="BG50" s="399"/>
      <c r="BH50" s="399"/>
      <c r="BI50" s="399"/>
      <c r="BJ50" s="399"/>
      <c r="BK50" s="399"/>
      <c r="BL50" s="399"/>
      <c r="BM50" s="399"/>
      <c r="BN50" s="399"/>
      <c r="BO50" s="399"/>
      <c r="BP50" s="399"/>
      <c r="BQ50" s="399"/>
      <c r="BR50" s="399"/>
      <c r="BS50" s="399"/>
      <c r="BT50" s="399"/>
      <c r="BU50" s="399"/>
      <c r="BV50" s="399"/>
      <c r="BW50" s="399"/>
      <c r="BX50" s="399"/>
      <c r="BY50" s="399"/>
      <c r="BZ50" s="399"/>
      <c r="CA50" s="399"/>
      <c r="CB50" s="399"/>
      <c r="CC50" s="399"/>
      <c r="CD50" s="399"/>
      <c r="CE50" s="399"/>
      <c r="CF50" s="399"/>
      <c r="CG50" s="399"/>
      <c r="CH50" s="399"/>
      <c r="CI50" s="399"/>
      <c r="CJ50" s="399"/>
      <c r="CK50" s="399"/>
      <c r="CL50" s="399"/>
      <c r="CM50" s="399"/>
      <c r="CN50" s="399"/>
      <c r="CO50" s="399"/>
      <c r="CP50" s="399"/>
      <c r="CQ50" s="399"/>
      <c r="CR50" s="399"/>
      <c r="CS50" s="399"/>
      <c r="CT50" s="399"/>
      <c r="CU50" s="399"/>
      <c r="CV50" s="399"/>
      <c r="CW50" s="399"/>
      <c r="CX50" s="399"/>
      <c r="CY50" s="399"/>
      <c r="CZ50" s="399"/>
      <c r="DA50" s="399"/>
      <c r="DB50" s="399"/>
      <c r="DC50" s="399"/>
      <c r="DD50" s="399"/>
      <c r="DE50" s="399"/>
      <c r="DF50" s="399"/>
      <c r="DG50" s="399"/>
      <c r="DH50" s="399"/>
      <c r="DI50" s="399"/>
      <c r="DJ50" s="399"/>
      <c r="DK50" s="399"/>
      <c r="DL50" s="399"/>
      <c r="DM50" s="399"/>
      <c r="DN50" s="399"/>
      <c r="DO50" s="399"/>
      <c r="DP50" s="399"/>
      <c r="DQ50" s="399"/>
      <c r="DR50" s="399"/>
      <c r="DS50" s="399"/>
      <c r="DT50" s="399"/>
      <c r="DU50" s="399"/>
      <c r="DV50" s="399"/>
      <c r="DW50" s="399"/>
      <c r="DX50" s="399"/>
      <c r="DY50" s="399"/>
      <c r="DZ50" s="399"/>
      <c r="EA50" s="399"/>
      <c r="EB50" s="399"/>
      <c r="EC50" s="399"/>
      <c r="ED50" s="399"/>
      <c r="EE50" s="399"/>
      <c r="EF50" s="399"/>
      <c r="EG50" s="399"/>
      <c r="EH50" s="399"/>
      <c r="EI50" s="399"/>
      <c r="EJ50" s="399"/>
      <c r="EK50" s="399"/>
      <c r="EL50" s="399"/>
      <c r="EM50" s="399"/>
      <c r="EN50" s="399"/>
      <c r="EO50" s="399"/>
      <c r="EP50" s="399"/>
      <c r="EQ50" s="399"/>
      <c r="ER50" s="399"/>
      <c r="ES50" s="399"/>
      <c r="ET50" s="399"/>
      <c r="EU50" s="399"/>
      <c r="EV50" s="399"/>
      <c r="EW50" s="399"/>
      <c r="EX50" s="399"/>
      <c r="EY50" s="399"/>
      <c r="EZ50" s="399"/>
      <c r="FA50" s="399"/>
      <c r="FB50" s="399"/>
    </row>
    <row r="51" spans="2:158" ht="15">
      <c r="B51" s="1358" t="s">
        <v>1130</v>
      </c>
      <c r="J51" s="1340">
        <f aca="true" t="shared" si="9" ref="J51:X51">ROUND(IF(OR(J41=0,J41="",J38=0),0,+J38/(J41+J42)),2)</f>
        <v>0</v>
      </c>
      <c r="K51" s="1340">
        <f t="shared" si="9"/>
        <v>0</v>
      </c>
      <c r="L51" s="1340">
        <f t="shared" si="9"/>
        <v>0</v>
      </c>
      <c r="M51" s="1340">
        <f t="shared" si="9"/>
        <v>0</v>
      </c>
      <c r="N51" s="1340">
        <f t="shared" si="9"/>
        <v>0</v>
      </c>
      <c r="O51" s="1340">
        <f t="shared" si="9"/>
        <v>0</v>
      </c>
      <c r="P51" s="1340">
        <f t="shared" si="9"/>
        <v>0</v>
      </c>
      <c r="Q51" s="1340">
        <f t="shared" si="9"/>
        <v>0</v>
      </c>
      <c r="R51" s="1340">
        <f t="shared" si="9"/>
        <v>0</v>
      </c>
      <c r="S51" s="1340">
        <f t="shared" si="9"/>
        <v>0</v>
      </c>
      <c r="T51" s="1340">
        <f t="shared" si="9"/>
        <v>0</v>
      </c>
      <c r="U51" s="1340">
        <f t="shared" si="9"/>
        <v>0</v>
      </c>
      <c r="V51" s="1340">
        <f t="shared" si="9"/>
        <v>0</v>
      </c>
      <c r="W51" s="1340">
        <f t="shared" si="9"/>
        <v>0</v>
      </c>
      <c r="X51" s="1340">
        <f t="shared" si="9"/>
        <v>0</v>
      </c>
      <c r="AA51" s="399"/>
      <c r="AB51" s="399"/>
      <c r="AC51" s="399"/>
      <c r="AD51" s="399"/>
      <c r="AE51" s="399"/>
      <c r="AF51" s="399"/>
      <c r="AG51" s="399"/>
      <c r="AH51" s="399"/>
      <c r="AI51" s="399"/>
      <c r="AJ51" s="399"/>
      <c r="AK51" s="399"/>
      <c r="AL51" s="399"/>
      <c r="AM51" s="399"/>
      <c r="AN51" s="399"/>
      <c r="AO51" s="399"/>
      <c r="AP51" s="399"/>
      <c r="AQ51" s="399"/>
      <c r="AR51" s="399"/>
      <c r="AS51" s="399"/>
      <c r="AT51" s="399"/>
      <c r="AU51" s="399"/>
      <c r="AV51" s="399"/>
      <c r="AW51" s="399"/>
      <c r="AX51" s="399"/>
      <c r="AY51" s="399"/>
      <c r="AZ51" s="399"/>
      <c r="BA51" s="399"/>
      <c r="BB51" s="399"/>
      <c r="BC51" s="399"/>
      <c r="BD51" s="399"/>
      <c r="BE51" s="399"/>
      <c r="BF51" s="399"/>
      <c r="BG51" s="399"/>
      <c r="BH51" s="399"/>
      <c r="BI51" s="399"/>
      <c r="BJ51" s="399"/>
      <c r="BK51" s="399"/>
      <c r="BL51" s="399"/>
      <c r="BM51" s="399"/>
      <c r="BN51" s="399"/>
      <c r="BO51" s="399"/>
      <c r="BP51" s="399"/>
      <c r="BQ51" s="399"/>
      <c r="BR51" s="399"/>
      <c r="BS51" s="399"/>
      <c r="BT51" s="399"/>
      <c r="BU51" s="399"/>
      <c r="BV51" s="399"/>
      <c r="BW51" s="399"/>
      <c r="BX51" s="399"/>
      <c r="BY51" s="399"/>
      <c r="BZ51" s="399"/>
      <c r="CA51" s="399"/>
      <c r="CB51" s="399"/>
      <c r="CC51" s="399"/>
      <c r="CD51" s="399"/>
      <c r="CE51" s="399"/>
      <c r="CF51" s="399"/>
      <c r="CG51" s="399"/>
      <c r="CH51" s="399"/>
      <c r="CI51" s="399"/>
      <c r="CJ51" s="399"/>
      <c r="CK51" s="399"/>
      <c r="CL51" s="399"/>
      <c r="CM51" s="399"/>
      <c r="CN51" s="399"/>
      <c r="CO51" s="399"/>
      <c r="CP51" s="399"/>
      <c r="CQ51" s="399"/>
      <c r="CR51" s="399"/>
      <c r="CS51" s="399"/>
      <c r="CT51" s="399"/>
      <c r="CU51" s="399"/>
      <c r="CV51" s="399"/>
      <c r="CW51" s="399"/>
      <c r="CX51" s="399"/>
      <c r="CY51" s="399"/>
      <c r="CZ51" s="399"/>
      <c r="DA51" s="399"/>
      <c r="DB51" s="399"/>
      <c r="DC51" s="399"/>
      <c r="DD51" s="399"/>
      <c r="DE51" s="399"/>
      <c r="DF51" s="399"/>
      <c r="DG51" s="399"/>
      <c r="DH51" s="399"/>
      <c r="DI51" s="399"/>
      <c r="DJ51" s="399"/>
      <c r="DK51" s="399"/>
      <c r="DL51" s="399"/>
      <c r="DM51" s="399"/>
      <c r="DN51" s="399"/>
      <c r="DO51" s="399"/>
      <c r="DP51" s="399"/>
      <c r="DQ51" s="399"/>
      <c r="DR51" s="399"/>
      <c r="DS51" s="399"/>
      <c r="DT51" s="399"/>
      <c r="DU51" s="399"/>
      <c r="DV51" s="399"/>
      <c r="DW51" s="399"/>
      <c r="DX51" s="399"/>
      <c r="DY51" s="399"/>
      <c r="DZ51" s="399"/>
      <c r="EA51" s="399"/>
      <c r="EB51" s="399"/>
      <c r="EC51" s="399"/>
      <c r="ED51" s="399"/>
      <c r="EE51" s="399"/>
      <c r="EF51" s="399"/>
      <c r="EG51" s="399"/>
      <c r="EH51" s="399"/>
      <c r="EI51" s="399"/>
      <c r="EJ51" s="399"/>
      <c r="EK51" s="399"/>
      <c r="EL51" s="399"/>
      <c r="EM51" s="399"/>
      <c r="EN51" s="399"/>
      <c r="EO51" s="399"/>
      <c r="EP51" s="399"/>
      <c r="EQ51" s="399"/>
      <c r="ER51" s="399"/>
      <c r="ES51" s="399"/>
      <c r="ET51" s="399"/>
      <c r="EU51" s="399"/>
      <c r="EV51" s="399"/>
      <c r="EW51" s="399"/>
      <c r="EX51" s="399"/>
      <c r="EY51" s="399"/>
      <c r="EZ51" s="399"/>
      <c r="FA51" s="399"/>
      <c r="FB51" s="399"/>
    </row>
    <row r="52" spans="2:158" ht="15">
      <c r="B52" s="1358" t="s">
        <v>1131</v>
      </c>
      <c r="J52" s="1340">
        <f aca="true" t="shared" si="10" ref="J52:X52">ROUND(IF(J14=0,0,J36/J14),2)</f>
        <v>0</v>
      </c>
      <c r="K52" s="1340">
        <f t="shared" si="10"/>
        <v>0</v>
      </c>
      <c r="L52" s="1340">
        <f t="shared" si="10"/>
        <v>0</v>
      </c>
      <c r="M52" s="1340">
        <f t="shared" si="10"/>
        <v>0</v>
      </c>
      <c r="N52" s="1340">
        <f t="shared" si="10"/>
        <v>0</v>
      </c>
      <c r="O52" s="1340">
        <f t="shared" si="10"/>
        <v>0</v>
      </c>
      <c r="P52" s="1340">
        <f t="shared" si="10"/>
        <v>0</v>
      </c>
      <c r="Q52" s="1340">
        <f t="shared" si="10"/>
        <v>0</v>
      </c>
      <c r="R52" s="1340">
        <f t="shared" si="10"/>
        <v>0</v>
      </c>
      <c r="S52" s="1340">
        <f t="shared" si="10"/>
        <v>0</v>
      </c>
      <c r="T52" s="1340">
        <f t="shared" si="10"/>
        <v>0</v>
      </c>
      <c r="U52" s="1340">
        <f t="shared" si="10"/>
        <v>0</v>
      </c>
      <c r="V52" s="1340">
        <f t="shared" si="10"/>
        <v>0</v>
      </c>
      <c r="W52" s="1340">
        <f t="shared" si="10"/>
        <v>0</v>
      </c>
      <c r="X52" s="1340">
        <f t="shared" si="10"/>
        <v>0</v>
      </c>
      <c r="AA52" s="399"/>
      <c r="AB52" s="399"/>
      <c r="AC52" s="399"/>
      <c r="AD52" s="399"/>
      <c r="AE52" s="399"/>
      <c r="AF52" s="399"/>
      <c r="AG52" s="399"/>
      <c r="AH52" s="399"/>
      <c r="AI52" s="399"/>
      <c r="AJ52" s="399"/>
      <c r="AK52" s="399"/>
      <c r="AL52" s="399"/>
      <c r="AM52" s="399"/>
      <c r="AN52" s="399"/>
      <c r="AO52" s="399"/>
      <c r="AP52" s="399"/>
      <c r="AQ52" s="399"/>
      <c r="AR52" s="399"/>
      <c r="AS52" s="399"/>
      <c r="AT52" s="399"/>
      <c r="AU52" s="399"/>
      <c r="AV52" s="399"/>
      <c r="AW52" s="399"/>
      <c r="AX52" s="399"/>
      <c r="AY52" s="399"/>
      <c r="AZ52" s="399"/>
      <c r="BA52" s="399"/>
      <c r="BB52" s="399"/>
      <c r="BC52" s="399"/>
      <c r="BD52" s="399"/>
      <c r="BE52" s="399"/>
      <c r="BF52" s="399"/>
      <c r="BG52" s="399"/>
      <c r="BH52" s="399"/>
      <c r="BI52" s="399"/>
      <c r="BJ52" s="399"/>
      <c r="BK52" s="399"/>
      <c r="BL52" s="399"/>
      <c r="BM52" s="399"/>
      <c r="BN52" s="399"/>
      <c r="BO52" s="399"/>
      <c r="BP52" s="399"/>
      <c r="BQ52" s="399"/>
      <c r="BR52" s="399"/>
      <c r="BS52" s="399"/>
      <c r="BT52" s="399"/>
      <c r="BU52" s="399"/>
      <c r="BV52" s="399"/>
      <c r="BW52" s="399"/>
      <c r="BX52" s="399"/>
      <c r="BY52" s="399"/>
      <c r="BZ52" s="399"/>
      <c r="CA52" s="399"/>
      <c r="CB52" s="399"/>
      <c r="CC52" s="399"/>
      <c r="CD52" s="399"/>
      <c r="CE52" s="399"/>
      <c r="CF52" s="399"/>
      <c r="CG52" s="399"/>
      <c r="CH52" s="399"/>
      <c r="CI52" s="399"/>
      <c r="CJ52" s="399"/>
      <c r="CK52" s="399"/>
      <c r="CL52" s="399"/>
      <c r="CM52" s="399"/>
      <c r="CN52" s="399"/>
      <c r="CO52" s="399"/>
      <c r="CP52" s="399"/>
      <c r="CQ52" s="399"/>
      <c r="CR52" s="399"/>
      <c r="CS52" s="399"/>
      <c r="CT52" s="399"/>
      <c r="CU52" s="399"/>
      <c r="CV52" s="399"/>
      <c r="CW52" s="399"/>
      <c r="CX52" s="399"/>
      <c r="CY52" s="399"/>
      <c r="CZ52" s="399"/>
      <c r="DA52" s="399"/>
      <c r="DB52" s="399"/>
      <c r="DC52" s="399"/>
      <c r="DD52" s="399"/>
      <c r="DE52" s="399"/>
      <c r="DF52" s="399"/>
      <c r="DG52" s="399"/>
      <c r="DH52" s="399"/>
      <c r="DI52" s="399"/>
      <c r="DJ52" s="399"/>
      <c r="DK52" s="399"/>
      <c r="DL52" s="399"/>
      <c r="DM52" s="399"/>
      <c r="DN52" s="399"/>
      <c r="DO52" s="399"/>
      <c r="DP52" s="399"/>
      <c r="DQ52" s="399"/>
      <c r="DR52" s="399"/>
      <c r="DS52" s="399"/>
      <c r="DT52" s="399"/>
      <c r="DU52" s="399"/>
      <c r="DV52" s="399"/>
      <c r="DW52" s="399"/>
      <c r="DX52" s="399"/>
      <c r="DY52" s="399"/>
      <c r="DZ52" s="399"/>
      <c r="EA52" s="399"/>
      <c r="EB52" s="399"/>
      <c r="EC52" s="399"/>
      <c r="ED52" s="399"/>
      <c r="EE52" s="399"/>
      <c r="EF52" s="399"/>
      <c r="EG52" s="399"/>
      <c r="EH52" s="399"/>
      <c r="EI52" s="399"/>
      <c r="EJ52" s="399"/>
      <c r="EK52" s="399"/>
      <c r="EL52" s="399"/>
      <c r="EM52" s="399"/>
      <c r="EN52" s="399"/>
      <c r="EO52" s="399"/>
      <c r="EP52" s="399"/>
      <c r="EQ52" s="399"/>
      <c r="ER52" s="399"/>
      <c r="ES52" s="399"/>
      <c r="ET52" s="399"/>
      <c r="EU52" s="399"/>
      <c r="EV52" s="399"/>
      <c r="EW52" s="399"/>
      <c r="EX52" s="399"/>
      <c r="EY52" s="399"/>
      <c r="EZ52" s="399"/>
      <c r="FA52" s="399"/>
      <c r="FB52" s="399"/>
    </row>
    <row r="53" spans="27:158" ht="15">
      <c r="AA53" s="399"/>
      <c r="AB53" s="399"/>
      <c r="AC53" s="399"/>
      <c r="AD53" s="399"/>
      <c r="AE53" s="399"/>
      <c r="AF53" s="399"/>
      <c r="AG53" s="399"/>
      <c r="AH53" s="399"/>
      <c r="AI53" s="399"/>
      <c r="AJ53" s="399"/>
      <c r="AK53" s="399"/>
      <c r="AL53" s="399"/>
      <c r="AM53" s="399"/>
      <c r="AN53" s="399"/>
      <c r="AO53" s="399"/>
      <c r="AP53" s="399"/>
      <c r="AQ53" s="399"/>
      <c r="AR53" s="399"/>
      <c r="AS53" s="399"/>
      <c r="AT53" s="399"/>
      <c r="AU53" s="399"/>
      <c r="AV53" s="399"/>
      <c r="AW53" s="399"/>
      <c r="AX53" s="399"/>
      <c r="AY53" s="399"/>
      <c r="AZ53" s="399"/>
      <c r="BA53" s="399"/>
      <c r="BB53" s="399"/>
      <c r="BC53" s="399"/>
      <c r="BD53" s="399"/>
      <c r="BE53" s="399"/>
      <c r="BF53" s="399"/>
      <c r="BG53" s="399"/>
      <c r="BH53" s="399"/>
      <c r="BI53" s="399"/>
      <c r="BJ53" s="399"/>
      <c r="BK53" s="399"/>
      <c r="BL53" s="399"/>
      <c r="BM53" s="399"/>
      <c r="BN53" s="399"/>
      <c r="BO53" s="399"/>
      <c r="BP53" s="399"/>
      <c r="BQ53" s="399"/>
      <c r="BR53" s="399"/>
      <c r="BS53" s="399"/>
      <c r="BT53" s="399"/>
      <c r="BU53" s="399"/>
      <c r="BV53" s="399"/>
      <c r="BW53" s="399"/>
      <c r="BX53" s="399"/>
      <c r="BY53" s="399"/>
      <c r="BZ53" s="399"/>
      <c r="CA53" s="399"/>
      <c r="CB53" s="399"/>
      <c r="CC53" s="399"/>
      <c r="CD53" s="399"/>
      <c r="CE53" s="399"/>
      <c r="CF53" s="399"/>
      <c r="CG53" s="399"/>
      <c r="CH53" s="399"/>
      <c r="CI53" s="399"/>
      <c r="CJ53" s="399"/>
      <c r="CK53" s="399"/>
      <c r="CL53" s="399"/>
      <c r="CM53" s="399"/>
      <c r="CN53" s="399"/>
      <c r="CO53" s="399"/>
      <c r="CP53" s="399"/>
      <c r="CQ53" s="399"/>
      <c r="CR53" s="399"/>
      <c r="CS53" s="399"/>
      <c r="CT53" s="399"/>
      <c r="CU53" s="399"/>
      <c r="CV53" s="399"/>
      <c r="CW53" s="399"/>
      <c r="CX53" s="399"/>
      <c r="CY53" s="399"/>
      <c r="CZ53" s="399"/>
      <c r="DA53" s="399"/>
      <c r="DB53" s="399"/>
      <c r="DC53" s="399"/>
      <c r="DD53" s="399"/>
      <c r="DE53" s="399"/>
      <c r="DF53" s="399"/>
      <c r="DG53" s="399"/>
      <c r="DH53" s="399"/>
      <c r="DI53" s="399"/>
      <c r="DJ53" s="399"/>
      <c r="DK53" s="399"/>
      <c r="DL53" s="399"/>
      <c r="DM53" s="399"/>
      <c r="DN53" s="399"/>
      <c r="DO53" s="399"/>
      <c r="DP53" s="399"/>
      <c r="DQ53" s="399"/>
      <c r="DR53" s="399"/>
      <c r="DS53" s="399"/>
      <c r="DT53" s="399"/>
      <c r="DU53" s="399"/>
      <c r="DV53" s="399"/>
      <c r="DW53" s="399"/>
      <c r="DX53" s="399"/>
      <c r="DY53" s="399"/>
      <c r="DZ53" s="399"/>
      <c r="EA53" s="399"/>
      <c r="EB53" s="399"/>
      <c r="EC53" s="399"/>
      <c r="ED53" s="399"/>
      <c r="EE53" s="399"/>
      <c r="EF53" s="399"/>
      <c r="EG53" s="399"/>
      <c r="EH53" s="399"/>
      <c r="EI53" s="399"/>
      <c r="EJ53" s="399"/>
      <c r="EK53" s="399"/>
      <c r="EL53" s="399"/>
      <c r="EM53" s="399"/>
      <c r="EN53" s="399"/>
      <c r="EO53" s="399"/>
      <c r="EP53" s="399"/>
      <c r="EQ53" s="399"/>
      <c r="ER53" s="399"/>
      <c r="ES53" s="399"/>
      <c r="ET53" s="399"/>
      <c r="EU53" s="399"/>
      <c r="EV53" s="399"/>
      <c r="EW53" s="399"/>
      <c r="EX53" s="399"/>
      <c r="EY53" s="399"/>
      <c r="EZ53" s="399"/>
      <c r="FA53" s="399"/>
      <c r="FB53" s="399"/>
    </row>
    <row r="54" spans="1:158" ht="15">
      <c r="A54" s="418" t="s">
        <v>1132</v>
      </c>
      <c r="AA54" s="399"/>
      <c r="AB54" s="399"/>
      <c r="AC54" s="399"/>
      <c r="AD54" s="399"/>
      <c r="AE54" s="399"/>
      <c r="AF54" s="399"/>
      <c r="AG54" s="399"/>
      <c r="AH54" s="399"/>
      <c r="AI54" s="399"/>
      <c r="AJ54" s="399"/>
      <c r="AK54" s="399"/>
      <c r="AL54" s="399"/>
      <c r="AM54" s="399"/>
      <c r="AN54" s="399"/>
      <c r="AO54" s="399"/>
      <c r="AP54" s="399"/>
      <c r="AQ54" s="399"/>
      <c r="AR54" s="399"/>
      <c r="AS54" s="399"/>
      <c r="AT54" s="399"/>
      <c r="AU54" s="399"/>
      <c r="AV54" s="399"/>
      <c r="AW54" s="399"/>
      <c r="AX54" s="399"/>
      <c r="AY54" s="399"/>
      <c r="AZ54" s="399"/>
      <c r="BA54" s="399"/>
      <c r="BB54" s="399"/>
      <c r="BC54" s="399"/>
      <c r="BD54" s="399"/>
      <c r="BE54" s="399"/>
      <c r="BF54" s="399"/>
      <c r="BG54" s="399"/>
      <c r="BH54" s="399"/>
      <c r="BI54" s="399"/>
      <c r="BJ54" s="399"/>
      <c r="BK54" s="399"/>
      <c r="BL54" s="399"/>
      <c r="BM54" s="399"/>
      <c r="BN54" s="399"/>
      <c r="BO54" s="399"/>
      <c r="BP54" s="399"/>
      <c r="BQ54" s="399"/>
      <c r="BR54" s="399"/>
      <c r="BS54" s="399"/>
      <c r="BT54" s="399"/>
      <c r="BU54" s="399"/>
      <c r="BV54" s="399"/>
      <c r="BW54" s="399"/>
      <c r="BX54" s="399"/>
      <c r="BY54" s="399"/>
      <c r="BZ54" s="399"/>
      <c r="CA54" s="399"/>
      <c r="CB54" s="399"/>
      <c r="CC54" s="399"/>
      <c r="CD54" s="399"/>
      <c r="CE54" s="399"/>
      <c r="CF54" s="399"/>
      <c r="CG54" s="399"/>
      <c r="CH54" s="399"/>
      <c r="CI54" s="399"/>
      <c r="CJ54" s="399"/>
      <c r="CK54" s="399"/>
      <c r="CL54" s="399"/>
      <c r="CM54" s="399"/>
      <c r="CN54" s="399"/>
      <c r="CO54" s="399"/>
      <c r="CP54" s="399"/>
      <c r="CQ54" s="399"/>
      <c r="CR54" s="399"/>
      <c r="CS54" s="399"/>
      <c r="CT54" s="399"/>
      <c r="CU54" s="399"/>
      <c r="CV54" s="399"/>
      <c r="CW54" s="399"/>
      <c r="CX54" s="399"/>
      <c r="CY54" s="399"/>
      <c r="CZ54" s="399"/>
      <c r="DA54" s="399"/>
      <c r="DB54" s="399"/>
      <c r="DC54" s="399"/>
      <c r="DD54" s="399"/>
      <c r="DE54" s="399"/>
      <c r="DF54" s="399"/>
      <c r="DG54" s="399"/>
      <c r="DH54" s="399"/>
      <c r="DI54" s="399"/>
      <c r="DJ54" s="399"/>
      <c r="DK54" s="399"/>
      <c r="DL54" s="399"/>
      <c r="DM54" s="399"/>
      <c r="DN54" s="399"/>
      <c r="DO54" s="399"/>
      <c r="DP54" s="399"/>
      <c r="DQ54" s="399"/>
      <c r="DR54" s="399"/>
      <c r="DS54" s="399"/>
      <c r="DT54" s="399"/>
      <c r="DU54" s="399"/>
      <c r="DV54" s="399"/>
      <c r="DW54" s="399"/>
      <c r="DX54" s="399"/>
      <c r="DY54" s="399"/>
      <c r="DZ54" s="399"/>
      <c r="EA54" s="399"/>
      <c r="EB54" s="399"/>
      <c r="EC54" s="399"/>
      <c r="ED54" s="399"/>
      <c r="EE54" s="399"/>
      <c r="EF54" s="399"/>
      <c r="EG54" s="399"/>
      <c r="EH54" s="399"/>
      <c r="EI54" s="399"/>
      <c r="EJ54" s="399"/>
      <c r="EK54" s="399"/>
      <c r="EL54" s="399"/>
      <c r="EM54" s="399"/>
      <c r="EN54" s="399"/>
      <c r="EO54" s="399"/>
      <c r="EP54" s="399"/>
      <c r="EQ54" s="399"/>
      <c r="ER54" s="399"/>
      <c r="ES54" s="399"/>
      <c r="ET54" s="399"/>
      <c r="EU54" s="399"/>
      <c r="EV54" s="399"/>
      <c r="EW54" s="399"/>
      <c r="EX54" s="399"/>
      <c r="EY54" s="399"/>
      <c r="EZ54" s="399"/>
      <c r="FA54" s="399"/>
      <c r="FB54" s="399"/>
    </row>
    <row r="55" spans="2:158" ht="15">
      <c r="B55" s="1358" t="s">
        <v>1133</v>
      </c>
      <c r="H55" s="1387"/>
      <c r="I55" s="399" t="str">
        <f>IF(OR(H55="",H55=0),"%","")</f>
        <v>%</v>
      </c>
      <c r="J55" s="1367">
        <f>(INT($H$55*H57))</f>
        <v>0</v>
      </c>
      <c r="K55" s="1367">
        <f aca="true" t="shared" si="11" ref="K55:X55">(INT($H$55*J57))</f>
        <v>0</v>
      </c>
      <c r="L55" s="1367">
        <f t="shared" si="11"/>
        <v>0</v>
      </c>
      <c r="M55" s="1367">
        <f t="shared" si="11"/>
        <v>0</v>
      </c>
      <c r="N55" s="1367">
        <f t="shared" si="11"/>
        <v>0</v>
      </c>
      <c r="O55" s="1367">
        <f t="shared" si="11"/>
        <v>0</v>
      </c>
      <c r="P55" s="1367">
        <f t="shared" si="11"/>
        <v>0</v>
      </c>
      <c r="Q55" s="1367">
        <f t="shared" si="11"/>
        <v>0</v>
      </c>
      <c r="R55" s="1367">
        <f t="shared" si="11"/>
        <v>0</v>
      </c>
      <c r="S55" s="1367">
        <f t="shared" si="11"/>
        <v>0</v>
      </c>
      <c r="T55" s="1367">
        <f t="shared" si="11"/>
        <v>0</v>
      </c>
      <c r="U55" s="1367">
        <f t="shared" si="11"/>
        <v>0</v>
      </c>
      <c r="V55" s="1367">
        <f t="shared" si="11"/>
        <v>0</v>
      </c>
      <c r="W55" s="1367">
        <f t="shared" si="11"/>
        <v>0</v>
      </c>
      <c r="X55" s="1367">
        <f t="shared" si="11"/>
        <v>0</v>
      </c>
      <c r="AA55" s="399"/>
      <c r="AB55" s="399"/>
      <c r="AC55" s="399"/>
      <c r="AD55" s="399"/>
      <c r="AE55" s="399"/>
      <c r="AF55" s="399"/>
      <c r="AG55" s="399"/>
      <c r="AH55" s="399"/>
      <c r="AI55" s="399"/>
      <c r="AJ55" s="399"/>
      <c r="AK55" s="399"/>
      <c r="AL55" s="399"/>
      <c r="AM55" s="399"/>
      <c r="AN55" s="399"/>
      <c r="AO55" s="399"/>
      <c r="AP55" s="399"/>
      <c r="AQ55" s="399"/>
      <c r="AR55" s="399"/>
      <c r="AS55" s="399"/>
      <c r="AT55" s="399"/>
      <c r="AU55" s="399"/>
      <c r="AV55" s="399"/>
      <c r="AW55" s="399"/>
      <c r="AX55" s="399"/>
      <c r="AY55" s="399"/>
      <c r="AZ55" s="399"/>
      <c r="BA55" s="399"/>
      <c r="BB55" s="399"/>
      <c r="BC55" s="399"/>
      <c r="BD55" s="399"/>
      <c r="BE55" s="399"/>
      <c r="BF55" s="399"/>
      <c r="BG55" s="399"/>
      <c r="BH55" s="399"/>
      <c r="BI55" s="399"/>
      <c r="BJ55" s="399"/>
      <c r="BK55" s="399"/>
      <c r="BL55" s="399"/>
      <c r="BM55" s="399"/>
      <c r="BN55" s="399"/>
      <c r="BO55" s="399"/>
      <c r="BP55" s="399"/>
      <c r="BQ55" s="399"/>
      <c r="BR55" s="399"/>
      <c r="BS55" s="399"/>
      <c r="BT55" s="399"/>
      <c r="BU55" s="399"/>
      <c r="BV55" s="399"/>
      <c r="BW55" s="399"/>
      <c r="BX55" s="399"/>
      <c r="BY55" s="399"/>
      <c r="BZ55" s="399"/>
      <c r="CA55" s="399"/>
      <c r="CB55" s="399"/>
      <c r="CC55" s="399"/>
      <c r="CD55" s="399"/>
      <c r="CE55" s="399"/>
      <c r="CF55" s="399"/>
      <c r="CG55" s="399"/>
      <c r="CH55" s="399"/>
      <c r="CI55" s="399"/>
      <c r="CJ55" s="399"/>
      <c r="CK55" s="399"/>
      <c r="CL55" s="399"/>
      <c r="CM55" s="399"/>
      <c r="CN55" s="399"/>
      <c r="CO55" s="399"/>
      <c r="CP55" s="399"/>
      <c r="CQ55" s="399"/>
      <c r="CR55" s="399"/>
      <c r="CS55" s="399"/>
      <c r="CT55" s="399"/>
      <c r="CU55" s="399"/>
      <c r="CV55" s="399"/>
      <c r="CW55" s="399"/>
      <c r="CX55" s="399"/>
      <c r="CY55" s="399"/>
      <c r="CZ55" s="399"/>
      <c r="DA55" s="399"/>
      <c r="DB55" s="399"/>
      <c r="DC55" s="399"/>
      <c r="DD55" s="399"/>
      <c r="DE55" s="399"/>
      <c r="DF55" s="399"/>
      <c r="DG55" s="399"/>
      <c r="DH55" s="399"/>
      <c r="DI55" s="399"/>
      <c r="DJ55" s="399"/>
      <c r="DK55" s="399"/>
      <c r="DL55" s="399"/>
      <c r="DM55" s="399"/>
      <c r="DN55" s="399"/>
      <c r="DO55" s="399"/>
      <c r="DP55" s="399"/>
      <c r="DQ55" s="399"/>
      <c r="DR55" s="399"/>
      <c r="DS55" s="399"/>
      <c r="DT55" s="399"/>
      <c r="DU55" s="399"/>
      <c r="DV55" s="399"/>
      <c r="DW55" s="399"/>
      <c r="DX55" s="399"/>
      <c r="DY55" s="399"/>
      <c r="DZ55" s="399"/>
      <c r="EA55" s="399"/>
      <c r="EB55" s="399"/>
      <c r="EC55" s="399"/>
      <c r="ED55" s="399"/>
      <c r="EE55" s="399"/>
      <c r="EF55" s="399"/>
      <c r="EG55" s="399"/>
      <c r="EH55" s="399"/>
      <c r="EI55" s="399"/>
      <c r="EJ55" s="399"/>
      <c r="EK55" s="399"/>
      <c r="EL55" s="399"/>
      <c r="EM55" s="399"/>
      <c r="EN55" s="399"/>
      <c r="EO55" s="399"/>
      <c r="EP55" s="399"/>
      <c r="EQ55" s="399"/>
      <c r="ER55" s="399"/>
      <c r="ES55" s="399"/>
      <c r="ET55" s="399"/>
      <c r="EU55" s="399"/>
      <c r="EV55" s="399"/>
      <c r="EW55" s="399"/>
      <c r="EX55" s="399"/>
      <c r="EY55" s="399"/>
      <c r="EZ55" s="399"/>
      <c r="FA55" s="399"/>
      <c r="FB55" s="399"/>
    </row>
    <row r="56" spans="2:158" ht="15">
      <c r="B56" s="1358" t="s">
        <v>1134</v>
      </c>
      <c r="J56" s="1367">
        <f aca="true" t="shared" si="12" ref="J56:X56">IF(J46&lt;0,-J46,0)</f>
        <v>0</v>
      </c>
      <c r="K56" s="1367">
        <f t="shared" si="12"/>
        <v>0</v>
      </c>
      <c r="L56" s="1367">
        <f t="shared" si="12"/>
        <v>0</v>
      </c>
      <c r="M56" s="1367">
        <f t="shared" si="12"/>
        <v>0</v>
      </c>
      <c r="N56" s="1367">
        <f t="shared" si="12"/>
        <v>0</v>
      </c>
      <c r="O56" s="1367">
        <f t="shared" si="12"/>
        <v>0</v>
      </c>
      <c r="P56" s="1367">
        <f t="shared" si="12"/>
        <v>0</v>
      </c>
      <c r="Q56" s="1367">
        <f t="shared" si="12"/>
        <v>0</v>
      </c>
      <c r="R56" s="1367">
        <f t="shared" si="12"/>
        <v>0</v>
      </c>
      <c r="S56" s="1367">
        <f t="shared" si="12"/>
        <v>0</v>
      </c>
      <c r="T56" s="1367">
        <f t="shared" si="12"/>
        <v>0</v>
      </c>
      <c r="U56" s="1367">
        <f t="shared" si="12"/>
        <v>0</v>
      </c>
      <c r="V56" s="1367">
        <f t="shared" si="12"/>
        <v>0</v>
      </c>
      <c r="W56" s="1367">
        <f t="shared" si="12"/>
        <v>0</v>
      </c>
      <c r="X56" s="1367">
        <f t="shared" si="12"/>
        <v>0</v>
      </c>
      <c r="AA56" s="399"/>
      <c r="AB56" s="399"/>
      <c r="AC56" s="399"/>
      <c r="AD56" s="399"/>
      <c r="AE56" s="399"/>
      <c r="AF56" s="399"/>
      <c r="AG56" s="399"/>
      <c r="AH56" s="399"/>
      <c r="AI56" s="399"/>
      <c r="AJ56" s="399"/>
      <c r="AK56" s="399"/>
      <c r="AL56" s="399"/>
      <c r="AM56" s="399"/>
      <c r="AN56" s="399"/>
      <c r="AO56" s="399"/>
      <c r="AP56" s="399"/>
      <c r="AQ56" s="399"/>
      <c r="AR56" s="399"/>
      <c r="AS56" s="399"/>
      <c r="AT56" s="399"/>
      <c r="AU56" s="399"/>
      <c r="AV56" s="399"/>
      <c r="AW56" s="399"/>
      <c r="AX56" s="399"/>
      <c r="AY56" s="399"/>
      <c r="AZ56" s="399"/>
      <c r="BA56" s="399"/>
      <c r="BB56" s="399"/>
      <c r="BC56" s="399"/>
      <c r="BD56" s="399"/>
      <c r="BE56" s="399"/>
      <c r="BF56" s="399"/>
      <c r="BG56" s="399"/>
      <c r="BH56" s="399"/>
      <c r="BI56" s="399"/>
      <c r="BJ56" s="399"/>
      <c r="BK56" s="399"/>
      <c r="BL56" s="399"/>
      <c r="BM56" s="399"/>
      <c r="BN56" s="399"/>
      <c r="BO56" s="399"/>
      <c r="BP56" s="399"/>
      <c r="BQ56" s="399"/>
      <c r="BR56" s="399"/>
      <c r="BS56" s="399"/>
      <c r="BT56" s="399"/>
      <c r="BU56" s="399"/>
      <c r="BV56" s="399"/>
      <c r="BW56" s="399"/>
      <c r="BX56" s="399"/>
      <c r="BY56" s="399"/>
      <c r="BZ56" s="399"/>
      <c r="CA56" s="399"/>
      <c r="CB56" s="399"/>
      <c r="CC56" s="399"/>
      <c r="CD56" s="399"/>
      <c r="CE56" s="399"/>
      <c r="CF56" s="399"/>
      <c r="CG56" s="399"/>
      <c r="CH56" s="399"/>
      <c r="CI56" s="399"/>
      <c r="CJ56" s="399"/>
      <c r="CK56" s="399"/>
      <c r="CL56" s="399"/>
      <c r="CM56" s="399"/>
      <c r="CN56" s="399"/>
      <c r="CO56" s="399"/>
      <c r="CP56" s="399"/>
      <c r="CQ56" s="399"/>
      <c r="CR56" s="399"/>
      <c r="CS56" s="399"/>
      <c r="CT56" s="399"/>
      <c r="CU56" s="399"/>
      <c r="CV56" s="399"/>
      <c r="CW56" s="399"/>
      <c r="CX56" s="399"/>
      <c r="CY56" s="399"/>
      <c r="CZ56" s="399"/>
      <c r="DA56" s="399"/>
      <c r="DB56" s="399"/>
      <c r="DC56" s="399"/>
      <c r="DD56" s="399"/>
      <c r="DE56" s="399"/>
      <c r="DF56" s="399"/>
      <c r="DG56" s="399"/>
      <c r="DH56" s="399"/>
      <c r="DI56" s="399"/>
      <c r="DJ56" s="399"/>
      <c r="DK56" s="399"/>
      <c r="DL56" s="399"/>
      <c r="DM56" s="399"/>
      <c r="DN56" s="399"/>
      <c r="DO56" s="399"/>
      <c r="DP56" s="399"/>
      <c r="DQ56" s="399"/>
      <c r="DR56" s="399"/>
      <c r="DS56" s="399"/>
      <c r="DT56" s="399"/>
      <c r="DU56" s="399"/>
      <c r="DV56" s="399"/>
      <c r="DW56" s="399"/>
      <c r="DX56" s="399"/>
      <c r="DY56" s="399"/>
      <c r="DZ56" s="399"/>
      <c r="EA56" s="399"/>
      <c r="EB56" s="399"/>
      <c r="EC56" s="399"/>
      <c r="ED56" s="399"/>
      <c r="EE56" s="399"/>
      <c r="EF56" s="399"/>
      <c r="EG56" s="399"/>
      <c r="EH56" s="399"/>
      <c r="EI56" s="399"/>
      <c r="EJ56" s="399"/>
      <c r="EK56" s="399"/>
      <c r="EL56" s="399"/>
      <c r="EM56" s="399"/>
      <c r="EN56" s="399"/>
      <c r="EO56" s="399"/>
      <c r="EP56" s="399"/>
      <c r="EQ56" s="399"/>
      <c r="ER56" s="399"/>
      <c r="ES56" s="399"/>
      <c r="ET56" s="399"/>
      <c r="EU56" s="399"/>
      <c r="EV56" s="399"/>
      <c r="EW56" s="399"/>
      <c r="EX56" s="399"/>
      <c r="EY56" s="399"/>
      <c r="EZ56" s="399"/>
      <c r="FA56" s="399"/>
      <c r="FB56" s="399"/>
    </row>
    <row r="57" spans="2:158" ht="15">
      <c r="B57" s="1358" t="s">
        <v>1135</v>
      </c>
      <c r="G57" s="1388">
        <f>IF(H57="","$","")</f>
      </c>
      <c r="H57" s="1389">
        <f>+Breakdown!F73</f>
        <v>0</v>
      </c>
      <c r="I57" s="399"/>
      <c r="J57" s="1367">
        <f>+H57+J55-J56</f>
        <v>0</v>
      </c>
      <c r="K57" s="1367">
        <f aca="true" t="shared" si="13" ref="K57:X57">+J57+K55-K56</f>
        <v>0</v>
      </c>
      <c r="L57" s="1367">
        <f t="shared" si="13"/>
        <v>0</v>
      </c>
      <c r="M57" s="1367">
        <f t="shared" si="13"/>
        <v>0</v>
      </c>
      <c r="N57" s="1367">
        <f t="shared" si="13"/>
        <v>0</v>
      </c>
      <c r="O57" s="1367">
        <f t="shared" si="13"/>
        <v>0</v>
      </c>
      <c r="P57" s="1367">
        <f t="shared" si="13"/>
        <v>0</v>
      </c>
      <c r="Q57" s="1367">
        <f t="shared" si="13"/>
        <v>0</v>
      </c>
      <c r="R57" s="1367">
        <f t="shared" si="13"/>
        <v>0</v>
      </c>
      <c r="S57" s="1367">
        <f t="shared" si="13"/>
        <v>0</v>
      </c>
      <c r="T57" s="1367">
        <f t="shared" si="13"/>
        <v>0</v>
      </c>
      <c r="U57" s="1367">
        <f t="shared" si="13"/>
        <v>0</v>
      </c>
      <c r="V57" s="1367">
        <f t="shared" si="13"/>
        <v>0</v>
      </c>
      <c r="W57" s="1367">
        <f t="shared" si="13"/>
        <v>0</v>
      </c>
      <c r="X57" s="1367">
        <f t="shared" si="13"/>
        <v>0</v>
      </c>
      <c r="AA57" s="399"/>
      <c r="AB57" s="399"/>
      <c r="AC57" s="399"/>
      <c r="AD57" s="399"/>
      <c r="AE57" s="399"/>
      <c r="AF57" s="399"/>
      <c r="AG57" s="399"/>
      <c r="AH57" s="399"/>
      <c r="AI57" s="399"/>
      <c r="AJ57" s="399"/>
      <c r="AK57" s="399"/>
      <c r="AL57" s="399"/>
      <c r="AM57" s="399"/>
      <c r="AN57" s="399"/>
      <c r="AO57" s="399"/>
      <c r="AP57" s="399"/>
      <c r="AQ57" s="399"/>
      <c r="AR57" s="399"/>
      <c r="AS57" s="399"/>
      <c r="AT57" s="399"/>
      <c r="AU57" s="399"/>
      <c r="AV57" s="399"/>
      <c r="AW57" s="399"/>
      <c r="AX57" s="399"/>
      <c r="AY57" s="399"/>
      <c r="AZ57" s="399"/>
      <c r="BA57" s="399"/>
      <c r="BB57" s="399"/>
      <c r="BC57" s="399"/>
      <c r="BD57" s="399"/>
      <c r="BE57" s="399"/>
      <c r="BF57" s="399"/>
      <c r="BG57" s="399"/>
      <c r="BH57" s="399"/>
      <c r="BI57" s="399"/>
      <c r="BJ57" s="399"/>
      <c r="BK57" s="399"/>
      <c r="BL57" s="399"/>
      <c r="BM57" s="399"/>
      <c r="BN57" s="399"/>
      <c r="BO57" s="399"/>
      <c r="BP57" s="399"/>
      <c r="BQ57" s="399"/>
      <c r="BR57" s="399"/>
      <c r="BS57" s="399"/>
      <c r="BT57" s="399"/>
      <c r="BU57" s="399"/>
      <c r="BV57" s="399"/>
      <c r="BW57" s="399"/>
      <c r="BX57" s="399"/>
      <c r="BY57" s="399"/>
      <c r="BZ57" s="399"/>
      <c r="CA57" s="399"/>
      <c r="CB57" s="399"/>
      <c r="CC57" s="399"/>
      <c r="CD57" s="399"/>
      <c r="CE57" s="399"/>
      <c r="CF57" s="399"/>
      <c r="CG57" s="399"/>
      <c r="CH57" s="399"/>
      <c r="CI57" s="399"/>
      <c r="CJ57" s="399"/>
      <c r="CK57" s="399"/>
      <c r="CL57" s="399"/>
      <c r="CM57" s="399"/>
      <c r="CN57" s="399"/>
      <c r="CO57" s="399"/>
      <c r="CP57" s="399"/>
      <c r="CQ57" s="399"/>
      <c r="CR57" s="399"/>
      <c r="CS57" s="399"/>
      <c r="CT57" s="399"/>
      <c r="CU57" s="399"/>
      <c r="CV57" s="399"/>
      <c r="CW57" s="399"/>
      <c r="CX57" s="399"/>
      <c r="CY57" s="399"/>
      <c r="CZ57" s="399"/>
      <c r="DA57" s="399"/>
      <c r="DB57" s="399"/>
      <c r="DC57" s="399"/>
      <c r="DD57" s="399"/>
      <c r="DE57" s="399"/>
      <c r="DF57" s="399"/>
      <c r="DG57" s="399"/>
      <c r="DH57" s="399"/>
      <c r="DI57" s="399"/>
      <c r="DJ57" s="399"/>
      <c r="DK57" s="399"/>
      <c r="DL57" s="399"/>
      <c r="DM57" s="399"/>
      <c r="DN57" s="399"/>
      <c r="DO57" s="399"/>
      <c r="DP57" s="399"/>
      <c r="DQ57" s="399"/>
      <c r="DR57" s="399"/>
      <c r="DS57" s="399"/>
      <c r="DT57" s="399"/>
      <c r="DU57" s="399"/>
      <c r="DV57" s="399"/>
      <c r="DW57" s="399"/>
      <c r="DX57" s="399"/>
      <c r="DY57" s="399"/>
      <c r="DZ57" s="399"/>
      <c r="EA57" s="399"/>
      <c r="EB57" s="399"/>
      <c r="EC57" s="399"/>
      <c r="ED57" s="399"/>
      <c r="EE57" s="399"/>
      <c r="EF57" s="399"/>
      <c r="EG57" s="399"/>
      <c r="EH57" s="399"/>
      <c r="EI57" s="399"/>
      <c r="EJ57" s="399"/>
      <c r="EK57" s="399"/>
      <c r="EL57" s="399"/>
      <c r="EM57" s="399"/>
      <c r="EN57" s="399"/>
      <c r="EO57" s="399"/>
      <c r="EP57" s="399"/>
      <c r="EQ57" s="399"/>
      <c r="ER57" s="399"/>
      <c r="ES57" s="399"/>
      <c r="ET57" s="399"/>
      <c r="EU57" s="399"/>
      <c r="EV57" s="399"/>
      <c r="EW57" s="399"/>
      <c r="EX57" s="399"/>
      <c r="EY57" s="399"/>
      <c r="EZ57" s="399"/>
      <c r="FA57" s="399"/>
      <c r="FB57" s="399"/>
    </row>
    <row r="58" spans="27:158" ht="15">
      <c r="AA58" s="399"/>
      <c r="AB58" s="399"/>
      <c r="AC58" s="399"/>
      <c r="AD58" s="399"/>
      <c r="AE58" s="399"/>
      <c r="AF58" s="399"/>
      <c r="AG58" s="399"/>
      <c r="AH58" s="399"/>
      <c r="AI58" s="399"/>
      <c r="AJ58" s="399"/>
      <c r="AK58" s="399"/>
      <c r="AL58" s="399"/>
      <c r="AM58" s="399"/>
      <c r="AN58" s="399"/>
      <c r="AO58" s="399"/>
      <c r="AP58" s="399"/>
      <c r="AQ58" s="399"/>
      <c r="AR58" s="399"/>
      <c r="AS58" s="399"/>
      <c r="AT58" s="399"/>
      <c r="AU58" s="399"/>
      <c r="AV58" s="399"/>
      <c r="AW58" s="399"/>
      <c r="AX58" s="399"/>
      <c r="AY58" s="399"/>
      <c r="AZ58" s="399"/>
      <c r="BA58" s="399"/>
      <c r="BB58" s="399"/>
      <c r="BC58" s="399"/>
      <c r="BD58" s="399"/>
      <c r="BE58" s="399"/>
      <c r="BF58" s="399"/>
      <c r="BG58" s="399"/>
      <c r="BH58" s="399"/>
      <c r="BI58" s="399"/>
      <c r="BJ58" s="399"/>
      <c r="BK58" s="399"/>
      <c r="BL58" s="399"/>
      <c r="BM58" s="399"/>
      <c r="BN58" s="399"/>
      <c r="BO58" s="399"/>
      <c r="BP58" s="399"/>
      <c r="BQ58" s="399"/>
      <c r="BR58" s="399"/>
      <c r="BS58" s="399"/>
      <c r="BT58" s="399"/>
      <c r="BU58" s="399"/>
      <c r="BV58" s="399"/>
      <c r="BW58" s="399"/>
      <c r="BX58" s="399"/>
      <c r="BY58" s="399"/>
      <c r="BZ58" s="399"/>
      <c r="CA58" s="399"/>
      <c r="CB58" s="399"/>
      <c r="CC58" s="399"/>
      <c r="CD58" s="399"/>
      <c r="CE58" s="399"/>
      <c r="CF58" s="399"/>
      <c r="CG58" s="399"/>
      <c r="CH58" s="399"/>
      <c r="CI58" s="399"/>
      <c r="CJ58" s="399"/>
      <c r="CK58" s="399"/>
      <c r="CL58" s="399"/>
      <c r="CM58" s="399"/>
      <c r="CN58" s="399"/>
      <c r="CO58" s="399"/>
      <c r="CP58" s="399"/>
      <c r="CQ58" s="399"/>
      <c r="CR58" s="399"/>
      <c r="CS58" s="399"/>
      <c r="CT58" s="399"/>
      <c r="CU58" s="399"/>
      <c r="CV58" s="399"/>
      <c r="CW58" s="399"/>
      <c r="CX58" s="399"/>
      <c r="CY58" s="399"/>
      <c r="CZ58" s="399"/>
      <c r="DA58" s="399"/>
      <c r="DB58" s="399"/>
      <c r="DC58" s="399"/>
      <c r="DD58" s="399"/>
      <c r="DE58" s="399"/>
      <c r="DF58" s="399"/>
      <c r="DG58" s="399"/>
      <c r="DH58" s="399"/>
      <c r="DI58" s="399"/>
      <c r="DJ58" s="399"/>
      <c r="DK58" s="399"/>
      <c r="DL58" s="399"/>
      <c r="DM58" s="399"/>
      <c r="DN58" s="399"/>
      <c r="DO58" s="399"/>
      <c r="DP58" s="399"/>
      <c r="DQ58" s="399"/>
      <c r="DR58" s="399"/>
      <c r="DS58" s="399"/>
      <c r="DT58" s="399"/>
      <c r="DU58" s="399"/>
      <c r="DV58" s="399"/>
      <c r="DW58" s="399"/>
      <c r="DX58" s="399"/>
      <c r="DY58" s="399"/>
      <c r="DZ58" s="399"/>
      <c r="EA58" s="399"/>
      <c r="EB58" s="399"/>
      <c r="EC58" s="399"/>
      <c r="ED58" s="399"/>
      <c r="EE58" s="399"/>
      <c r="EF58" s="399"/>
      <c r="EG58" s="399"/>
      <c r="EH58" s="399"/>
      <c r="EI58" s="399"/>
      <c r="EJ58" s="399"/>
      <c r="EK58" s="399"/>
      <c r="EL58" s="399"/>
      <c r="EM58" s="399"/>
      <c r="EN58" s="399"/>
      <c r="EO58" s="399"/>
      <c r="EP58" s="399"/>
      <c r="EQ58" s="399"/>
      <c r="ER58" s="399"/>
      <c r="ES58" s="399"/>
      <c r="ET58" s="399"/>
      <c r="EU58" s="399"/>
      <c r="EV58" s="399"/>
      <c r="EW58" s="399"/>
      <c r="EX58" s="399"/>
      <c r="EY58" s="399"/>
      <c r="EZ58" s="399"/>
      <c r="FA58" s="399"/>
      <c r="FB58" s="399"/>
    </row>
    <row r="59" spans="1:158" ht="15.75" thickBot="1">
      <c r="A59" s="1340"/>
      <c r="B59" s="1340"/>
      <c r="C59" s="1340"/>
      <c r="D59" s="1340"/>
      <c r="E59" s="1340"/>
      <c r="F59" s="1340"/>
      <c r="G59" s="1339"/>
      <c r="H59" s="1340"/>
      <c r="I59" s="1340"/>
      <c r="O59" s="1390"/>
      <c r="P59" s="1390"/>
      <c r="Q59" s="1390"/>
      <c r="R59" s="1390"/>
      <c r="AA59" s="399"/>
      <c r="AB59" s="399"/>
      <c r="AC59" s="399"/>
      <c r="AD59" s="399"/>
      <c r="AE59" s="399"/>
      <c r="AF59" s="399"/>
      <c r="AG59" s="399"/>
      <c r="AH59" s="399"/>
      <c r="AI59" s="399"/>
      <c r="AJ59" s="399"/>
      <c r="AK59" s="399"/>
      <c r="AL59" s="399"/>
      <c r="AM59" s="399"/>
      <c r="AN59" s="399"/>
      <c r="AO59" s="399"/>
      <c r="AP59" s="399"/>
      <c r="AQ59" s="399"/>
      <c r="AR59" s="399"/>
      <c r="AS59" s="399"/>
      <c r="AT59" s="399"/>
      <c r="AU59" s="399"/>
      <c r="AV59" s="399"/>
      <c r="AW59" s="399"/>
      <c r="AX59" s="399"/>
      <c r="AY59" s="399"/>
      <c r="AZ59" s="399"/>
      <c r="BA59" s="399"/>
      <c r="BB59" s="399"/>
      <c r="BC59" s="399"/>
      <c r="BD59" s="399"/>
      <c r="BE59" s="399"/>
      <c r="BF59" s="399"/>
      <c r="BG59" s="399"/>
      <c r="BH59" s="399"/>
      <c r="BI59" s="399"/>
      <c r="BJ59" s="399"/>
      <c r="BK59" s="399"/>
      <c r="BL59" s="399"/>
      <c r="BM59" s="399"/>
      <c r="BN59" s="399"/>
      <c r="BO59" s="399"/>
      <c r="BP59" s="399"/>
      <c r="BQ59" s="399"/>
      <c r="BR59" s="399"/>
      <c r="BS59" s="399"/>
      <c r="BT59" s="399"/>
      <c r="BU59" s="399"/>
      <c r="BV59" s="399"/>
      <c r="BW59" s="399"/>
      <c r="BX59" s="399"/>
      <c r="BY59" s="399"/>
      <c r="BZ59" s="399"/>
      <c r="CA59" s="399"/>
      <c r="CB59" s="399"/>
      <c r="CC59" s="399"/>
      <c r="CD59" s="399"/>
      <c r="CE59" s="399"/>
      <c r="CF59" s="399"/>
      <c r="CG59" s="399"/>
      <c r="CH59" s="399"/>
      <c r="CI59" s="399"/>
      <c r="CJ59" s="399"/>
      <c r="CK59" s="399"/>
      <c r="CL59" s="399"/>
      <c r="CM59" s="399"/>
      <c r="CN59" s="399"/>
      <c r="CO59" s="399"/>
      <c r="CP59" s="399"/>
      <c r="CQ59" s="399"/>
      <c r="CR59" s="399"/>
      <c r="CS59" s="399"/>
      <c r="CT59" s="399"/>
      <c r="CU59" s="399"/>
      <c r="CV59" s="399"/>
      <c r="CW59" s="399"/>
      <c r="CX59" s="399"/>
      <c r="CY59" s="399"/>
      <c r="CZ59" s="399"/>
      <c r="DA59" s="399"/>
      <c r="DB59" s="399"/>
      <c r="DC59" s="399"/>
      <c r="DD59" s="399"/>
      <c r="DE59" s="399"/>
      <c r="DF59" s="399"/>
      <c r="DG59" s="399"/>
      <c r="DH59" s="399"/>
      <c r="DI59" s="399"/>
      <c r="DJ59" s="399"/>
      <c r="DK59" s="399"/>
      <c r="DL59" s="399"/>
      <c r="DM59" s="399"/>
      <c r="DN59" s="399"/>
      <c r="DO59" s="399"/>
      <c r="DP59" s="399"/>
      <c r="DQ59" s="399"/>
      <c r="DR59" s="399"/>
      <c r="DS59" s="399"/>
      <c r="DT59" s="399"/>
      <c r="DU59" s="399"/>
      <c r="DV59" s="399"/>
      <c r="DW59" s="399"/>
      <c r="DX59" s="399"/>
      <c r="DY59" s="399"/>
      <c r="DZ59" s="399"/>
      <c r="EA59" s="399"/>
      <c r="EB59" s="399"/>
      <c r="EC59" s="399"/>
      <c r="ED59" s="399"/>
      <c r="EE59" s="399"/>
      <c r="EF59" s="399"/>
      <c r="EG59" s="399"/>
      <c r="EH59" s="399"/>
      <c r="EI59" s="399"/>
      <c r="EJ59" s="399"/>
      <c r="EK59" s="399"/>
      <c r="EL59" s="399"/>
      <c r="EM59" s="399"/>
      <c r="EN59" s="399"/>
      <c r="EO59" s="399"/>
      <c r="EP59" s="399"/>
      <c r="EQ59" s="399"/>
      <c r="ER59" s="399"/>
      <c r="ES59" s="399"/>
      <c r="ET59" s="399"/>
      <c r="EU59" s="399"/>
      <c r="EV59" s="399"/>
      <c r="EW59" s="399"/>
      <c r="EX59" s="399"/>
      <c r="EY59" s="399"/>
      <c r="EZ59" s="399"/>
      <c r="FA59" s="399"/>
      <c r="FB59" s="399"/>
    </row>
    <row r="60" spans="1:158" ht="15">
      <c r="A60" s="1340"/>
      <c r="B60" s="1340"/>
      <c r="C60" s="1340"/>
      <c r="D60" s="1340"/>
      <c r="E60" s="1340"/>
      <c r="F60" s="1340"/>
      <c r="G60" s="1339"/>
      <c r="H60" s="1340"/>
      <c r="I60" s="1340"/>
      <c r="M60" s="1391"/>
      <c r="AA60" s="399"/>
      <c r="AB60" s="399"/>
      <c r="AC60" s="399"/>
      <c r="AD60" s="399"/>
      <c r="AE60" s="399"/>
      <c r="AF60" s="399"/>
      <c r="AG60" s="399"/>
      <c r="AH60" s="399"/>
      <c r="AI60" s="399"/>
      <c r="AJ60" s="399"/>
      <c r="AK60" s="399"/>
      <c r="AL60" s="399"/>
      <c r="AM60" s="399"/>
      <c r="AN60" s="399"/>
      <c r="AO60" s="399"/>
      <c r="AP60" s="399"/>
      <c r="AQ60" s="399"/>
      <c r="AR60" s="399"/>
      <c r="AS60" s="399"/>
      <c r="AT60" s="399"/>
      <c r="AU60" s="399"/>
      <c r="AV60" s="399"/>
      <c r="AW60" s="399"/>
      <c r="AX60" s="399"/>
      <c r="AY60" s="399"/>
      <c r="AZ60" s="399"/>
      <c r="BA60" s="399"/>
      <c r="BB60" s="399"/>
      <c r="BC60" s="399"/>
      <c r="BD60" s="399"/>
      <c r="BE60" s="399"/>
      <c r="BF60" s="399"/>
      <c r="BG60" s="399"/>
      <c r="BH60" s="399"/>
      <c r="BI60" s="399"/>
      <c r="BJ60" s="399"/>
      <c r="BK60" s="399"/>
      <c r="BL60" s="399"/>
      <c r="BM60" s="399"/>
      <c r="BN60" s="399"/>
      <c r="BO60" s="399"/>
      <c r="BP60" s="399"/>
      <c r="BQ60" s="399"/>
      <c r="BR60" s="399"/>
      <c r="BS60" s="399"/>
      <c r="BT60" s="399"/>
      <c r="BU60" s="399"/>
      <c r="BV60" s="399"/>
      <c r="BW60" s="399"/>
      <c r="BX60" s="399"/>
      <c r="BY60" s="399"/>
      <c r="BZ60" s="399"/>
      <c r="CA60" s="399"/>
      <c r="CB60" s="399"/>
      <c r="CC60" s="399"/>
      <c r="CD60" s="399"/>
      <c r="CE60" s="399"/>
      <c r="CF60" s="399"/>
      <c r="CG60" s="399"/>
      <c r="CH60" s="399"/>
      <c r="CI60" s="399"/>
      <c r="CJ60" s="399"/>
      <c r="CK60" s="399"/>
      <c r="CL60" s="399"/>
      <c r="CM60" s="399"/>
      <c r="CN60" s="399"/>
      <c r="CO60" s="399"/>
      <c r="CP60" s="399"/>
      <c r="CQ60" s="399"/>
      <c r="CR60" s="399"/>
      <c r="CS60" s="399"/>
      <c r="CT60" s="399"/>
      <c r="CU60" s="399"/>
      <c r="CV60" s="399"/>
      <c r="CW60" s="399"/>
      <c r="CX60" s="399"/>
      <c r="CY60" s="399"/>
      <c r="CZ60" s="399"/>
      <c r="DA60" s="399"/>
      <c r="DB60" s="399"/>
      <c r="DC60" s="399"/>
      <c r="DD60" s="399"/>
      <c r="DE60" s="399"/>
      <c r="DF60" s="399"/>
      <c r="DG60" s="399"/>
      <c r="DH60" s="399"/>
      <c r="DI60" s="399"/>
      <c r="DJ60" s="399"/>
      <c r="DK60" s="399"/>
      <c r="DL60" s="399"/>
      <c r="DM60" s="399"/>
      <c r="DN60" s="399"/>
      <c r="DO60" s="399"/>
      <c r="DP60" s="399"/>
      <c r="DQ60" s="399"/>
      <c r="DR60" s="399"/>
      <c r="DS60" s="399"/>
      <c r="DT60" s="399"/>
      <c r="DU60" s="399"/>
      <c r="DV60" s="399"/>
      <c r="DW60" s="399"/>
      <c r="DX60" s="399"/>
      <c r="DY60" s="399"/>
      <c r="DZ60" s="399"/>
      <c r="EA60" s="399"/>
      <c r="EB60" s="399"/>
      <c r="EC60" s="399"/>
      <c r="ED60" s="399"/>
      <c r="EE60" s="399"/>
      <c r="EF60" s="399"/>
      <c r="EG60" s="399"/>
      <c r="EH60" s="399"/>
      <c r="EI60" s="399"/>
      <c r="EJ60" s="399"/>
      <c r="EK60" s="399"/>
      <c r="EL60" s="399"/>
      <c r="EM60" s="399"/>
      <c r="EN60" s="399"/>
      <c r="EO60" s="399"/>
      <c r="EP60" s="399"/>
      <c r="EQ60" s="399"/>
      <c r="ER60" s="399"/>
      <c r="ES60" s="399"/>
      <c r="ET60" s="399"/>
      <c r="EU60" s="399"/>
      <c r="EV60" s="399"/>
      <c r="EW60" s="399"/>
      <c r="EX60" s="399"/>
      <c r="EY60" s="399"/>
      <c r="EZ60" s="399"/>
      <c r="FA60" s="399"/>
      <c r="FB60" s="399"/>
    </row>
    <row r="61" spans="27:158" ht="15">
      <c r="AA61" s="399"/>
      <c r="AB61" s="399"/>
      <c r="AC61" s="399"/>
      <c r="AD61" s="399"/>
      <c r="AE61" s="399"/>
      <c r="AF61" s="399"/>
      <c r="AG61" s="399"/>
      <c r="AH61" s="399"/>
      <c r="AI61" s="399"/>
      <c r="AJ61" s="399"/>
      <c r="AK61" s="399"/>
      <c r="AL61" s="399"/>
      <c r="AM61" s="399"/>
      <c r="AN61" s="399"/>
      <c r="AO61" s="399"/>
      <c r="AP61" s="399"/>
      <c r="AQ61" s="399"/>
      <c r="AR61" s="399"/>
      <c r="AS61" s="399"/>
      <c r="AT61" s="399"/>
      <c r="AU61" s="399"/>
      <c r="AV61" s="399"/>
      <c r="AW61" s="399"/>
      <c r="AX61" s="399"/>
      <c r="AY61" s="399"/>
      <c r="AZ61" s="399"/>
      <c r="BA61" s="399"/>
      <c r="BB61" s="399"/>
      <c r="BC61" s="399"/>
      <c r="BD61" s="399"/>
      <c r="BE61" s="399"/>
      <c r="BF61" s="399"/>
      <c r="BG61" s="399"/>
      <c r="BH61" s="399"/>
      <c r="BI61" s="399"/>
      <c r="BJ61" s="399"/>
      <c r="BK61" s="399"/>
      <c r="BL61" s="399"/>
      <c r="BM61" s="399"/>
      <c r="BN61" s="399"/>
      <c r="BO61" s="399"/>
      <c r="BP61" s="399"/>
      <c r="BQ61" s="399"/>
      <c r="BR61" s="399"/>
      <c r="BS61" s="399"/>
      <c r="BT61" s="399"/>
      <c r="BU61" s="399"/>
      <c r="BV61" s="399"/>
      <c r="BW61" s="399"/>
      <c r="BX61" s="399"/>
      <c r="BY61" s="399"/>
      <c r="BZ61" s="399"/>
      <c r="CA61" s="399"/>
      <c r="CB61" s="399"/>
      <c r="CC61" s="399"/>
      <c r="CD61" s="399"/>
      <c r="CE61" s="399"/>
      <c r="CF61" s="399"/>
      <c r="CG61" s="399"/>
      <c r="CH61" s="399"/>
      <c r="CI61" s="399"/>
      <c r="CJ61" s="399"/>
      <c r="CK61" s="399"/>
      <c r="CL61" s="399"/>
      <c r="CM61" s="399"/>
      <c r="CN61" s="399"/>
      <c r="CO61" s="399"/>
      <c r="CP61" s="399"/>
      <c r="CQ61" s="399"/>
      <c r="CR61" s="399"/>
      <c r="CS61" s="399"/>
      <c r="CT61" s="399"/>
      <c r="CU61" s="399"/>
      <c r="CV61" s="399"/>
      <c r="CW61" s="399"/>
      <c r="CX61" s="399"/>
      <c r="CY61" s="399"/>
      <c r="CZ61" s="399"/>
      <c r="DA61" s="399"/>
      <c r="DB61" s="399"/>
      <c r="DC61" s="399"/>
      <c r="DD61" s="399"/>
      <c r="DE61" s="399"/>
      <c r="DF61" s="399"/>
      <c r="DG61" s="399"/>
      <c r="DH61" s="399"/>
      <c r="DI61" s="399"/>
      <c r="DJ61" s="399"/>
      <c r="DK61" s="399"/>
      <c r="DL61" s="399"/>
      <c r="DM61" s="399"/>
      <c r="DN61" s="399"/>
      <c r="DO61" s="399"/>
      <c r="DP61" s="399"/>
      <c r="DQ61" s="399"/>
      <c r="DR61" s="399"/>
      <c r="DS61" s="399"/>
      <c r="DT61" s="399"/>
      <c r="DU61" s="399"/>
      <c r="DV61" s="399"/>
      <c r="DW61" s="399"/>
      <c r="DX61" s="399"/>
      <c r="DY61" s="399"/>
      <c r="DZ61" s="399"/>
      <c r="EA61" s="399"/>
      <c r="EB61" s="399"/>
      <c r="EC61" s="399"/>
      <c r="ED61" s="399"/>
      <c r="EE61" s="399"/>
      <c r="EF61" s="399"/>
      <c r="EG61" s="399"/>
      <c r="EH61" s="399"/>
      <c r="EI61" s="399"/>
      <c r="EJ61" s="399"/>
      <c r="EK61" s="399"/>
      <c r="EL61" s="399"/>
      <c r="EM61" s="399"/>
      <c r="EN61" s="399"/>
      <c r="EO61" s="399"/>
      <c r="EP61" s="399"/>
      <c r="EQ61" s="399"/>
      <c r="ER61" s="399"/>
      <c r="ES61" s="399"/>
      <c r="ET61" s="399"/>
      <c r="EU61" s="399"/>
      <c r="EV61" s="399"/>
      <c r="EW61" s="399"/>
      <c r="EX61" s="399"/>
      <c r="EY61" s="399"/>
      <c r="EZ61" s="399"/>
      <c r="FA61" s="399"/>
      <c r="FB61" s="399"/>
    </row>
    <row r="62" spans="27:158" ht="15">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99"/>
      <c r="DF62" s="399"/>
      <c r="DG62" s="399"/>
      <c r="DH62" s="399"/>
      <c r="DI62" s="399"/>
      <c r="DJ62" s="399"/>
      <c r="DK62" s="399"/>
      <c r="DL62" s="399"/>
      <c r="DM62" s="399"/>
      <c r="DN62" s="399"/>
      <c r="DO62" s="399"/>
      <c r="DP62" s="399"/>
      <c r="DQ62" s="399"/>
      <c r="DR62" s="399"/>
      <c r="DS62" s="399"/>
      <c r="DT62" s="399"/>
      <c r="DU62" s="399"/>
      <c r="DV62" s="399"/>
      <c r="DW62" s="399"/>
      <c r="DX62" s="399"/>
      <c r="DY62" s="399"/>
      <c r="DZ62" s="399"/>
      <c r="EA62" s="399"/>
      <c r="EB62" s="399"/>
      <c r="EC62" s="399"/>
      <c r="ED62" s="399"/>
      <c r="EE62" s="399"/>
      <c r="EF62" s="399"/>
      <c r="EG62" s="399"/>
      <c r="EH62" s="399"/>
      <c r="EI62" s="399"/>
      <c r="EJ62" s="399"/>
      <c r="EK62" s="399"/>
      <c r="EL62" s="399"/>
      <c r="EM62" s="399"/>
      <c r="EN62" s="399"/>
      <c r="EO62" s="399"/>
      <c r="EP62" s="399"/>
      <c r="EQ62" s="399"/>
      <c r="ER62" s="399"/>
      <c r="ES62" s="399"/>
      <c r="ET62" s="399"/>
      <c r="EU62" s="399"/>
      <c r="EV62" s="399"/>
      <c r="EW62" s="399"/>
      <c r="EX62" s="399"/>
      <c r="EY62" s="399"/>
      <c r="EZ62" s="399"/>
      <c r="FA62" s="399"/>
      <c r="FB62" s="399"/>
    </row>
    <row r="63" spans="27:158" ht="15">
      <c r="AA63" s="399"/>
      <c r="AB63" s="399"/>
      <c r="AC63" s="399"/>
      <c r="AD63" s="399"/>
      <c r="AE63" s="399"/>
      <c r="AF63" s="399"/>
      <c r="AG63" s="399"/>
      <c r="AH63" s="399"/>
      <c r="AI63" s="399"/>
      <c r="AJ63" s="399"/>
      <c r="AK63" s="399"/>
      <c r="AL63" s="399"/>
      <c r="AM63" s="399"/>
      <c r="AN63" s="399"/>
      <c r="AO63" s="399"/>
      <c r="AP63" s="399"/>
      <c r="AQ63" s="399"/>
      <c r="AR63" s="399"/>
      <c r="AS63" s="399"/>
      <c r="AT63" s="399"/>
      <c r="AU63" s="399"/>
      <c r="AV63" s="399"/>
      <c r="AW63" s="399"/>
      <c r="AX63" s="399"/>
      <c r="AY63" s="399"/>
      <c r="AZ63" s="399"/>
      <c r="BA63" s="399"/>
      <c r="BB63" s="399"/>
      <c r="BC63" s="399"/>
      <c r="BD63" s="399"/>
      <c r="BE63" s="399"/>
      <c r="BF63" s="399"/>
      <c r="BG63" s="399"/>
      <c r="BH63" s="399"/>
      <c r="BI63" s="399"/>
      <c r="BJ63" s="399"/>
      <c r="BK63" s="399"/>
      <c r="BL63" s="399"/>
      <c r="BM63" s="399"/>
      <c r="BN63" s="399"/>
      <c r="BO63" s="399"/>
      <c r="BP63" s="399"/>
      <c r="BQ63" s="399"/>
      <c r="BR63" s="399"/>
      <c r="BS63" s="399"/>
      <c r="BT63" s="399"/>
      <c r="BU63" s="399"/>
      <c r="BV63" s="399"/>
      <c r="BW63" s="399"/>
      <c r="BX63" s="399"/>
      <c r="BY63" s="399"/>
      <c r="BZ63" s="399"/>
      <c r="CA63" s="399"/>
      <c r="CB63" s="399"/>
      <c r="CC63" s="399"/>
      <c r="CD63" s="399"/>
      <c r="CE63" s="399"/>
      <c r="CF63" s="399"/>
      <c r="CG63" s="399"/>
      <c r="CH63" s="399"/>
      <c r="CI63" s="399"/>
      <c r="CJ63" s="399"/>
      <c r="CK63" s="399"/>
      <c r="CL63" s="399"/>
      <c r="CM63" s="399"/>
      <c r="CN63" s="399"/>
      <c r="CO63" s="399"/>
      <c r="CP63" s="399"/>
      <c r="CQ63" s="399"/>
      <c r="CR63" s="399"/>
      <c r="CS63" s="399"/>
      <c r="CT63" s="399"/>
      <c r="CU63" s="399"/>
      <c r="CV63" s="399"/>
      <c r="CW63" s="399"/>
      <c r="CX63" s="399"/>
      <c r="CY63" s="399"/>
      <c r="CZ63" s="399"/>
      <c r="DA63" s="399"/>
      <c r="DB63" s="399"/>
      <c r="DC63" s="399"/>
      <c r="DD63" s="399"/>
      <c r="DE63" s="399"/>
      <c r="DF63" s="399"/>
      <c r="DG63" s="399"/>
      <c r="DH63" s="399"/>
      <c r="DI63" s="399"/>
      <c r="DJ63" s="399"/>
      <c r="DK63" s="399"/>
      <c r="DL63" s="399"/>
      <c r="DM63" s="399"/>
      <c r="DN63" s="399"/>
      <c r="DO63" s="399"/>
      <c r="DP63" s="399"/>
      <c r="DQ63" s="399"/>
      <c r="DR63" s="399"/>
      <c r="DS63" s="399"/>
      <c r="DT63" s="399"/>
      <c r="DU63" s="399"/>
      <c r="DV63" s="399"/>
      <c r="DW63" s="399"/>
      <c r="DX63" s="399"/>
      <c r="DY63" s="399"/>
      <c r="DZ63" s="399"/>
      <c r="EA63" s="399"/>
      <c r="EB63" s="399"/>
      <c r="EC63" s="399"/>
      <c r="ED63" s="399"/>
      <c r="EE63" s="399"/>
      <c r="EF63" s="399"/>
      <c r="EG63" s="399"/>
      <c r="EH63" s="399"/>
      <c r="EI63" s="399"/>
      <c r="EJ63" s="399"/>
      <c r="EK63" s="399"/>
      <c r="EL63" s="399"/>
      <c r="EM63" s="399"/>
      <c r="EN63" s="399"/>
      <c r="EO63" s="399"/>
      <c r="EP63" s="399"/>
      <c r="EQ63" s="399"/>
      <c r="ER63" s="399"/>
      <c r="ES63" s="399"/>
      <c r="ET63" s="399"/>
      <c r="EU63" s="399"/>
      <c r="EV63" s="399"/>
      <c r="EW63" s="399"/>
      <c r="EX63" s="399"/>
      <c r="EY63" s="399"/>
      <c r="EZ63" s="399"/>
      <c r="FA63" s="399"/>
      <c r="FB63" s="399"/>
    </row>
    <row r="64" spans="27:158" ht="15">
      <c r="AA64" s="399"/>
      <c r="AB64" s="399"/>
      <c r="AC64" s="399"/>
      <c r="AD64" s="399"/>
      <c r="AE64" s="399"/>
      <c r="AF64" s="399"/>
      <c r="AG64" s="399"/>
      <c r="AH64" s="399"/>
      <c r="AI64" s="399"/>
      <c r="AJ64" s="399"/>
      <c r="AK64" s="399"/>
      <c r="AL64" s="399"/>
      <c r="AM64" s="399"/>
      <c r="AN64" s="399"/>
      <c r="AO64" s="399"/>
      <c r="AP64" s="399"/>
      <c r="AQ64" s="399"/>
      <c r="AR64" s="399"/>
      <c r="AS64" s="399"/>
      <c r="AT64" s="399"/>
      <c r="AU64" s="399"/>
      <c r="AV64" s="399"/>
      <c r="AW64" s="399"/>
      <c r="AX64" s="399"/>
      <c r="AY64" s="399"/>
      <c r="AZ64" s="399"/>
      <c r="BA64" s="399"/>
      <c r="BB64" s="399"/>
      <c r="BC64" s="399"/>
      <c r="BD64" s="399"/>
      <c r="BE64" s="399"/>
      <c r="BF64" s="399"/>
      <c r="BG64" s="399"/>
      <c r="BH64" s="399"/>
      <c r="BI64" s="399"/>
      <c r="BJ64" s="399"/>
      <c r="BK64" s="399"/>
      <c r="BL64" s="399"/>
      <c r="BM64" s="399"/>
      <c r="BN64" s="399"/>
      <c r="BO64" s="399"/>
      <c r="BP64" s="399"/>
      <c r="BQ64" s="399"/>
      <c r="BR64" s="399"/>
      <c r="BS64" s="399"/>
      <c r="BT64" s="399"/>
      <c r="BU64" s="399"/>
      <c r="BV64" s="399"/>
      <c r="BW64" s="399"/>
      <c r="BX64" s="399"/>
      <c r="BY64" s="399"/>
      <c r="BZ64" s="399"/>
      <c r="CA64" s="399"/>
      <c r="CB64" s="399"/>
      <c r="CC64" s="399"/>
      <c r="CD64" s="399"/>
      <c r="CE64" s="399"/>
      <c r="CF64" s="399"/>
      <c r="CG64" s="399"/>
      <c r="CH64" s="399"/>
      <c r="CI64" s="399"/>
      <c r="CJ64" s="399"/>
      <c r="CK64" s="399"/>
      <c r="CL64" s="399"/>
      <c r="CM64" s="399"/>
      <c r="CN64" s="399"/>
      <c r="CO64" s="399"/>
      <c r="CP64" s="399"/>
      <c r="CQ64" s="399"/>
      <c r="CR64" s="399"/>
      <c r="CS64" s="399"/>
      <c r="CT64" s="399"/>
      <c r="CU64" s="399"/>
      <c r="CV64" s="399"/>
      <c r="CW64" s="399"/>
      <c r="CX64" s="399"/>
      <c r="CY64" s="399"/>
      <c r="CZ64" s="399"/>
      <c r="DA64" s="399"/>
      <c r="DB64" s="399"/>
      <c r="DC64" s="399"/>
      <c r="DD64" s="399"/>
      <c r="DE64" s="399"/>
      <c r="DF64" s="399"/>
      <c r="DG64" s="399"/>
      <c r="DH64" s="399"/>
      <c r="DI64" s="399"/>
      <c r="DJ64" s="399"/>
      <c r="DK64" s="399"/>
      <c r="DL64" s="399"/>
      <c r="DM64" s="399"/>
      <c r="DN64" s="399"/>
      <c r="DO64" s="399"/>
      <c r="DP64" s="399"/>
      <c r="DQ64" s="399"/>
      <c r="DR64" s="399"/>
      <c r="DS64" s="399"/>
      <c r="DT64" s="399"/>
      <c r="DU64" s="399"/>
      <c r="DV64" s="399"/>
      <c r="DW64" s="399"/>
      <c r="DX64" s="399"/>
      <c r="DY64" s="399"/>
      <c r="DZ64" s="399"/>
      <c r="EA64" s="399"/>
      <c r="EB64" s="399"/>
      <c r="EC64" s="399"/>
      <c r="ED64" s="399"/>
      <c r="EE64" s="399"/>
      <c r="EF64" s="399"/>
      <c r="EG64" s="399"/>
      <c r="EH64" s="399"/>
      <c r="EI64" s="399"/>
      <c r="EJ64" s="399"/>
      <c r="EK64" s="399"/>
      <c r="EL64" s="399"/>
      <c r="EM64" s="399"/>
      <c r="EN64" s="399"/>
      <c r="EO64" s="399"/>
      <c r="EP64" s="399"/>
      <c r="EQ64" s="399"/>
      <c r="ER64" s="399"/>
      <c r="ES64" s="399"/>
      <c r="ET64" s="399"/>
      <c r="EU64" s="399"/>
      <c r="EV64" s="399"/>
      <c r="EW64" s="399"/>
      <c r="EX64" s="399"/>
      <c r="EY64" s="399"/>
      <c r="EZ64" s="399"/>
      <c r="FA64" s="399"/>
      <c r="FB64" s="399"/>
    </row>
  </sheetData>
  <sheetProtection/>
  <mergeCells count="3">
    <mergeCell ref="A5:E5"/>
    <mergeCell ref="A6:E6"/>
    <mergeCell ref="A7:E7"/>
  </mergeCells>
  <printOptions/>
  <pageMargins left="0.75" right="0.75" top="0.5" bottom="0.5" header="0.25" footer="0.5"/>
  <pageSetup fitToHeight="1" fitToWidth="1" horizontalDpi="600" verticalDpi="600" orientation="landscape" paperSize="5" scale="59" r:id="rId1"/>
</worksheet>
</file>

<file path=xl/worksheets/sheet2.xml><?xml version="1.0" encoding="utf-8"?>
<worksheet xmlns="http://schemas.openxmlformats.org/spreadsheetml/2006/main" xmlns:r="http://schemas.openxmlformats.org/officeDocument/2006/relationships">
  <sheetPr codeName="Sheet18"/>
  <dimension ref="A1:A1"/>
  <sheetViews>
    <sheetView showGridLines="0" showRowColHeaders="0" tabSelected="1" showOutlineSymbols="0" defaultGridColor="0" zoomScalePageLayoutView="0" colorId="58" workbookViewId="0" topLeftCell="A1">
      <selection activeCell="O35" sqref="O35"/>
    </sheetView>
  </sheetViews>
  <sheetFormatPr defaultColWidth="7.10546875" defaultRowHeight="15"/>
  <cols>
    <col min="1" max="3" width="7.10546875" style="3" customWidth="1"/>
    <col min="4" max="4" width="4.3359375" style="3" customWidth="1"/>
    <col min="5" max="16384" width="7.10546875" style="3" customWidth="1"/>
  </cols>
  <sheetData/>
  <sheetProtection/>
  <printOptions/>
  <pageMargins left="0.75" right="0.75" top="1" bottom="1" header="0.5" footer="0.5"/>
  <pageSetup horizontalDpi="600" verticalDpi="600" orientation="portrait" r:id="rId2"/>
  <headerFooter alignWithMargins="0">
    <oddFooter>&amp;C&amp;"Arial,Bold"&amp;11This memorandum contains advisory, consultative and deliberative materials and is intended for the person(s) named as recipient(s).
</oddFooter>
  </headerFooter>
  <drawing r:id="rId1"/>
</worksheet>
</file>

<file path=xl/worksheets/sheet3.xml><?xml version="1.0" encoding="utf-8"?>
<worksheet xmlns="http://schemas.openxmlformats.org/spreadsheetml/2006/main" xmlns:r="http://schemas.openxmlformats.org/officeDocument/2006/relationships">
  <sheetPr codeName="Sheet3"/>
  <dimension ref="A1:W756"/>
  <sheetViews>
    <sheetView showGridLines="0" showZeros="0" zoomScale="75" zoomScaleNormal="75" workbookViewId="0" topLeftCell="A1">
      <selection activeCell="A2" sqref="A2:J2"/>
    </sheetView>
  </sheetViews>
  <sheetFormatPr defaultColWidth="12.4453125" defaultRowHeight="15"/>
  <cols>
    <col min="1" max="1" width="10.4453125" style="9" customWidth="1"/>
    <col min="2" max="2" width="13.77734375" style="4" customWidth="1"/>
    <col min="3" max="3" width="12.10546875" style="4" customWidth="1"/>
    <col min="4" max="4" width="12.6640625" style="4" customWidth="1"/>
    <col min="5" max="6" width="15.6640625" style="4" customWidth="1"/>
    <col min="7" max="7" width="16.10546875" style="4" customWidth="1"/>
    <col min="8" max="8" width="14.6640625" style="4" customWidth="1"/>
    <col min="9" max="9" width="12.99609375" style="4" customWidth="1"/>
    <col min="10" max="10" width="14.99609375" style="4" customWidth="1"/>
    <col min="11" max="11" width="12.4453125" style="7" hidden="1" customWidth="1"/>
    <col min="12" max="12" width="11.21484375" style="7" hidden="1" customWidth="1"/>
    <col min="13" max="13" width="22.3359375" style="7" hidden="1" customWidth="1"/>
    <col min="14" max="14" width="15.10546875" style="7" hidden="1" customWidth="1"/>
    <col min="15" max="15" width="35.5546875" style="7" hidden="1" customWidth="1"/>
    <col min="16" max="16" width="26.6640625" style="8" hidden="1" customWidth="1"/>
    <col min="17" max="17" width="12.5546875" style="8" hidden="1" customWidth="1"/>
    <col min="18" max="18" width="16.99609375" style="7" hidden="1" customWidth="1"/>
    <col min="19" max="19" width="59.6640625" style="4" customWidth="1"/>
    <col min="20" max="21" width="11.21484375" style="4" customWidth="1"/>
    <col min="22" max="204" width="12.4453125" style="4" customWidth="1"/>
    <col min="205" max="205" width="1.88671875" style="4" customWidth="1"/>
    <col min="206" max="16384" width="12.4453125" style="4" customWidth="1"/>
  </cols>
  <sheetData>
    <row r="1" spans="1:17" ht="17.25">
      <c r="A1" s="488"/>
      <c r="P1" s="8" t="s">
        <v>1228</v>
      </c>
      <c r="Q1" s="8" t="s">
        <v>1229</v>
      </c>
    </row>
    <row r="2" spans="1:17" ht="22.5">
      <c r="A2" s="1532" t="s">
        <v>1232</v>
      </c>
      <c r="B2" s="1532"/>
      <c r="C2" s="1532"/>
      <c r="D2" s="1532"/>
      <c r="E2" s="1532"/>
      <c r="F2" s="1532"/>
      <c r="G2" s="1532"/>
      <c r="H2" s="1532"/>
      <c r="I2" s="1533"/>
      <c r="J2" s="1533"/>
      <c r="P2" s="8" t="s">
        <v>1230</v>
      </c>
      <c r="Q2" s="8" t="s">
        <v>1231</v>
      </c>
    </row>
    <row r="3" spans="1:17" ht="22.5" customHeight="1">
      <c r="A3" s="1534" t="s">
        <v>1588</v>
      </c>
      <c r="B3" s="1532"/>
      <c r="C3" s="1532"/>
      <c r="D3" s="1532"/>
      <c r="E3" s="1532"/>
      <c r="F3" s="1532"/>
      <c r="G3" s="1532"/>
      <c r="H3" s="1532"/>
      <c r="I3" s="1532"/>
      <c r="J3" s="1532"/>
      <c r="M3" s="7" t="s">
        <v>1233</v>
      </c>
      <c r="O3" s="7" t="s">
        <v>1234</v>
      </c>
      <c r="P3" s="8" t="s">
        <v>1235</v>
      </c>
      <c r="Q3" s="8" t="s">
        <v>1236</v>
      </c>
    </row>
    <row r="4" spans="1:17" ht="24.75" customHeight="1">
      <c r="A4" s="1548" t="s">
        <v>1590</v>
      </c>
      <c r="B4" s="1548"/>
      <c r="C4" s="1548"/>
      <c r="D4" s="1548"/>
      <c r="E4" s="1548"/>
      <c r="F4" s="1548"/>
      <c r="G4" s="1548"/>
      <c r="H4" s="1548"/>
      <c r="J4" s="10"/>
      <c r="M4" s="7" t="s">
        <v>1237</v>
      </c>
      <c r="P4" s="8" t="s">
        <v>1238</v>
      </c>
      <c r="Q4" s="8" t="s">
        <v>1241</v>
      </c>
    </row>
    <row r="5" spans="3:18" s="11" customFormat="1" ht="22.5">
      <c r="C5" s="1413" t="s">
        <v>637</v>
      </c>
      <c r="D5" s="1411"/>
      <c r="F5" s="1412" t="s">
        <v>1589</v>
      </c>
      <c r="G5" s="1410"/>
      <c r="J5" s="12"/>
      <c r="K5" s="13"/>
      <c r="L5" s="13"/>
      <c r="M5" s="13" t="s">
        <v>1242</v>
      </c>
      <c r="N5" s="13"/>
      <c r="O5" s="13"/>
      <c r="P5" s="14" t="s">
        <v>1243</v>
      </c>
      <c r="Q5" s="14" t="s">
        <v>1244</v>
      </c>
      <c r="R5" s="13"/>
    </row>
    <row r="6" spans="1:17" ht="15.75" customHeight="1">
      <c r="A6" s="289"/>
      <c r="B6" s="4" t="s">
        <v>660</v>
      </c>
      <c r="C6" s="564"/>
      <c r="D6" s="813"/>
      <c r="E6" s="815"/>
      <c r="M6" s="7" t="s">
        <v>1245</v>
      </c>
      <c r="P6" s="8" t="s">
        <v>1246</v>
      </c>
      <c r="Q6" s="8" t="s">
        <v>1247</v>
      </c>
    </row>
    <row r="7" spans="1:17" ht="15">
      <c r="A7" s="828"/>
      <c r="B7" s="4" t="s">
        <v>1252</v>
      </c>
      <c r="C7" s="564"/>
      <c r="D7" s="1414" t="s">
        <v>1199</v>
      </c>
      <c r="E7" s="814"/>
      <c r="F7" s="15" t="s">
        <v>1248</v>
      </c>
      <c r="G7" s="1537"/>
      <c r="H7" s="1537"/>
      <c r="I7" s="1007"/>
      <c r="J7" s="1008"/>
      <c r="M7" s="7" t="s">
        <v>1249</v>
      </c>
      <c r="P7" s="8" t="s">
        <v>1250</v>
      </c>
      <c r="Q7" s="8" t="s">
        <v>1251</v>
      </c>
    </row>
    <row r="8" spans="1:17" ht="15">
      <c r="A8" s="289"/>
      <c r="B8" s="4" t="s">
        <v>658</v>
      </c>
      <c r="C8" s="564"/>
      <c r="D8" s="15" t="s">
        <v>1198</v>
      </c>
      <c r="E8" s="816"/>
      <c r="F8" s="15" t="s">
        <v>1253</v>
      </c>
      <c r="G8" s="1543"/>
      <c r="H8" s="1543"/>
      <c r="I8" s="1007"/>
      <c r="J8" s="1008"/>
      <c r="M8" s="7" t="s">
        <v>1254</v>
      </c>
      <c r="P8" s="8" t="s">
        <v>1255</v>
      </c>
      <c r="Q8" s="8" t="s">
        <v>1256</v>
      </c>
    </row>
    <row r="9" spans="1:17" ht="15">
      <c r="A9" s="289"/>
      <c r="B9" s="4" t="s">
        <v>1272</v>
      </c>
      <c r="C9" s="564"/>
      <c r="D9" s="1010" t="s">
        <v>446</v>
      </c>
      <c r="E9" s="817"/>
      <c r="F9" s="15" t="s">
        <v>1258</v>
      </c>
      <c r="G9" s="1544"/>
      <c r="H9" s="1544"/>
      <c r="M9" s="7" t="s">
        <v>1259</v>
      </c>
      <c r="P9" s="8" t="s">
        <v>1260</v>
      </c>
      <c r="Q9" s="8" t="s">
        <v>1261</v>
      </c>
    </row>
    <row r="10" spans="1:17" ht="15">
      <c r="A10" s="289"/>
      <c r="B10" s="4" t="s">
        <v>659</v>
      </c>
      <c r="C10" s="564"/>
      <c r="D10" s="1010" t="s">
        <v>446</v>
      </c>
      <c r="E10" s="817"/>
      <c r="F10" s="15" t="s">
        <v>1262</v>
      </c>
      <c r="G10" s="1539"/>
      <c r="H10" s="1539"/>
      <c r="I10" s="16"/>
      <c r="M10" s="7" t="s">
        <v>1263</v>
      </c>
      <c r="P10" s="8" t="s">
        <v>1265</v>
      </c>
      <c r="Q10" s="8" t="s">
        <v>1266</v>
      </c>
    </row>
    <row r="11" spans="1:17" ht="15">
      <c r="A11" s="289"/>
      <c r="B11" s="4" t="s">
        <v>1257</v>
      </c>
      <c r="C11" s="564"/>
      <c r="E11" s="1009"/>
      <c r="F11" s="44"/>
      <c r="G11" s="19"/>
      <c r="H11" s="19"/>
      <c r="M11" s="7" t="s">
        <v>1267</v>
      </c>
      <c r="P11" s="8" t="s">
        <v>1268</v>
      </c>
      <c r="Q11" s="8" t="s">
        <v>1269</v>
      </c>
    </row>
    <row r="12" spans="1:17" ht="15">
      <c r="A12" s="45"/>
      <c r="C12" s="1537"/>
      <c r="D12" s="1537"/>
      <c r="E12" s="1538"/>
      <c r="F12" s="1538"/>
      <c r="G12" s="1538"/>
      <c r="I12" s="1542"/>
      <c r="J12" s="1542"/>
      <c r="M12" s="7" t="s">
        <v>1270</v>
      </c>
      <c r="P12" s="8" t="s">
        <v>1271</v>
      </c>
      <c r="Q12" s="8" t="s">
        <v>1273</v>
      </c>
    </row>
    <row r="13" spans="3:17" ht="15">
      <c r="C13" s="1546" t="s">
        <v>708</v>
      </c>
      <c r="D13" s="1547"/>
      <c r="E13" s="1547"/>
      <c r="F13" s="1547"/>
      <c r="G13" s="1547"/>
      <c r="M13" s="7" t="s">
        <v>1274</v>
      </c>
      <c r="P13" s="8" t="s">
        <v>1275</v>
      </c>
      <c r="Q13" s="8" t="s">
        <v>1276</v>
      </c>
    </row>
    <row r="14" spans="3:17" ht="15">
      <c r="C14" s="1539"/>
      <c r="D14" s="1539"/>
      <c r="E14" s="1540"/>
      <c r="F14" s="1540"/>
      <c r="G14" s="1540"/>
      <c r="H14" s="15" t="s">
        <v>859</v>
      </c>
      <c r="I14" s="1559"/>
      <c r="J14" s="1559"/>
      <c r="M14" s="7" t="s">
        <v>1277</v>
      </c>
      <c r="P14" s="8" t="s">
        <v>1278</v>
      </c>
      <c r="Q14" s="8" t="s">
        <v>1279</v>
      </c>
    </row>
    <row r="15" spans="3:17" ht="15">
      <c r="C15" s="1546" t="s">
        <v>654</v>
      </c>
      <c r="D15" s="1546"/>
      <c r="E15" s="1546"/>
      <c r="F15" s="1546"/>
      <c r="G15" s="1546"/>
      <c r="M15" s="7" t="s">
        <v>1280</v>
      </c>
      <c r="P15" s="8" t="s">
        <v>1281</v>
      </c>
      <c r="Q15" s="8" t="s">
        <v>1282</v>
      </c>
    </row>
    <row r="16" spans="13:17" ht="15">
      <c r="M16" s="7" t="s">
        <v>1283</v>
      </c>
      <c r="P16" s="8" t="s">
        <v>1284</v>
      </c>
      <c r="Q16" s="8" t="s">
        <v>1285</v>
      </c>
    </row>
    <row r="17" spans="1:17" ht="15">
      <c r="A17" s="9" t="s">
        <v>1286</v>
      </c>
      <c r="B17" s="1541"/>
      <c r="C17" s="1539"/>
      <c r="D17" s="1540"/>
      <c r="E17" s="4" t="s">
        <v>1287</v>
      </c>
      <c r="F17" s="1545"/>
      <c r="G17" s="1545"/>
      <c r="H17" s="4" t="s">
        <v>1288</v>
      </c>
      <c r="I17" s="1536"/>
      <c r="J17" s="1536"/>
      <c r="M17" s="7" t="s">
        <v>1289</v>
      </c>
      <c r="P17" s="8" t="s">
        <v>1290</v>
      </c>
      <c r="Q17" s="8" t="s">
        <v>1291</v>
      </c>
    </row>
    <row r="18" spans="1:17" ht="15">
      <c r="A18" s="9" t="s">
        <v>1292</v>
      </c>
      <c r="B18" s="1541"/>
      <c r="C18" s="1539"/>
      <c r="D18" s="1540"/>
      <c r="F18" s="1539"/>
      <c r="G18" s="1539"/>
      <c r="I18" s="1536"/>
      <c r="J18" s="1536"/>
      <c r="M18" s="7" t="s">
        <v>1293</v>
      </c>
      <c r="P18" s="8" t="s">
        <v>1294</v>
      </c>
      <c r="Q18" s="8" t="s">
        <v>1295</v>
      </c>
    </row>
    <row r="19" spans="3:17" ht="15">
      <c r="C19" s="19"/>
      <c r="D19" s="19"/>
      <c r="F19" s="19"/>
      <c r="I19" s="20"/>
      <c r="M19" s="7" t="s">
        <v>1296</v>
      </c>
      <c r="P19" s="8" t="s">
        <v>1297</v>
      </c>
      <c r="Q19" s="8" t="s">
        <v>1298</v>
      </c>
    </row>
    <row r="20" spans="1:17" ht="15">
      <c r="A20" s="21" t="s">
        <v>677</v>
      </c>
      <c r="E20" s="22" t="s">
        <v>1299</v>
      </c>
      <c r="I20" s="480" t="s">
        <v>1189</v>
      </c>
      <c r="J20" s="797"/>
      <c r="M20" s="7" t="s">
        <v>1300</v>
      </c>
      <c r="P20" s="8" t="s">
        <v>1301</v>
      </c>
      <c r="Q20" s="8" t="s">
        <v>1302</v>
      </c>
    </row>
    <row r="21" spans="1:17" ht="15">
      <c r="A21" s="25" t="s">
        <v>651</v>
      </c>
      <c r="B21" s="41"/>
      <c r="C21" s="41"/>
      <c r="D21" s="78"/>
      <c r="M21" s="7" t="s">
        <v>1303</v>
      </c>
      <c r="P21" s="8" t="s">
        <v>1304</v>
      </c>
      <c r="Q21" s="8" t="s">
        <v>1305</v>
      </c>
    </row>
    <row r="22" spans="1:17" ht="15">
      <c r="A22" s="9" t="s">
        <v>1306</v>
      </c>
      <c r="C22" s="828"/>
      <c r="E22" s="9" t="s">
        <v>1316</v>
      </c>
      <c r="G22" s="289"/>
      <c r="I22" s="938" t="s">
        <v>1514</v>
      </c>
      <c r="J22" s="359"/>
      <c r="M22" s="7" t="s">
        <v>1308</v>
      </c>
      <c r="P22" s="8" t="s">
        <v>1309</v>
      </c>
      <c r="Q22" s="8" t="s">
        <v>1310</v>
      </c>
    </row>
    <row r="23" spans="1:17" ht="15">
      <c r="A23" s="9" t="s">
        <v>1311</v>
      </c>
      <c r="C23" s="957"/>
      <c r="E23" s="9" t="s">
        <v>1322</v>
      </c>
      <c r="G23" s="289"/>
      <c r="I23" s="938" t="s">
        <v>1515</v>
      </c>
      <c r="J23" s="359"/>
      <c r="M23" s="7" t="s">
        <v>1313</v>
      </c>
      <c r="P23" s="8" t="s">
        <v>1314</v>
      </c>
      <c r="Q23" s="8" t="s">
        <v>1315</v>
      </c>
    </row>
    <row r="24" spans="1:17" ht="15">
      <c r="A24" s="21" t="s">
        <v>892</v>
      </c>
      <c r="C24" s="45"/>
      <c r="E24" s="4" t="s">
        <v>1185</v>
      </c>
      <c r="G24" s="957"/>
      <c r="M24" s="7" t="s">
        <v>1318</v>
      </c>
      <c r="N24" s="7" t="s">
        <v>1319</v>
      </c>
      <c r="P24" s="8" t="s">
        <v>1320</v>
      </c>
      <c r="Q24" s="8" t="s">
        <v>1321</v>
      </c>
    </row>
    <row r="25" spans="1:17" ht="15">
      <c r="A25" s="4" t="s">
        <v>890</v>
      </c>
      <c r="C25" s="354"/>
      <c r="E25" s="20" t="s">
        <v>1312</v>
      </c>
      <c r="G25" s="291"/>
      <c r="M25" s="7" t="s">
        <v>6</v>
      </c>
      <c r="P25" s="8" t="s">
        <v>7</v>
      </c>
      <c r="Q25" s="8" t="s">
        <v>8</v>
      </c>
    </row>
    <row r="26" spans="1:10" ht="15">
      <c r="A26" s="9" t="s">
        <v>891</v>
      </c>
      <c r="C26" s="355"/>
      <c r="E26" s="4" t="s">
        <v>1317</v>
      </c>
      <c r="G26" s="291"/>
      <c r="I26" s="480" t="s">
        <v>1182</v>
      </c>
      <c r="J26" s="26" t="s">
        <v>83</v>
      </c>
    </row>
    <row r="27" spans="1:10" ht="14.25" customHeight="1">
      <c r="A27" s="9" t="s">
        <v>1145</v>
      </c>
      <c r="C27" s="448"/>
      <c r="E27" s="4" t="s">
        <v>1323</v>
      </c>
      <c r="G27" s="291"/>
      <c r="I27" s="4" t="s">
        <v>916</v>
      </c>
      <c r="J27" s="811"/>
    </row>
    <row r="28" spans="3:10" ht="14.25" customHeight="1">
      <c r="C28" s="933"/>
      <c r="E28" s="942" t="s">
        <v>1188</v>
      </c>
      <c r="G28" s="932"/>
      <c r="I28" s="4" t="s">
        <v>1181</v>
      </c>
      <c r="J28" s="811"/>
    </row>
    <row r="29" spans="1:17" ht="15">
      <c r="A29" s="940" t="s">
        <v>12</v>
      </c>
      <c r="B29" s="16"/>
      <c r="C29" s="283"/>
      <c r="I29" s="4" t="s">
        <v>1183</v>
      </c>
      <c r="J29" s="450"/>
      <c r="M29" s="7" t="s">
        <v>9</v>
      </c>
      <c r="P29" s="8" t="s">
        <v>10</v>
      </c>
      <c r="Q29" s="8" t="s">
        <v>11</v>
      </c>
    </row>
    <row r="30" spans="1:17" ht="15">
      <c r="A30" s="941" t="s">
        <v>1513</v>
      </c>
      <c r="B30" s="16"/>
      <c r="C30" s="283"/>
      <c r="E30" s="22" t="s">
        <v>13</v>
      </c>
      <c r="J30" s="41" t="s">
        <v>1184</v>
      </c>
      <c r="M30" s="7" t="s">
        <v>17</v>
      </c>
      <c r="P30" s="8" t="s">
        <v>18</v>
      </c>
      <c r="Q30" s="8" t="s">
        <v>19</v>
      </c>
    </row>
    <row r="31" spans="1:17" ht="15">
      <c r="A31" s="941" t="s">
        <v>1467</v>
      </c>
      <c r="B31" s="16"/>
      <c r="C31" s="283"/>
      <c r="I31" s="15"/>
      <c r="J31" s="41"/>
      <c r="M31" s="7" t="s">
        <v>20</v>
      </c>
      <c r="P31" s="8" t="s">
        <v>21</v>
      </c>
      <c r="Q31" s="8" t="s">
        <v>22</v>
      </c>
    </row>
    <row r="32" spans="1:17" ht="15">
      <c r="A32" s="941" t="s">
        <v>1468</v>
      </c>
      <c r="B32" s="16"/>
      <c r="C32" s="907"/>
      <c r="E32" s="4" t="s">
        <v>23</v>
      </c>
      <c r="G32" s="283"/>
      <c r="M32" s="7" t="s">
        <v>24</v>
      </c>
      <c r="P32" s="8" t="s">
        <v>25</v>
      </c>
      <c r="Q32" s="8" t="s">
        <v>26</v>
      </c>
    </row>
    <row r="33" spans="1:17" ht="15">
      <c r="A33" s="9" t="s">
        <v>27</v>
      </c>
      <c r="C33" s="283"/>
      <c r="D33" s="4" t="s">
        <v>28</v>
      </c>
      <c r="E33" s="4" t="s">
        <v>29</v>
      </c>
      <c r="G33" s="574">
        <f>IF(F73&lt;&gt;0,+G32/F73,0)</f>
        <v>0</v>
      </c>
      <c r="H33" s="6" t="s">
        <v>30</v>
      </c>
      <c r="I33" s="21" t="s">
        <v>752</v>
      </c>
      <c r="P33" s="8" t="s">
        <v>31</v>
      </c>
      <c r="Q33" s="8" t="s">
        <v>32</v>
      </c>
    </row>
    <row r="34" spans="1:17" ht="15">
      <c r="A34" s="9" t="s">
        <v>33</v>
      </c>
      <c r="C34" s="283"/>
      <c r="D34" s="4" t="s">
        <v>28</v>
      </c>
      <c r="E34" s="22" t="s">
        <v>679</v>
      </c>
      <c r="H34" s="22" t="s">
        <v>893</v>
      </c>
      <c r="P34" s="8" t="s">
        <v>34</v>
      </c>
      <c r="Q34" s="8" t="s">
        <v>35</v>
      </c>
    </row>
    <row r="35" spans="3:17" ht="15">
      <c r="C35" s="19"/>
      <c r="E35" s="9" t="s">
        <v>661</v>
      </c>
      <c r="F35" s="828"/>
      <c r="H35" s="1558" t="s">
        <v>1545</v>
      </c>
      <c r="I35" s="1558"/>
      <c r="J35" s="301"/>
      <c r="P35" s="8" t="s">
        <v>36</v>
      </c>
      <c r="Q35" s="8" t="s">
        <v>37</v>
      </c>
    </row>
    <row r="36" spans="1:17" ht="15">
      <c r="A36" s="21" t="s">
        <v>678</v>
      </c>
      <c r="E36" s="9" t="s">
        <v>662</v>
      </c>
      <c r="F36" s="828"/>
      <c r="H36" s="942" t="s">
        <v>1583</v>
      </c>
      <c r="I36" s="943" t="s">
        <v>245</v>
      </c>
      <c r="J36" s="302"/>
      <c r="P36" s="8" t="s">
        <v>38</v>
      </c>
      <c r="Q36" s="8" t="s">
        <v>39</v>
      </c>
    </row>
    <row r="37" spans="5:17" ht="15">
      <c r="E37" s="22" t="s">
        <v>1186</v>
      </c>
      <c r="F37" s="487" t="s">
        <v>1187</v>
      </c>
      <c r="H37" s="944" t="s">
        <v>1584</v>
      </c>
      <c r="I37" s="16"/>
      <c r="J37" s="4">
        <f>IF(F72&lt;&gt;0,(J36/F72),0)</f>
        <v>0</v>
      </c>
      <c r="P37" s="8" t="s">
        <v>40</v>
      </c>
      <c r="Q37" s="8" t="s">
        <v>41</v>
      </c>
    </row>
    <row r="38" spans="1:17" ht="15">
      <c r="A38" s="9" t="s">
        <v>260</v>
      </c>
      <c r="C38" s="289"/>
      <c r="E38" s="481">
        <v>0.04</v>
      </c>
      <c r="F38" s="958"/>
      <c r="H38" s="1558" t="s">
        <v>1586</v>
      </c>
      <c r="I38" s="1558"/>
      <c r="J38" s="302"/>
      <c r="P38" s="8" t="s">
        <v>42</v>
      </c>
      <c r="Q38" s="8" t="s">
        <v>84</v>
      </c>
    </row>
    <row r="39" spans="1:17" ht="15">
      <c r="A39" s="9" t="s">
        <v>740</v>
      </c>
      <c r="C39" s="828"/>
      <c r="E39" s="481">
        <v>0.09</v>
      </c>
      <c r="F39" s="451"/>
      <c r="H39" s="16" t="s">
        <v>1206</v>
      </c>
      <c r="I39" s="943" t="s">
        <v>245</v>
      </c>
      <c r="J39" s="302"/>
      <c r="P39" s="8" t="s">
        <v>85</v>
      </c>
      <c r="Q39" s="8" t="s">
        <v>86</v>
      </c>
    </row>
    <row r="40" spans="1:17" ht="15">
      <c r="A40" s="9" t="s">
        <v>647</v>
      </c>
      <c r="C40" s="289"/>
      <c r="E40" s="15" t="s">
        <v>1188</v>
      </c>
      <c r="F40" s="451"/>
      <c r="H40" s="942" t="s">
        <v>1585</v>
      </c>
      <c r="I40" s="943" t="s">
        <v>245</v>
      </c>
      <c r="J40" s="302"/>
      <c r="P40" s="8" t="s">
        <v>87</v>
      </c>
      <c r="Q40" s="8" t="s">
        <v>88</v>
      </c>
    </row>
    <row r="41" spans="5:17" ht="15">
      <c r="E41" s="22" t="s">
        <v>1192</v>
      </c>
      <c r="H41" s="942" t="s">
        <v>1587</v>
      </c>
      <c r="I41" s="943"/>
      <c r="J41" s="1409">
        <f>IF(F76&lt;&gt;0,(J40/F76),0)</f>
        <v>0</v>
      </c>
      <c r="P41" s="8" t="s">
        <v>89</v>
      </c>
      <c r="Q41" s="8" t="s">
        <v>90</v>
      </c>
    </row>
    <row r="42" spans="5:17" ht="15">
      <c r="E42" s="114" t="s">
        <v>1193</v>
      </c>
      <c r="F42" s="959"/>
      <c r="H42" s="16" t="s">
        <v>1546</v>
      </c>
      <c r="I42" s="943" t="s">
        <v>245</v>
      </c>
      <c r="J42" s="302"/>
      <c r="P42" s="8" t="s">
        <v>92</v>
      </c>
      <c r="Q42" s="8" t="s">
        <v>93</v>
      </c>
    </row>
    <row r="43" spans="1:17" ht="15">
      <c r="A43" s="21" t="s">
        <v>91</v>
      </c>
      <c r="E43" s="114" t="s">
        <v>1194</v>
      </c>
      <c r="F43" s="451"/>
      <c r="H43" s="88"/>
      <c r="I43" s="95"/>
      <c r="J43" s="45"/>
      <c r="L43" s="7" t="s">
        <v>94</v>
      </c>
      <c r="M43" s="7" t="s">
        <v>95</v>
      </c>
      <c r="P43" s="8" t="s">
        <v>96</v>
      </c>
      <c r="Q43" s="8" t="s">
        <v>97</v>
      </c>
    </row>
    <row r="44" spans="5:17" ht="15">
      <c r="E44" s="939" t="s">
        <v>1567</v>
      </c>
      <c r="F44" s="451"/>
      <c r="G44" s="934"/>
      <c r="H44" s="88"/>
      <c r="I44" s="95"/>
      <c r="J44" s="45"/>
      <c r="L44" s="24"/>
      <c r="M44" s="7" t="s">
        <v>101</v>
      </c>
      <c r="P44" s="8" t="s">
        <v>102</v>
      </c>
      <c r="Q44" s="8" t="s">
        <v>103</v>
      </c>
    </row>
    <row r="45" spans="1:17" ht="15">
      <c r="A45" s="9" t="s">
        <v>98</v>
      </c>
      <c r="E45" s="23">
        <f>IF(F73&lt;&gt;0,(+H120+H121)/F73,0)</f>
        <v>0</v>
      </c>
      <c r="F45" s="4" t="s">
        <v>99</v>
      </c>
      <c r="H45" s="945">
        <f>IF(G73&lt;&gt;0,(+H120+H121)/G73,0)</f>
        <v>0</v>
      </c>
      <c r="I45" s="946" t="s">
        <v>100</v>
      </c>
      <c r="P45" s="8" t="s">
        <v>105</v>
      </c>
      <c r="Q45" s="8" t="s">
        <v>106</v>
      </c>
    </row>
    <row r="46" spans="1:17" ht="15">
      <c r="A46" s="9" t="s">
        <v>104</v>
      </c>
      <c r="E46" s="23">
        <f>IF(F73&lt;&gt;0,+J137/F73,0)</f>
        <v>0</v>
      </c>
      <c r="F46" s="4" t="s">
        <v>99</v>
      </c>
      <c r="H46" s="945">
        <f>IF(G73&lt;&gt;0,+J137/G73,0)</f>
        <v>0</v>
      </c>
      <c r="I46" s="16" t="s">
        <v>100</v>
      </c>
      <c r="P46" s="8" t="s">
        <v>108</v>
      </c>
      <c r="Q46" s="8" t="s">
        <v>109</v>
      </c>
    </row>
    <row r="47" spans="1:17" ht="15">
      <c r="A47" s="9" t="s">
        <v>107</v>
      </c>
      <c r="E47" s="23">
        <f>IF(AND(F73&lt;&gt;0,J215&lt;&gt;0),+J215/F73,0)</f>
        <v>0</v>
      </c>
      <c r="F47" s="4" t="s">
        <v>99</v>
      </c>
      <c r="H47" s="945">
        <f>IF(G73&lt;&gt;0,+J215/G73,0)</f>
        <v>0</v>
      </c>
      <c r="I47" s="16" t="s">
        <v>100</v>
      </c>
      <c r="P47" s="8" t="s">
        <v>110</v>
      </c>
      <c r="Q47" s="8" t="s">
        <v>111</v>
      </c>
    </row>
    <row r="48" spans="1:18" s="18" customFormat="1" ht="15">
      <c r="A48" s="26" t="s">
        <v>112</v>
      </c>
      <c r="C48" s="26" t="s">
        <v>113</v>
      </c>
      <c r="D48" s="26" t="s">
        <v>114</v>
      </c>
      <c r="E48" s="948" t="s">
        <v>1519</v>
      </c>
      <c r="G48" s="26" t="s">
        <v>115</v>
      </c>
      <c r="H48" s="947"/>
      <c r="I48" s="947"/>
      <c r="K48" s="330"/>
      <c r="L48" s="330"/>
      <c r="M48" s="330" t="s">
        <v>116</v>
      </c>
      <c r="N48" s="330"/>
      <c r="O48" s="330" t="s">
        <v>117</v>
      </c>
      <c r="P48" s="331" t="s">
        <v>118</v>
      </c>
      <c r="Q48" s="331" t="s">
        <v>121</v>
      </c>
      <c r="R48" s="330"/>
    </row>
    <row r="49" spans="1:18" s="18" customFormat="1" ht="15">
      <c r="A49" s="26" t="s">
        <v>122</v>
      </c>
      <c r="B49" s="26" t="s">
        <v>113</v>
      </c>
      <c r="C49" s="26" t="s">
        <v>123</v>
      </c>
      <c r="D49" s="26" t="s">
        <v>125</v>
      </c>
      <c r="E49" s="26" t="s">
        <v>126</v>
      </c>
      <c r="F49" s="26" t="s">
        <v>648</v>
      </c>
      <c r="G49" s="26" t="s">
        <v>854</v>
      </c>
      <c r="H49" s="948"/>
      <c r="I49" s="947"/>
      <c r="K49" s="330"/>
      <c r="L49" s="330"/>
      <c r="M49" s="330" t="s">
        <v>127</v>
      </c>
      <c r="N49" s="330"/>
      <c r="O49" s="330"/>
      <c r="P49" s="331" t="s">
        <v>128</v>
      </c>
      <c r="Q49" s="331" t="s">
        <v>129</v>
      </c>
      <c r="R49" s="330"/>
    </row>
    <row r="50" spans="1:18" s="18" customFormat="1" ht="15.75" thickBot="1">
      <c r="A50" s="26" t="s">
        <v>130</v>
      </c>
      <c r="B50" s="26" t="s">
        <v>131</v>
      </c>
      <c r="C50" s="26" t="s">
        <v>132</v>
      </c>
      <c r="D50" s="26" t="s">
        <v>133</v>
      </c>
      <c r="E50" s="26" t="s">
        <v>134</v>
      </c>
      <c r="F50" s="26" t="s">
        <v>1383</v>
      </c>
      <c r="G50" s="332" t="s">
        <v>855</v>
      </c>
      <c r="H50" s="948"/>
      <c r="I50" s="948"/>
      <c r="J50" s="947"/>
      <c r="K50" s="330"/>
      <c r="L50" s="330"/>
      <c r="M50" s="330"/>
      <c r="N50" s="330"/>
      <c r="O50" s="330"/>
      <c r="P50" s="331" t="s">
        <v>135</v>
      </c>
      <c r="Q50" s="331" t="s">
        <v>136</v>
      </c>
      <c r="R50" s="330"/>
    </row>
    <row r="51" spans="1:17" ht="15">
      <c r="A51" s="960"/>
      <c r="B51" s="961"/>
      <c r="C51" s="962"/>
      <c r="D51" s="963"/>
      <c r="E51" s="961"/>
      <c r="F51" s="957"/>
      <c r="G51" s="122">
        <f>E51*F51</f>
        <v>0</v>
      </c>
      <c r="H51" s="1522" t="s">
        <v>1508</v>
      </c>
      <c r="I51" s="1523"/>
      <c r="J51" s="925">
        <f>J215</f>
        <v>0</v>
      </c>
      <c r="P51" s="8" t="s">
        <v>137</v>
      </c>
      <c r="Q51" s="8" t="s">
        <v>138</v>
      </c>
    </row>
    <row r="52" spans="1:17" ht="15">
      <c r="A52" s="964"/>
      <c r="B52" s="965"/>
      <c r="C52" s="966"/>
      <c r="D52" s="967"/>
      <c r="E52" s="965"/>
      <c r="F52" s="956"/>
      <c r="G52" s="123">
        <f>E52*F52</f>
        <v>0</v>
      </c>
      <c r="H52" s="1524" t="s">
        <v>1509</v>
      </c>
      <c r="I52" s="1525"/>
      <c r="J52" s="926"/>
      <c r="M52" s="7" t="s">
        <v>139</v>
      </c>
      <c r="O52" s="28" t="s">
        <v>140</v>
      </c>
      <c r="P52" s="8" t="s">
        <v>141</v>
      </c>
      <c r="Q52" s="8" t="s">
        <v>142</v>
      </c>
    </row>
    <row r="53" spans="1:17" ht="15">
      <c r="A53" s="964"/>
      <c r="B53" s="965"/>
      <c r="C53" s="965"/>
      <c r="D53" s="967"/>
      <c r="E53" s="965"/>
      <c r="F53" s="956"/>
      <c r="G53" s="124">
        <f>E53*F53</f>
        <v>0</v>
      </c>
      <c r="H53" s="1526" t="s">
        <v>1510</v>
      </c>
      <c r="I53" s="1527"/>
      <c r="J53" s="927">
        <f>J179+SUM(J183:J191)</f>
        <v>0</v>
      </c>
      <c r="P53" s="8" t="s">
        <v>143</v>
      </c>
      <c r="Q53" s="8" t="s">
        <v>144</v>
      </c>
    </row>
    <row r="54" spans="1:17" ht="15">
      <c r="A54" s="964"/>
      <c r="B54" s="965"/>
      <c r="C54" s="965"/>
      <c r="D54" s="967"/>
      <c r="E54" s="965"/>
      <c r="F54" s="956"/>
      <c r="G54" s="124">
        <f>E54*F54</f>
        <v>0</v>
      </c>
      <c r="H54" s="1526" t="s">
        <v>1547</v>
      </c>
      <c r="I54" s="1527"/>
      <c r="J54" s="927">
        <f>Breakdown!H91+Breakdown!H92</f>
        <v>0</v>
      </c>
      <c r="M54" s="7" t="s">
        <v>145</v>
      </c>
      <c r="O54" s="28" t="s">
        <v>146</v>
      </c>
      <c r="P54" s="8" t="s">
        <v>147</v>
      </c>
      <c r="Q54" s="8" t="s">
        <v>148</v>
      </c>
    </row>
    <row r="55" spans="1:17" ht="15">
      <c r="A55" s="296"/>
      <c r="B55" s="293"/>
      <c r="C55" s="293"/>
      <c r="D55" s="586"/>
      <c r="E55" s="293"/>
      <c r="F55" s="290"/>
      <c r="G55" s="124">
        <f aca="true" t="shared" si="0" ref="G55:G68">E55*F55</f>
        <v>0</v>
      </c>
      <c r="H55" s="1526" t="s">
        <v>1511</v>
      </c>
      <c r="I55" s="1525"/>
      <c r="J55" s="931">
        <f>H126</f>
        <v>0</v>
      </c>
      <c r="P55" s="8" t="s">
        <v>149</v>
      </c>
      <c r="Q55" s="8" t="s">
        <v>150</v>
      </c>
    </row>
    <row r="56" spans="1:10" ht="15">
      <c r="A56" s="296"/>
      <c r="B56" s="293"/>
      <c r="C56" s="293"/>
      <c r="D56" s="586"/>
      <c r="E56" s="293"/>
      <c r="F56" s="290"/>
      <c r="G56" s="124">
        <f t="shared" si="0"/>
        <v>0</v>
      </c>
      <c r="H56" s="928"/>
      <c r="I56" s="929" t="s">
        <v>985</v>
      </c>
      <c r="J56" s="1394">
        <f>J51-(J53+J54+J55)</f>
        <v>0</v>
      </c>
    </row>
    <row r="57" spans="1:10" ht="15.75" thickBot="1">
      <c r="A57" s="296"/>
      <c r="B57" s="293"/>
      <c r="C57" s="293"/>
      <c r="D57" s="585"/>
      <c r="E57" s="293"/>
      <c r="F57" s="290"/>
      <c r="G57" s="124">
        <f t="shared" si="0"/>
        <v>0</v>
      </c>
      <c r="H57" s="1528" t="s">
        <v>1512</v>
      </c>
      <c r="I57" s="1529"/>
      <c r="J57" s="930">
        <f>IF(F73&lt;&gt;0,J56/F73,0)</f>
        <v>0</v>
      </c>
    </row>
    <row r="58" spans="1:10" ht="15">
      <c r="A58" s="296"/>
      <c r="B58" s="293"/>
      <c r="C58" s="293"/>
      <c r="D58" s="586"/>
      <c r="E58" s="293"/>
      <c r="F58" s="290"/>
      <c r="G58" s="124">
        <f t="shared" si="0"/>
        <v>0</v>
      </c>
      <c r="H58" s="568"/>
      <c r="I58" s="569"/>
      <c r="J58" s="44"/>
    </row>
    <row r="59" spans="1:10" ht="15">
      <c r="A59" s="296"/>
      <c r="B59" s="293"/>
      <c r="C59" s="293"/>
      <c r="D59" s="586"/>
      <c r="E59" s="293"/>
      <c r="F59" s="290"/>
      <c r="G59" s="124">
        <f t="shared" si="0"/>
        <v>0</v>
      </c>
      <c r="H59" s="568"/>
      <c r="I59" s="569"/>
      <c r="J59" s="44"/>
    </row>
    <row r="60" spans="1:10" ht="15">
      <c r="A60" s="296"/>
      <c r="B60" s="293"/>
      <c r="C60" s="293"/>
      <c r="D60" s="586"/>
      <c r="E60" s="293"/>
      <c r="F60" s="290"/>
      <c r="G60" s="124">
        <f t="shared" si="0"/>
        <v>0</v>
      </c>
      <c r="H60" s="568"/>
      <c r="I60" s="569"/>
      <c r="J60" s="44"/>
    </row>
    <row r="61" spans="1:10" ht="15">
      <c r="A61" s="296"/>
      <c r="B61" s="293"/>
      <c r="C61" s="293"/>
      <c r="D61" s="586"/>
      <c r="E61" s="293"/>
      <c r="F61" s="290"/>
      <c r="G61" s="124">
        <f t="shared" si="0"/>
        <v>0</v>
      </c>
      <c r="H61" s="568"/>
      <c r="I61" s="569"/>
      <c r="J61" s="44"/>
    </row>
    <row r="62" spans="1:10" ht="15">
      <c r="A62" s="296"/>
      <c r="B62" s="293"/>
      <c r="C62" s="293"/>
      <c r="D62" s="586"/>
      <c r="E62" s="293"/>
      <c r="F62" s="290"/>
      <c r="G62" s="124">
        <f t="shared" si="0"/>
        <v>0</v>
      </c>
      <c r="H62" s="568"/>
      <c r="I62" s="569"/>
      <c r="J62" s="44"/>
    </row>
    <row r="63" spans="1:10" ht="15">
      <c r="A63" s="296"/>
      <c r="B63" s="293"/>
      <c r="C63" s="293"/>
      <c r="D63" s="585"/>
      <c r="E63" s="293"/>
      <c r="F63" s="290"/>
      <c r="G63" s="124">
        <f t="shared" si="0"/>
        <v>0</v>
      </c>
      <c r="H63" s="568"/>
      <c r="I63" s="569"/>
      <c r="J63" s="44"/>
    </row>
    <row r="64" spans="1:10" ht="15">
      <c r="A64" s="296"/>
      <c r="B64" s="293"/>
      <c r="C64" s="293"/>
      <c r="D64" s="586"/>
      <c r="E64" s="293"/>
      <c r="F64" s="290"/>
      <c r="G64" s="124">
        <f t="shared" si="0"/>
        <v>0</v>
      </c>
      <c r="H64" s="568"/>
      <c r="I64" s="569"/>
      <c r="J64" s="44"/>
    </row>
    <row r="65" spans="1:17" ht="15">
      <c r="A65" s="296"/>
      <c r="B65" s="293"/>
      <c r="C65" s="293"/>
      <c r="D65" s="586"/>
      <c r="E65" s="293"/>
      <c r="F65" s="290"/>
      <c r="G65" s="124">
        <f t="shared" si="0"/>
        <v>0</v>
      </c>
      <c r="H65" s="568"/>
      <c r="I65" s="569"/>
      <c r="J65" s="44"/>
      <c r="M65" s="7" t="s">
        <v>151</v>
      </c>
      <c r="O65" s="7" t="s">
        <v>152</v>
      </c>
      <c r="P65" s="8" t="s">
        <v>153</v>
      </c>
      <c r="Q65" s="8" t="s">
        <v>154</v>
      </c>
    </row>
    <row r="66" spans="1:17" ht="15">
      <c r="A66" s="296"/>
      <c r="B66" s="293"/>
      <c r="C66" s="293"/>
      <c r="D66" s="586"/>
      <c r="E66" s="293"/>
      <c r="F66" s="290"/>
      <c r="G66" s="124">
        <f t="shared" si="0"/>
        <v>0</v>
      </c>
      <c r="H66" s="568"/>
      <c r="I66" s="569"/>
      <c r="J66" s="44"/>
      <c r="P66" s="8" t="s">
        <v>155</v>
      </c>
      <c r="Q66" s="8" t="s">
        <v>156</v>
      </c>
    </row>
    <row r="67" spans="1:17" ht="15">
      <c r="A67" s="296"/>
      <c r="B67" s="293"/>
      <c r="C67" s="293"/>
      <c r="D67" s="586"/>
      <c r="E67" s="293"/>
      <c r="F67" s="290"/>
      <c r="G67" s="124">
        <f t="shared" si="0"/>
        <v>0</v>
      </c>
      <c r="H67" s="568"/>
      <c r="I67" s="569"/>
      <c r="J67" s="44"/>
      <c r="O67" s="7" t="s">
        <v>157</v>
      </c>
      <c r="P67" s="8" t="s">
        <v>158</v>
      </c>
      <c r="Q67" s="8" t="s">
        <v>159</v>
      </c>
    </row>
    <row r="68" spans="1:10" ht="15">
      <c r="A68" s="949" t="s">
        <v>1516</v>
      </c>
      <c r="B68" s="950"/>
      <c r="C68" s="293"/>
      <c r="D68" s="586"/>
      <c r="E68" s="293"/>
      <c r="F68" s="290"/>
      <c r="G68" s="124">
        <f t="shared" si="0"/>
        <v>0</v>
      </c>
      <c r="H68" s="568"/>
      <c r="I68" s="569"/>
      <c r="J68" s="44"/>
    </row>
    <row r="69" spans="1:10" ht="15">
      <c r="A69" s="949" t="s">
        <v>1517</v>
      </c>
      <c r="B69" s="950"/>
      <c r="C69" s="483"/>
      <c r="D69" s="314"/>
      <c r="E69" s="290"/>
      <c r="F69" s="482"/>
      <c r="G69" s="294"/>
      <c r="H69" s="568"/>
      <c r="I69" s="569"/>
      <c r="J69" s="44"/>
    </row>
    <row r="70" spans="1:17" ht="15">
      <c r="A70" s="234" t="s">
        <v>874</v>
      </c>
      <c r="B70" s="235"/>
      <c r="C70" s="279"/>
      <c r="D70" s="280"/>
      <c r="E70" s="280"/>
      <c r="F70" s="281"/>
      <c r="G70" s="294"/>
      <c r="H70" s="568"/>
      <c r="I70" s="569"/>
      <c r="J70" s="44"/>
      <c r="P70" s="8" t="s">
        <v>160</v>
      </c>
      <c r="Q70" s="8" t="s">
        <v>161</v>
      </c>
    </row>
    <row r="71" spans="1:17" ht="15">
      <c r="A71" s="234" t="s">
        <v>873</v>
      </c>
      <c r="B71" s="235"/>
      <c r="C71" s="282"/>
      <c r="D71" s="283"/>
      <c r="E71" s="283"/>
      <c r="F71" s="284"/>
      <c r="G71" s="295"/>
      <c r="H71" s="568"/>
      <c r="I71" s="569"/>
      <c r="J71" s="44"/>
      <c r="M71" s="7" t="s">
        <v>162</v>
      </c>
      <c r="O71" s="7" t="s">
        <v>163</v>
      </c>
      <c r="P71" s="8" t="s">
        <v>164</v>
      </c>
      <c r="Q71" s="8" t="s">
        <v>165</v>
      </c>
    </row>
    <row r="72" spans="1:17" ht="15">
      <c r="A72" s="29"/>
      <c r="D72" s="19"/>
      <c r="E72" s="19"/>
      <c r="P72" s="8" t="s">
        <v>166</v>
      </c>
      <c r="Q72" s="8" t="s">
        <v>167</v>
      </c>
    </row>
    <row r="73" spans="1:17" ht="15">
      <c r="A73" s="25" t="s">
        <v>195</v>
      </c>
      <c r="B73" s="4">
        <f>SUM(B51:B68)</f>
        <v>0</v>
      </c>
      <c r="C73" s="4" t="s">
        <v>196</v>
      </c>
      <c r="E73" s="15" t="s">
        <v>197</v>
      </c>
      <c r="F73" s="575">
        <f>SUM(F51:F68)</f>
        <v>0</v>
      </c>
      <c r="G73" s="32">
        <f>SUM(G51:G71)</f>
        <v>0</v>
      </c>
      <c r="H73" s="4" t="s">
        <v>198</v>
      </c>
      <c r="I73" s="44"/>
      <c r="M73" s="7" t="s">
        <v>168</v>
      </c>
      <c r="P73" s="8" t="s">
        <v>169</v>
      </c>
      <c r="Q73" s="8" t="s">
        <v>170</v>
      </c>
    </row>
    <row r="74" spans="2:17" ht="15">
      <c r="B74" s="19"/>
      <c r="I74" s="44"/>
      <c r="O74" s="7" t="s">
        <v>171</v>
      </c>
      <c r="P74" s="8" t="s">
        <v>172</v>
      </c>
      <c r="Q74" s="8" t="s">
        <v>173</v>
      </c>
    </row>
    <row r="75" spans="1:17" ht="15">
      <c r="A75" s="840" t="s">
        <v>1534</v>
      </c>
      <c r="P75" s="8" t="s">
        <v>174</v>
      </c>
      <c r="Q75" s="8" t="s">
        <v>175</v>
      </c>
    </row>
    <row r="76" spans="1:17" ht="15">
      <c r="A76" s="9" t="s">
        <v>1195</v>
      </c>
      <c r="P76" s="8" t="s">
        <v>176</v>
      </c>
      <c r="Q76" s="8" t="s">
        <v>177</v>
      </c>
    </row>
    <row r="77" spans="1:17" ht="15">
      <c r="A77" s="6" t="s">
        <v>1201</v>
      </c>
      <c r="M77" s="7" t="s">
        <v>178</v>
      </c>
      <c r="O77" s="7" t="s">
        <v>179</v>
      </c>
      <c r="P77" s="8" t="s">
        <v>180</v>
      </c>
      <c r="Q77" s="8" t="s">
        <v>181</v>
      </c>
    </row>
    <row r="78" spans="1:17" ht="15">
      <c r="A78" s="941" t="s">
        <v>1518</v>
      </c>
      <c r="B78" s="16"/>
      <c r="C78" s="16"/>
      <c r="D78" s="16"/>
      <c r="E78" s="16"/>
      <c r="F78" s="16"/>
      <c r="P78" s="8" t="s">
        <v>186</v>
      </c>
      <c r="Q78" s="8" t="s">
        <v>187</v>
      </c>
    </row>
    <row r="79" spans="13:17" ht="15">
      <c r="M79" s="7" t="s">
        <v>188</v>
      </c>
      <c r="O79" s="7" t="s">
        <v>189</v>
      </c>
      <c r="P79" s="8" t="s">
        <v>190</v>
      </c>
      <c r="Q79" s="8" t="s">
        <v>191</v>
      </c>
    </row>
    <row r="80" spans="16:17" ht="15">
      <c r="P80" s="8" t="s">
        <v>192</v>
      </c>
      <c r="Q80" s="8" t="s">
        <v>193</v>
      </c>
    </row>
    <row r="81" spans="16:17" ht="15">
      <c r="P81" s="8" t="s">
        <v>194</v>
      </c>
      <c r="Q81" s="8" t="s">
        <v>200</v>
      </c>
    </row>
    <row r="82" spans="16:17" ht="15">
      <c r="P82" s="8" t="s">
        <v>201</v>
      </c>
      <c r="Q82" s="8" t="s">
        <v>202</v>
      </c>
    </row>
    <row r="83" spans="16:17" ht="15">
      <c r="P83" s="8" t="s">
        <v>203</v>
      </c>
      <c r="Q83" s="8" t="s">
        <v>204</v>
      </c>
    </row>
    <row r="84" spans="16:17" ht="15">
      <c r="P84" s="8" t="s">
        <v>205</v>
      </c>
      <c r="Q84" s="8" t="s">
        <v>206</v>
      </c>
    </row>
    <row r="85" spans="16:17" ht="15">
      <c r="P85" s="8" t="s">
        <v>207</v>
      </c>
      <c r="Q85" s="8" t="s">
        <v>208</v>
      </c>
    </row>
    <row r="86" spans="16:17" ht="15">
      <c r="P86" s="8" t="s">
        <v>209</v>
      </c>
      <c r="Q86" s="8" t="s">
        <v>210</v>
      </c>
    </row>
    <row r="87" spans="16:17" ht="15">
      <c r="P87" s="8" t="s">
        <v>211</v>
      </c>
      <c r="Q87" s="8" t="s">
        <v>212</v>
      </c>
    </row>
    <row r="88" spans="16:17" ht="15">
      <c r="P88" s="8" t="s">
        <v>213</v>
      </c>
      <c r="Q88" s="8" t="s">
        <v>214</v>
      </c>
    </row>
    <row r="89" spans="16:17" ht="15">
      <c r="P89" s="8" t="s">
        <v>215</v>
      </c>
      <c r="Q89" s="8" t="s">
        <v>216</v>
      </c>
    </row>
    <row r="90" spans="5:17" ht="15">
      <c r="E90" s="18"/>
      <c r="P90" s="8" t="s">
        <v>217</v>
      </c>
      <c r="Q90" s="8" t="s">
        <v>218</v>
      </c>
    </row>
    <row r="91" spans="16:17" ht="15">
      <c r="P91" s="8" t="s">
        <v>219</v>
      </c>
      <c r="Q91" s="8" t="s">
        <v>220</v>
      </c>
    </row>
    <row r="92" spans="16:17" ht="15">
      <c r="P92" s="8" t="s">
        <v>221</v>
      </c>
      <c r="Q92" s="8" t="s">
        <v>222</v>
      </c>
    </row>
    <row r="93" spans="1:17" ht="22.5">
      <c r="A93" s="79" t="s">
        <v>227</v>
      </c>
      <c r="P93" s="8" t="s">
        <v>223</v>
      </c>
      <c r="Q93" s="8" t="s">
        <v>224</v>
      </c>
    </row>
    <row r="94" spans="4:17" ht="22.5">
      <c r="D94" s="31"/>
      <c r="E94" s="31"/>
      <c r="F94" s="15" t="s">
        <v>1248</v>
      </c>
      <c r="G94" s="111">
        <f>G7</f>
        <v>0</v>
      </c>
      <c r="P94" s="8" t="s">
        <v>225</v>
      </c>
      <c r="Q94" s="8" t="s">
        <v>226</v>
      </c>
    </row>
    <row r="95" spans="1:17" ht="15">
      <c r="A95" s="115">
        <f>A6</f>
        <v>0</v>
      </c>
      <c r="B95" s="4" t="s">
        <v>660</v>
      </c>
      <c r="F95" s="15" t="s">
        <v>1258</v>
      </c>
      <c r="G95" s="795">
        <f>G9</f>
        <v>0</v>
      </c>
      <c r="H95" s="796"/>
      <c r="J95" s="10"/>
      <c r="P95" s="8" t="s">
        <v>228</v>
      </c>
      <c r="Q95" s="8" t="s">
        <v>229</v>
      </c>
    </row>
    <row r="96" spans="1:17" ht="15">
      <c r="A96" s="116">
        <f>A7</f>
        <v>0</v>
      </c>
      <c r="B96" s="4" t="s">
        <v>1252</v>
      </c>
      <c r="F96" s="15" t="s">
        <v>1262</v>
      </c>
      <c r="G96" s="792"/>
      <c r="H96" s="792"/>
      <c r="J96" s="20"/>
      <c r="P96" s="8" t="s">
        <v>230</v>
      </c>
      <c r="Q96" s="8" t="s">
        <v>231</v>
      </c>
    </row>
    <row r="97" spans="1:17" ht="15">
      <c r="A97" s="116">
        <f>A8</f>
        <v>0</v>
      </c>
      <c r="B97" s="4" t="s">
        <v>658</v>
      </c>
      <c r="D97" s="15"/>
      <c r="G97" s="794" t="s">
        <v>1569</v>
      </c>
      <c r="H97" s="447"/>
      <c r="J97" s="20"/>
      <c r="P97" s="8" t="s">
        <v>232</v>
      </c>
      <c r="Q97" s="8" t="s">
        <v>233</v>
      </c>
    </row>
    <row r="98" spans="1:17" ht="15">
      <c r="A98" s="116">
        <f>A9</f>
        <v>0</v>
      </c>
      <c r="B98" s="4" t="s">
        <v>659</v>
      </c>
      <c r="D98" s="15"/>
      <c r="G98" s="792"/>
      <c r="H98" s="792"/>
      <c r="J98" s="33" t="s">
        <v>236</v>
      </c>
      <c r="P98" s="8" t="s">
        <v>234</v>
      </c>
      <c r="Q98" s="8" t="s">
        <v>235</v>
      </c>
    </row>
    <row r="99" spans="1:17" ht="15">
      <c r="A99" s="115">
        <f>A10</f>
        <v>0</v>
      </c>
      <c r="B99" s="9" t="s">
        <v>1257</v>
      </c>
      <c r="G99" s="794" t="s">
        <v>1577</v>
      </c>
      <c r="H99" s="447"/>
      <c r="J99" s="20"/>
      <c r="P99" s="8" t="s">
        <v>237</v>
      </c>
      <c r="Q99" s="8" t="s">
        <v>238</v>
      </c>
    </row>
    <row r="100" spans="3:17" ht="15">
      <c r="C100" s="944"/>
      <c r="D100" s="944"/>
      <c r="E100" s="944"/>
      <c r="F100" s="939"/>
      <c r="G100" s="793"/>
      <c r="H100" s="793"/>
      <c r="J100" s="33" t="s">
        <v>236</v>
      </c>
      <c r="P100" s="8" t="s">
        <v>239</v>
      </c>
      <c r="Q100" s="8" t="s">
        <v>240</v>
      </c>
    </row>
    <row r="101" spans="3:10" ht="15">
      <c r="C101" s="943"/>
      <c r="D101" s="939"/>
      <c r="G101" s="1518" t="s">
        <v>1568</v>
      </c>
      <c r="H101" s="1518"/>
      <c r="J101" s="569"/>
    </row>
    <row r="102" spans="3:10" ht="15">
      <c r="C102" s="943"/>
      <c r="D102" s="939"/>
      <c r="G102" s="793"/>
      <c r="H102" s="793"/>
      <c r="J102" s="569"/>
    </row>
    <row r="103" spans="3:10" ht="15">
      <c r="C103" s="943"/>
      <c r="D103" s="939"/>
      <c r="E103" s="939"/>
      <c r="F103" s="939"/>
      <c r="G103" s="1516" t="s">
        <v>1571</v>
      </c>
      <c r="H103" s="1516"/>
      <c r="J103" s="569"/>
    </row>
    <row r="104" spans="1:10" ht="15">
      <c r="A104" s="37"/>
      <c r="E104" s="139"/>
      <c r="F104" s="38"/>
      <c r="G104" s="1398" t="s">
        <v>347</v>
      </c>
      <c r="H104" s="1399"/>
      <c r="I104" s="1400"/>
      <c r="J104" s="137"/>
    </row>
    <row r="105" spans="1:10" ht="15">
      <c r="A105" s="21" t="s">
        <v>875</v>
      </c>
      <c r="F105" s="41" t="s">
        <v>1070</v>
      </c>
      <c r="G105" s="1398" t="s">
        <v>348</v>
      </c>
      <c r="H105" s="1401"/>
      <c r="I105" s="1399"/>
      <c r="J105" s="44"/>
    </row>
    <row r="106" spans="6:7" ht="15">
      <c r="F106" s="41" t="s">
        <v>1072</v>
      </c>
      <c r="G106" s="4" t="s">
        <v>1067</v>
      </c>
    </row>
    <row r="107" spans="1:10" ht="15">
      <c r="A107" s="15" t="s">
        <v>349</v>
      </c>
      <c r="B107" s="1555" t="s">
        <v>1069</v>
      </c>
      <c r="C107" s="1556"/>
      <c r="D107" s="1556"/>
      <c r="E107" s="1556"/>
      <c r="F107" s="583" t="s">
        <v>1073</v>
      </c>
      <c r="G107" s="289"/>
      <c r="H107" s="15"/>
      <c r="I107" s="15" t="s">
        <v>350</v>
      </c>
      <c r="J107" s="584">
        <f>MORTGAGE</f>
        <v>0</v>
      </c>
    </row>
    <row r="108" spans="1:10" ht="15">
      <c r="A108" s="15" t="s">
        <v>351</v>
      </c>
      <c r="B108" s="1557" t="s">
        <v>1466</v>
      </c>
      <c r="C108" s="1556"/>
      <c r="D108" s="1556"/>
      <c r="E108" s="1556"/>
      <c r="F108" s="968"/>
      <c r="G108" s="289"/>
      <c r="H108" s="15"/>
      <c r="I108" s="15" t="s">
        <v>350</v>
      </c>
      <c r="J108" s="905">
        <f>F225</f>
        <v>0</v>
      </c>
    </row>
    <row r="109" spans="1:10" ht="15">
      <c r="A109" s="15" t="s">
        <v>352</v>
      </c>
      <c r="B109" s="1519"/>
      <c r="C109" s="1520"/>
      <c r="D109" s="1521"/>
      <c r="E109" s="1521"/>
      <c r="F109" s="968"/>
      <c r="G109" s="289"/>
      <c r="H109" s="15"/>
      <c r="I109" s="15" t="s">
        <v>350</v>
      </c>
      <c r="J109" s="882"/>
    </row>
    <row r="110" spans="1:10" ht="15">
      <c r="A110" s="15" t="s">
        <v>353</v>
      </c>
      <c r="B110" s="1519"/>
      <c r="C110" s="1520"/>
      <c r="D110" s="1521"/>
      <c r="E110" s="1521"/>
      <c r="F110" s="968"/>
      <c r="G110" s="289"/>
      <c r="H110" s="15"/>
      <c r="I110" s="15" t="s">
        <v>350</v>
      </c>
      <c r="J110" s="882"/>
    </row>
    <row r="111" spans="1:10" ht="15">
      <c r="A111" s="15" t="s">
        <v>354</v>
      </c>
      <c r="B111" s="1530"/>
      <c r="C111" s="1531"/>
      <c r="D111" s="1531"/>
      <c r="E111" s="1531"/>
      <c r="F111" s="968"/>
      <c r="G111" s="289"/>
      <c r="H111" s="15"/>
      <c r="I111" s="15" t="s">
        <v>350</v>
      </c>
      <c r="J111" s="882"/>
    </row>
    <row r="112" spans="1:10" ht="15">
      <c r="A112" s="15" t="s">
        <v>355</v>
      </c>
      <c r="B112" s="1535"/>
      <c r="C112" s="1520"/>
      <c r="D112" s="1521"/>
      <c r="E112" s="1521"/>
      <c r="F112" s="587"/>
      <c r="G112" s="289"/>
      <c r="H112" s="15"/>
      <c r="I112" s="15" t="s">
        <v>350</v>
      </c>
      <c r="J112" s="283"/>
    </row>
    <row r="113" spans="1:10" ht="15">
      <c r="A113" s="15" t="s">
        <v>663</v>
      </c>
      <c r="B113" s="1535"/>
      <c r="C113" s="1520"/>
      <c r="D113" s="1521"/>
      <c r="E113" s="1521"/>
      <c r="F113" s="587"/>
      <c r="G113" s="289"/>
      <c r="H113" s="15"/>
      <c r="I113" s="15" t="s">
        <v>350</v>
      </c>
      <c r="J113" s="283"/>
    </row>
    <row r="114" spans="1:10" ht="15">
      <c r="A114" s="15" t="s">
        <v>664</v>
      </c>
      <c r="B114" s="1552" t="s">
        <v>1200</v>
      </c>
      <c r="C114" s="1553"/>
      <c r="D114" s="1554"/>
      <c r="E114" s="1554"/>
      <c r="F114" s="582"/>
      <c r="G114" s="289"/>
      <c r="H114" s="15"/>
      <c r="I114" s="15" t="s">
        <v>350</v>
      </c>
      <c r="J114" s="283"/>
    </row>
    <row r="115" ht="15">
      <c r="J115" s="19"/>
    </row>
    <row r="116" spans="1:10" ht="15">
      <c r="A116" s="21"/>
      <c r="B116" s="21" t="s">
        <v>876</v>
      </c>
      <c r="C116" s="44"/>
      <c r="D116" s="44"/>
      <c r="E116" s="44"/>
      <c r="I116" s="15" t="s">
        <v>350</v>
      </c>
      <c r="J116" s="570">
        <f>SUM(J107:J114)</f>
        <v>0</v>
      </c>
    </row>
    <row r="117" spans="1:10" ht="15">
      <c r="A117" s="37" t="s">
        <v>877</v>
      </c>
      <c r="E117" s="139"/>
      <c r="F117" s="38"/>
      <c r="I117" s="39"/>
      <c r="J117" s="346"/>
    </row>
    <row r="118" spans="1:17" ht="15">
      <c r="A118" s="21"/>
      <c r="B118" s="44"/>
      <c r="C118" s="44"/>
      <c r="D118" s="44"/>
      <c r="E118" s="44"/>
      <c r="I118" s="114" t="s">
        <v>1391</v>
      </c>
      <c r="J118" s="133"/>
      <c r="P118" s="8" t="s">
        <v>241</v>
      </c>
      <c r="Q118" s="8" t="s">
        <v>242</v>
      </c>
    </row>
    <row r="119" spans="1:17" ht="15">
      <c r="A119" s="25" t="s">
        <v>887</v>
      </c>
      <c r="I119" s="41" t="s">
        <v>1392</v>
      </c>
      <c r="P119" s="8" t="s">
        <v>243</v>
      </c>
      <c r="Q119" s="8" t="s">
        <v>244</v>
      </c>
    </row>
    <row r="120" spans="1:17" ht="15">
      <c r="A120" s="9" t="s">
        <v>755</v>
      </c>
      <c r="C120" s="356"/>
      <c r="D120" s="4" t="s">
        <v>856</v>
      </c>
      <c r="E120" s="82">
        <f>IF(SQFT&gt;0,SQFT_ACR/+SQFT,0)</f>
        <v>0</v>
      </c>
      <c r="F120" s="4" t="str">
        <f>IF(_xlfn.SINGLE(C120:C120)&lt;5000,"per Acre)","Per Sq.Ft.)")</f>
        <v>per Acre)</v>
      </c>
      <c r="G120" s="15" t="s">
        <v>245</v>
      </c>
      <c r="H120" s="882"/>
      <c r="I120" s="835"/>
      <c r="P120" s="8" t="s">
        <v>246</v>
      </c>
      <c r="Q120" s="8" t="s">
        <v>247</v>
      </c>
    </row>
    <row r="121" spans="1:17" ht="15">
      <c r="A121" s="9" t="s">
        <v>248</v>
      </c>
      <c r="C121" s="851" t="s">
        <v>1401</v>
      </c>
      <c r="E121" s="19"/>
      <c r="H121" s="882"/>
      <c r="I121" s="843">
        <f>IF(C30&gt;0,J123/C30,0)</f>
        <v>0</v>
      </c>
      <c r="P121" s="8" t="s">
        <v>249</v>
      </c>
      <c r="Q121" s="8" t="s">
        <v>250</v>
      </c>
    </row>
    <row r="122" spans="1:17" ht="15">
      <c r="A122" s="9" t="s">
        <v>742</v>
      </c>
      <c r="B122" s="20"/>
      <c r="C122" s="20"/>
      <c r="D122" s="20"/>
      <c r="H122" s="283"/>
      <c r="I122" s="835"/>
      <c r="P122" s="8" t="s">
        <v>251</v>
      </c>
      <c r="Q122" s="8" t="s">
        <v>252</v>
      </c>
    </row>
    <row r="123" spans="1:17" ht="15">
      <c r="A123" s="125" t="s">
        <v>743</v>
      </c>
      <c r="B123" s="289"/>
      <c r="C123" s="301"/>
      <c r="D123" s="859" t="s">
        <v>1406</v>
      </c>
      <c r="E123" s="860"/>
      <c r="F123" s="860"/>
      <c r="G123" s="861">
        <f>IF(J215&lt;&gt;0,(J123/J215),0)</f>
        <v>0</v>
      </c>
      <c r="H123" s="283"/>
      <c r="I123" s="835"/>
      <c r="J123" s="81">
        <f>SUM(H120:H123)</f>
        <v>0</v>
      </c>
      <c r="P123" s="8" t="s">
        <v>253</v>
      </c>
      <c r="Q123" s="8" t="s">
        <v>254</v>
      </c>
    </row>
    <row r="124" spans="1:17" ht="15">
      <c r="A124" s="25" t="s">
        <v>888</v>
      </c>
      <c r="H124" s="19"/>
      <c r="P124" s="8" t="s">
        <v>255</v>
      </c>
      <c r="Q124" s="8" t="s">
        <v>256</v>
      </c>
    </row>
    <row r="125" spans="1:17" ht="15">
      <c r="A125" s="9" t="s">
        <v>257</v>
      </c>
      <c r="C125" s="41" t="s">
        <v>1385</v>
      </c>
      <c r="G125" s="15" t="s">
        <v>258</v>
      </c>
      <c r="H125" s="882"/>
      <c r="P125" s="8" t="s">
        <v>259</v>
      </c>
      <c r="Q125" s="8" t="s">
        <v>261</v>
      </c>
    </row>
    <row r="126" spans="1:17" ht="15">
      <c r="A126" s="940" t="s">
        <v>262</v>
      </c>
      <c r="B126" s="16"/>
      <c r="C126" s="944" t="s">
        <v>1386</v>
      </c>
      <c r="D126" s="16"/>
      <c r="E126" s="16"/>
      <c r="H126" s="882"/>
      <c r="P126" s="8" t="s">
        <v>263</v>
      </c>
      <c r="Q126" s="8" t="s">
        <v>264</v>
      </c>
    </row>
    <row r="127" spans="1:17" ht="15">
      <c r="A127" s="941" t="s">
        <v>1520</v>
      </c>
      <c r="B127" s="16"/>
      <c r="C127" s="16"/>
      <c r="D127" s="16"/>
      <c r="E127" s="16"/>
      <c r="H127" s="882"/>
      <c r="P127" s="8" t="s">
        <v>265</v>
      </c>
      <c r="Q127" s="8" t="s">
        <v>266</v>
      </c>
    </row>
    <row r="128" spans="1:8" ht="15">
      <c r="A128" s="941" t="s">
        <v>1521</v>
      </c>
      <c r="B128" s="16"/>
      <c r="C128" s="16"/>
      <c r="D128" s="16"/>
      <c r="E128" s="16"/>
      <c r="H128" s="882"/>
    </row>
    <row r="129" spans="1:17" ht="15">
      <c r="A129" s="9" t="s">
        <v>269</v>
      </c>
      <c r="H129" s="882"/>
      <c r="P129" s="8" t="s">
        <v>267</v>
      </c>
      <c r="Q129" s="8" t="s">
        <v>268</v>
      </c>
    </row>
    <row r="130" spans="1:17" ht="15">
      <c r="A130" s="9" t="s">
        <v>744</v>
      </c>
      <c r="C130" s="844" t="s">
        <v>1393</v>
      </c>
      <c r="D130" s="835"/>
      <c r="H130" s="882"/>
      <c r="I130" s="847">
        <f>IF(H130&gt;0,H130/CONSTR,0)</f>
        <v>0</v>
      </c>
      <c r="P130" s="8" t="s">
        <v>270</v>
      </c>
      <c r="Q130" s="8" t="s">
        <v>271</v>
      </c>
    </row>
    <row r="131" spans="1:17" ht="15">
      <c r="A131" s="9" t="s">
        <v>745</v>
      </c>
      <c r="C131" s="835"/>
      <c r="D131" s="835"/>
      <c r="H131" s="882"/>
      <c r="I131" s="835"/>
      <c r="P131" s="8" t="s">
        <v>272</v>
      </c>
      <c r="Q131" s="8" t="s">
        <v>273</v>
      </c>
    </row>
    <row r="132" spans="1:17" ht="15">
      <c r="A132" s="9" t="s">
        <v>753</v>
      </c>
      <c r="C132" s="844" t="s">
        <v>1394</v>
      </c>
      <c r="D132" s="835"/>
      <c r="H132" s="882"/>
      <c r="I132" s="848">
        <f>IF(G32&gt;0,H132/G32,0)</f>
        <v>0</v>
      </c>
      <c r="P132" s="8" t="s">
        <v>274</v>
      </c>
      <c r="Q132" s="8" t="s">
        <v>275</v>
      </c>
    </row>
    <row r="133" spans="1:17" ht="15">
      <c r="A133" s="9" t="s">
        <v>731</v>
      </c>
      <c r="C133" s="844" t="s">
        <v>1395</v>
      </c>
      <c r="D133" s="834"/>
      <c r="H133" s="882"/>
      <c r="I133" s="847">
        <f>IF(H133&gt;0,H133/M133,0)</f>
        <v>0</v>
      </c>
      <c r="M133" s="7">
        <f>CONSTR-SUM(H133:H134)</f>
        <v>0</v>
      </c>
      <c r="P133" s="8" t="s">
        <v>276</v>
      </c>
      <c r="Q133" s="8" t="s">
        <v>277</v>
      </c>
    </row>
    <row r="134" spans="1:17" ht="15">
      <c r="A134" s="840" t="s">
        <v>1403</v>
      </c>
      <c r="B134" s="128"/>
      <c r="C134" s="845"/>
      <c r="D134" s="846"/>
      <c r="H134" s="283"/>
      <c r="I134" s="847">
        <f>IF(H134&gt;0,H134/M133,0)</f>
        <v>0</v>
      </c>
      <c r="P134" s="8" t="s">
        <v>278</v>
      </c>
      <c r="Q134" s="8" t="s">
        <v>279</v>
      </c>
    </row>
    <row r="135" spans="1:8" ht="15">
      <c r="A135" s="941" t="s">
        <v>1524</v>
      </c>
      <c r="B135" s="301"/>
      <c r="C135" s="347"/>
      <c r="D135" s="345"/>
      <c r="H135" s="283"/>
    </row>
    <row r="136" spans="1:8" ht="15">
      <c r="A136" s="941" t="s">
        <v>1573</v>
      </c>
      <c r="B136" s="301"/>
      <c r="C136" s="128"/>
      <c r="D136" s="859" t="s">
        <v>1407</v>
      </c>
      <c r="E136" s="860"/>
      <c r="F136" s="860"/>
      <c r="G136" s="861">
        <f>IF(J215&lt;&gt;0,(SUM(J137+H142)/J215),0)</f>
        <v>0</v>
      </c>
      <c r="H136" s="283"/>
    </row>
    <row r="137" spans="1:10" ht="15">
      <c r="A137" s="940"/>
      <c r="J137" s="129">
        <f>SUM(H125:H136)</f>
        <v>0</v>
      </c>
    </row>
    <row r="138" spans="1:17" ht="15">
      <c r="A138" s="941" t="s">
        <v>1527</v>
      </c>
      <c r="B138" s="133"/>
      <c r="C138" s="128"/>
      <c r="D138" s="433">
        <f>IF(H138&lt;&gt;0,H138/((SUM(H122:H136)+SUM(J143:J177)+(J211+J210+J209+F226)-J162)),0)</f>
        <v>0</v>
      </c>
      <c r="E138" s="1560" t="s">
        <v>1177</v>
      </c>
      <c r="F138" s="1560"/>
      <c r="G138" s="1560"/>
      <c r="H138" s="954"/>
      <c r="P138" s="8" t="s">
        <v>280</v>
      </c>
      <c r="Q138" s="8" t="s">
        <v>281</v>
      </c>
    </row>
    <row r="139" spans="1:8" ht="15.75" thickBot="1">
      <c r="A139" s="941" t="s">
        <v>1528</v>
      </c>
      <c r="B139" s="133"/>
      <c r="C139" s="128"/>
      <c r="D139" s="1004">
        <f>IF(H121&gt;0,H139/H121,"")</f>
      </c>
      <c r="E139" s="1561"/>
      <c r="F139" s="1561"/>
      <c r="G139" s="1561"/>
      <c r="H139" s="955">
        <f>H121*0.04</f>
        <v>0</v>
      </c>
    </row>
    <row r="140" spans="1:10" ht="16.5" thickBot="1" thickTop="1">
      <c r="A140" s="4"/>
      <c r="B140" s="126"/>
      <c r="D140" s="1002"/>
      <c r="E140" s="1003" t="s">
        <v>1543</v>
      </c>
      <c r="F140" s="999">
        <f>(J140-FUNDH_AMT)+J207</f>
        <v>0</v>
      </c>
      <c r="G140" s="1000">
        <f>IF(F140&lt;&gt;0,F140/(SUM(H122:H136)+SUM(J143:J177)+J211+J209+J210-J162),0)</f>
        <v>0</v>
      </c>
      <c r="H140" s="128"/>
      <c r="J140" s="127">
        <f>H138+H139</f>
        <v>0</v>
      </c>
    </row>
    <row r="141" spans="1:10" ht="15.75" thickTop="1">
      <c r="A141" s="951" t="s">
        <v>1140</v>
      </c>
      <c r="B141" s="126"/>
      <c r="C141" s="1517" t="s">
        <v>1544</v>
      </c>
      <c r="D141" s="1517"/>
      <c r="E141" s="1517"/>
      <c r="F141" s="1517"/>
      <c r="G141" s="1005">
        <f>0.02*H121</f>
        <v>0</v>
      </c>
      <c r="H141" s="128"/>
      <c r="J141" s="44"/>
    </row>
    <row r="142" spans="1:10" ht="19.5" customHeight="1">
      <c r="A142" s="951" t="s">
        <v>732</v>
      </c>
      <c r="B142" s="126"/>
      <c r="C142" s="359"/>
      <c r="D142" s="849" t="s">
        <v>1396</v>
      </c>
      <c r="E142" s="9"/>
      <c r="G142" s="1001"/>
      <c r="H142" s="129">
        <f>(J137)*C142</f>
        <v>0</v>
      </c>
      <c r="J142" s="44"/>
    </row>
    <row r="143" spans="1:10" ht="15">
      <c r="A143" s="940" t="s">
        <v>746</v>
      </c>
      <c r="B143" s="126"/>
      <c r="C143" s="359"/>
      <c r="D143" s="849" t="s">
        <v>1397</v>
      </c>
      <c r="E143" s="9"/>
      <c r="H143" s="131">
        <f>(SUM(H145:H177)+SUM(H122:H123)+SUM(J209:J212))*C143</f>
        <v>0</v>
      </c>
      <c r="J143" s="127">
        <f>SUM(H142+H143)</f>
        <v>0</v>
      </c>
    </row>
    <row r="144" spans="1:17" ht="15">
      <c r="A144" s="951" t="s">
        <v>1141</v>
      </c>
      <c r="D144" s="44"/>
      <c r="P144" s="8" t="s">
        <v>282</v>
      </c>
      <c r="Q144" s="8" t="s">
        <v>283</v>
      </c>
    </row>
    <row r="145" spans="1:8" ht="15">
      <c r="A145" s="940" t="s">
        <v>747</v>
      </c>
      <c r="D145" s="44"/>
      <c r="G145" s="15" t="s">
        <v>258</v>
      </c>
      <c r="H145" s="969"/>
    </row>
    <row r="146" spans="1:8" ht="15">
      <c r="A146" s="940" t="s">
        <v>748</v>
      </c>
      <c r="B146" s="16"/>
      <c r="D146" s="892"/>
      <c r="E146" s="893" t="s">
        <v>1459</v>
      </c>
      <c r="F146" s="894"/>
      <c r="G146" s="15"/>
      <c r="H146" s="969"/>
    </row>
    <row r="147" spans="1:17" ht="15">
      <c r="A147" s="942" t="s">
        <v>1522</v>
      </c>
      <c r="B147" s="16"/>
      <c r="D147" s="892"/>
      <c r="E147" s="895" t="s">
        <v>1454</v>
      </c>
      <c r="F147" s="896"/>
      <c r="H147" s="969"/>
      <c r="P147" s="8" t="s">
        <v>284</v>
      </c>
      <c r="Q147" s="8" t="s">
        <v>285</v>
      </c>
    </row>
    <row r="148" spans="1:17" ht="15">
      <c r="A148" s="940" t="s">
        <v>749</v>
      </c>
      <c r="B148" s="16"/>
      <c r="D148" s="835"/>
      <c r="E148" s="897" t="s">
        <v>1455</v>
      </c>
      <c r="F148" s="898">
        <f>FUNDA_AMT*J22</f>
        <v>0</v>
      </c>
      <c r="H148" s="969"/>
      <c r="P148" s="8" t="s">
        <v>286</v>
      </c>
      <c r="Q148" s="8" t="s">
        <v>287</v>
      </c>
    </row>
    <row r="149" spans="1:8" ht="15">
      <c r="A149" s="941" t="s">
        <v>1415</v>
      </c>
      <c r="B149" s="16"/>
      <c r="D149" s="835"/>
      <c r="E149" s="897" t="s">
        <v>1456</v>
      </c>
      <c r="F149" s="899">
        <f>FUNDB_AMT*J23</f>
        <v>0</v>
      </c>
      <c r="H149" s="969"/>
    </row>
    <row r="150" spans="1:17" ht="15.75" thickBot="1">
      <c r="A150" s="940" t="s">
        <v>750</v>
      </c>
      <c r="B150" s="16"/>
      <c r="D150" s="835"/>
      <c r="E150" s="897" t="s">
        <v>1457</v>
      </c>
      <c r="F150" s="900">
        <f>SUM(F148+F149)</f>
        <v>0</v>
      </c>
      <c r="H150" s="969"/>
      <c r="P150" s="8" t="s">
        <v>288</v>
      </c>
      <c r="Q150" s="8" t="s">
        <v>289</v>
      </c>
    </row>
    <row r="151" spans="1:17" ht="15.75" thickTop="1">
      <c r="A151" s="940" t="s">
        <v>751</v>
      </c>
      <c r="B151" s="16"/>
      <c r="D151" s="835"/>
      <c r="E151" s="901" t="s">
        <v>1458</v>
      </c>
      <c r="F151" s="902">
        <f>IF((FUNDA_AMT+FUNDB_AMT)&lt;&gt;0,F150/(FUNDA_AMT+FUNDB_AMT),0)</f>
        <v>0</v>
      </c>
      <c r="H151" s="301"/>
      <c r="P151" s="8" t="s">
        <v>290</v>
      </c>
      <c r="Q151" s="8" t="s">
        <v>291</v>
      </c>
    </row>
    <row r="152" spans="1:17" ht="15">
      <c r="A152" s="941" t="s">
        <v>1523</v>
      </c>
      <c r="B152" s="16"/>
      <c r="H152" s="301"/>
      <c r="P152" s="8" t="s">
        <v>292</v>
      </c>
      <c r="Q152" s="8" t="s">
        <v>256</v>
      </c>
    </row>
    <row r="153" spans="1:17" ht="15">
      <c r="A153" s="941" t="s">
        <v>1574</v>
      </c>
      <c r="B153" s="16"/>
      <c r="H153" s="301"/>
      <c r="J153" s="16"/>
      <c r="P153" s="8" t="s">
        <v>293</v>
      </c>
      <c r="Q153" s="8" t="s">
        <v>294</v>
      </c>
    </row>
    <row r="154" spans="1:10" ht="15">
      <c r="A154" s="940" t="s">
        <v>730</v>
      </c>
      <c r="B154" s="16"/>
      <c r="H154" s="301"/>
      <c r="J154" s="16"/>
    </row>
    <row r="155" spans="1:17" ht="15">
      <c r="A155" s="941" t="s">
        <v>1575</v>
      </c>
      <c r="B155" s="66"/>
      <c r="C155" s="88"/>
      <c r="D155" s="20"/>
      <c r="H155" s="301"/>
      <c r="P155" s="8" t="s">
        <v>295</v>
      </c>
      <c r="Q155" s="8" t="s">
        <v>296</v>
      </c>
    </row>
    <row r="156" spans="1:17" ht="15">
      <c r="A156" s="941" t="s">
        <v>1572</v>
      </c>
      <c r="B156" s="45"/>
      <c r="C156" s="66"/>
      <c r="D156" s="859" t="s">
        <v>1408</v>
      </c>
      <c r="E156" s="860"/>
      <c r="F156" s="860"/>
      <c r="G156" s="861">
        <f>IF(J215&lt;&gt;0,(J156/J215),0)</f>
        <v>0</v>
      </c>
      <c r="H156" s="301"/>
      <c r="J156" s="81">
        <f>SUM(H145:H156)</f>
        <v>0</v>
      </c>
      <c r="P156" s="8" t="s">
        <v>297</v>
      </c>
      <c r="Q156" s="8" t="s">
        <v>298</v>
      </c>
    </row>
    <row r="157" spans="1:17" ht="22.5">
      <c r="A157" s="25" t="s">
        <v>1223</v>
      </c>
      <c r="E157" s="500" t="s">
        <v>1227</v>
      </c>
      <c r="F157" s="501"/>
      <c r="G157" s="502"/>
      <c r="H157" s="19"/>
      <c r="P157" s="8" t="s">
        <v>299</v>
      </c>
      <c r="Q157" s="8" t="s">
        <v>300</v>
      </c>
    </row>
    <row r="158" spans="1:8" ht="15">
      <c r="A158" s="130" t="s">
        <v>1224</v>
      </c>
      <c r="E158" s="844" t="s">
        <v>1402</v>
      </c>
      <c r="G158" s="15" t="s">
        <v>258</v>
      </c>
      <c r="H158" s="301"/>
    </row>
    <row r="159" spans="1:17" ht="15">
      <c r="A159" s="130" t="s">
        <v>1226</v>
      </c>
      <c r="F159" s="80"/>
      <c r="H159" s="301"/>
      <c r="P159" s="8" t="s">
        <v>301</v>
      </c>
      <c r="Q159" s="8" t="s">
        <v>302</v>
      </c>
    </row>
    <row r="160" spans="1:8" ht="15">
      <c r="A160" s="130" t="s">
        <v>1225</v>
      </c>
      <c r="F160" s="80"/>
      <c r="H160" s="301"/>
    </row>
    <row r="161" spans="1:17" ht="15">
      <c r="A161" s="840" t="s">
        <v>1410</v>
      </c>
      <c r="B161" s="301"/>
      <c r="C161" s="301"/>
      <c r="E161" s="44"/>
      <c r="F161" s="44"/>
      <c r="H161" s="301"/>
      <c r="P161" s="8" t="s">
        <v>303</v>
      </c>
      <c r="Q161" s="8" t="s">
        <v>304</v>
      </c>
    </row>
    <row r="162" spans="1:17" ht="15">
      <c r="A162" s="852" t="s">
        <v>1411</v>
      </c>
      <c r="B162" s="449"/>
      <c r="C162" s="303"/>
      <c r="D162" s="859" t="s">
        <v>1409</v>
      </c>
      <c r="E162" s="860"/>
      <c r="F162" s="860"/>
      <c r="G162" s="861">
        <f>IF(J215&lt;&gt;0,(J162/J215),0)</f>
        <v>0</v>
      </c>
      <c r="H162" s="301"/>
      <c r="J162" s="81">
        <f>SUM(H158:H162)</f>
        <v>0</v>
      </c>
      <c r="P162" s="8" t="s">
        <v>305</v>
      </c>
      <c r="Q162" s="8" t="s">
        <v>306</v>
      </c>
    </row>
    <row r="163" spans="1:17" ht="15">
      <c r="A163" s="25" t="s">
        <v>1142</v>
      </c>
      <c r="F163" s="844" t="s">
        <v>1398</v>
      </c>
      <c r="H163" s="66"/>
      <c r="I163" s="847">
        <f>IF(J177&gt;0,J177/J215,0)</f>
        <v>0</v>
      </c>
      <c r="P163" s="8" t="s">
        <v>307</v>
      </c>
      <c r="Q163" s="8" t="s">
        <v>308</v>
      </c>
    </row>
    <row r="164" spans="1:17" ht="15">
      <c r="A164" s="9" t="s">
        <v>309</v>
      </c>
      <c r="C164" s="970"/>
      <c r="D164" s="4" t="s">
        <v>739</v>
      </c>
      <c r="E164" s="906"/>
      <c r="F164" s="834" t="s">
        <v>1374</v>
      </c>
      <c r="G164" s="434">
        <f>SUM(FUNDA_AMT+FUNDB_AMT)/2</f>
        <v>0</v>
      </c>
      <c r="H164" s="278">
        <f>((((C164*0.01)*(G164))/12)*E164)</f>
        <v>0</v>
      </c>
      <c r="P164" s="8" t="s">
        <v>310</v>
      </c>
      <c r="Q164" s="8" t="s">
        <v>311</v>
      </c>
    </row>
    <row r="165" spans="1:17" ht="15">
      <c r="A165" s="9" t="s">
        <v>312</v>
      </c>
      <c r="C165" s="882"/>
      <c r="D165" s="4" t="s">
        <v>313</v>
      </c>
      <c r="E165" s="19"/>
      <c r="F165" s="83">
        <f>E164/12</f>
        <v>0</v>
      </c>
      <c r="G165" s="4" t="s">
        <v>314</v>
      </c>
      <c r="H165" s="30">
        <f>C165*F165</f>
        <v>0</v>
      </c>
      <c r="P165" s="8" t="s">
        <v>315</v>
      </c>
      <c r="Q165" s="8" t="s">
        <v>316</v>
      </c>
    </row>
    <row r="166" spans="1:17" ht="15">
      <c r="A166" s="9" t="s">
        <v>318</v>
      </c>
      <c r="C166" s="882"/>
      <c r="D166" s="4" t="s">
        <v>313</v>
      </c>
      <c r="F166" s="82">
        <f>E164/12</f>
        <v>0</v>
      </c>
      <c r="G166" s="4" t="s">
        <v>314</v>
      </c>
      <c r="H166" s="110">
        <f>C166*F166</f>
        <v>0</v>
      </c>
      <c r="P166" s="8" t="s">
        <v>319</v>
      </c>
      <c r="Q166" s="8" t="s">
        <v>320</v>
      </c>
    </row>
    <row r="167" spans="1:17" ht="15">
      <c r="A167" s="9" t="s">
        <v>321</v>
      </c>
      <c r="C167" s="19"/>
      <c r="F167" s="19"/>
      <c r="H167" s="283"/>
      <c r="P167" s="8" t="s">
        <v>322</v>
      </c>
      <c r="Q167" s="8" t="s">
        <v>323</v>
      </c>
    </row>
    <row r="168" spans="1:17" ht="15">
      <c r="A168" s="9" t="s">
        <v>1151</v>
      </c>
      <c r="E168" s="304"/>
      <c r="F168" s="835" t="s">
        <v>1375</v>
      </c>
      <c r="G168" s="301"/>
      <c r="H168" s="35">
        <f>SUM(E168*G168)</f>
        <v>0</v>
      </c>
      <c r="P168" s="8" t="s">
        <v>324</v>
      </c>
      <c r="Q168" s="8" t="s">
        <v>325</v>
      </c>
    </row>
    <row r="169" spans="1:17" ht="15">
      <c r="A169" s="9" t="s">
        <v>1146</v>
      </c>
      <c r="E169" s="304"/>
      <c r="F169" s="4" t="s">
        <v>737</v>
      </c>
      <c r="G169" s="435">
        <f>FUNDB_AMT</f>
        <v>0</v>
      </c>
      <c r="H169" s="35">
        <f>SUM(E169*G169)</f>
        <v>0</v>
      </c>
      <c r="P169" s="8" t="s">
        <v>326</v>
      </c>
      <c r="Q169" s="8" t="s">
        <v>327</v>
      </c>
    </row>
    <row r="170" spans="1:17" ht="15">
      <c r="A170" s="333" t="s">
        <v>857</v>
      </c>
      <c r="C170" s="305"/>
      <c r="D170" s="4" t="s">
        <v>738</v>
      </c>
      <c r="E170" s="80"/>
      <c r="F170" s="4" t="s">
        <v>328</v>
      </c>
      <c r="G170" s="436" t="str">
        <f>IF(C170=0,"N/A",(FUNDA_AMT+FUNDB_AMT))</f>
        <v>N/A</v>
      </c>
      <c r="H170" s="30">
        <f>(IF(C170&lt;&gt;0,(((C170*0.01)*G170)/12)*E170,0))</f>
        <v>0</v>
      </c>
      <c r="P170" s="8" t="s">
        <v>329</v>
      </c>
      <c r="Q170" s="8" t="s">
        <v>330</v>
      </c>
    </row>
    <row r="171" spans="1:17" ht="15">
      <c r="A171" s="835" t="s">
        <v>1548</v>
      </c>
      <c r="B171" s="132"/>
      <c r="C171" s="36"/>
      <c r="D171" s="20"/>
      <c r="E171" s="996">
        <v>0.03</v>
      </c>
      <c r="F171" s="4" t="s">
        <v>737</v>
      </c>
      <c r="G171" s="994"/>
      <c r="H171" s="995">
        <f>SUM(E171*G171)</f>
        <v>0</v>
      </c>
      <c r="J171" s="44"/>
      <c r="P171" s="8" t="s">
        <v>331</v>
      </c>
      <c r="Q171" s="8" t="s">
        <v>332</v>
      </c>
    </row>
    <row r="172" spans="1:10" ht="15">
      <c r="A172" s="835" t="s">
        <v>1535</v>
      </c>
      <c r="B172" s="132"/>
      <c r="C172" s="109"/>
      <c r="D172" s="20"/>
      <c r="E172" s="44"/>
      <c r="H172" s="969"/>
      <c r="J172" s="44"/>
    </row>
    <row r="173" spans="1:10" ht="15">
      <c r="A173" s="9" t="s">
        <v>754</v>
      </c>
      <c r="B173" s="133"/>
      <c r="C173" s="109"/>
      <c r="D173" s="452" t="s">
        <v>1154</v>
      </c>
      <c r="E173" s="453"/>
      <c r="F173" s="453"/>
      <c r="G173" s="454"/>
      <c r="H173" s="969"/>
      <c r="J173" s="112"/>
    </row>
    <row r="174" spans="1:10" ht="15">
      <c r="A174" s="840" t="s">
        <v>1536</v>
      </c>
      <c r="B174" s="133"/>
      <c r="C174" s="109"/>
      <c r="D174" s="20"/>
      <c r="E174" s="455" t="s">
        <v>1155</v>
      </c>
      <c r="F174" s="456"/>
      <c r="G174" s="457"/>
      <c r="H174" s="969"/>
      <c r="I174" s="41" t="s">
        <v>1180</v>
      </c>
      <c r="J174" s="112"/>
    </row>
    <row r="175" spans="1:10" ht="15">
      <c r="A175" s="835" t="s">
        <v>1537</v>
      </c>
      <c r="B175" s="133"/>
      <c r="C175" s="109"/>
      <c r="D175" s="20"/>
      <c r="E175" s="458" t="s">
        <v>1157</v>
      </c>
      <c r="F175" s="459"/>
      <c r="G175" s="460"/>
      <c r="H175" s="969"/>
      <c r="I175" s="41" t="s">
        <v>1180</v>
      </c>
      <c r="J175" s="112"/>
    </row>
    <row r="176" spans="1:8" ht="15">
      <c r="A176" s="840" t="s">
        <v>1538</v>
      </c>
      <c r="B176" s="66"/>
      <c r="C176" s="66"/>
      <c r="H176" s="969"/>
    </row>
    <row r="177" spans="1:10" ht="15">
      <c r="A177" s="840" t="s">
        <v>1539</v>
      </c>
      <c r="D177" s="859" t="s">
        <v>1412</v>
      </c>
      <c r="E177" s="860"/>
      <c r="F177" s="860"/>
      <c r="G177" s="861">
        <f>IF(J215&lt;&gt;0,(J177/J215),0)</f>
        <v>0</v>
      </c>
      <c r="H177" s="882"/>
      <c r="J177" s="127">
        <f>SUM(H164:H177)</f>
        <v>0</v>
      </c>
    </row>
    <row r="178" spans="1:8" ht="15">
      <c r="A178" s="25" t="s">
        <v>703</v>
      </c>
      <c r="B178" s="20"/>
      <c r="E178" s="128"/>
      <c r="F178" s="128"/>
      <c r="H178" s="15"/>
    </row>
    <row r="179" spans="1:10" ht="15">
      <c r="A179" s="136" t="s">
        <v>878</v>
      </c>
      <c r="B179" s="134"/>
      <c r="C179" s="134"/>
      <c r="D179" s="134"/>
      <c r="E179" s="134"/>
      <c r="H179" s="121"/>
      <c r="J179" s="80">
        <f>((((TOT_EXP+AGENCY_DEBTSERV)*0.75)/12)*RENT_UP)</f>
        <v>0</v>
      </c>
    </row>
    <row r="180" spans="1:10" ht="15">
      <c r="A180" s="130" t="s">
        <v>879</v>
      </c>
      <c r="B180" s="134"/>
      <c r="C180" s="134"/>
      <c r="D180" s="135"/>
      <c r="E180" s="130"/>
      <c r="H180" s="15"/>
      <c r="J180" s="302"/>
    </row>
    <row r="181" spans="1:10" ht="15">
      <c r="A181" s="130" t="s">
        <v>880</v>
      </c>
      <c r="B181" s="134"/>
      <c r="C181" s="134"/>
      <c r="D181" s="135"/>
      <c r="E181" s="130"/>
      <c r="H181" s="15"/>
      <c r="J181" s="302"/>
    </row>
    <row r="182" spans="1:10" ht="15">
      <c r="A182" s="25" t="s">
        <v>704</v>
      </c>
      <c r="J182" s="44"/>
    </row>
    <row r="183" spans="1:10" ht="15">
      <c r="A183" s="9" t="s">
        <v>881</v>
      </c>
      <c r="H183" s="15"/>
      <c r="I183" s="15" t="s">
        <v>245</v>
      </c>
      <c r="J183" s="826">
        <f>INSUR_EX/2</f>
        <v>0</v>
      </c>
    </row>
    <row r="184" spans="1:10" ht="15">
      <c r="A184" s="9" t="s">
        <v>882</v>
      </c>
      <c r="C184" s="41"/>
      <c r="H184" s="15"/>
      <c r="I184" s="15" t="s">
        <v>245</v>
      </c>
      <c r="J184" s="81">
        <f>(+F442*0.25)</f>
        <v>0</v>
      </c>
    </row>
    <row r="185" spans="1:10" ht="15">
      <c r="A185" s="9" t="s">
        <v>885</v>
      </c>
      <c r="H185" s="15"/>
      <c r="I185" s="15" t="s">
        <v>245</v>
      </c>
      <c r="J185" s="81">
        <f>(AGENCY_DEBTSERV/12)</f>
        <v>0</v>
      </c>
    </row>
    <row r="186" spans="1:10" ht="15">
      <c r="A186" s="9" t="s">
        <v>886</v>
      </c>
      <c r="H186" s="15"/>
      <c r="I186" s="15" t="s">
        <v>245</v>
      </c>
      <c r="J186" s="81">
        <f>F453+((F453/12)*3)</f>
        <v>0</v>
      </c>
    </row>
    <row r="187" spans="1:10" ht="15">
      <c r="A187" s="9" t="s">
        <v>1150</v>
      </c>
      <c r="H187" s="15"/>
      <c r="I187" s="15" t="s">
        <v>245</v>
      </c>
      <c r="J187" s="299"/>
    </row>
    <row r="188" spans="1:10" ht="15">
      <c r="A188" s="9" t="s">
        <v>1066</v>
      </c>
      <c r="H188" s="15"/>
      <c r="I188" s="15" t="s">
        <v>245</v>
      </c>
      <c r="J188" s="581">
        <f>'Cash Flow'!D80</f>
        <v>0</v>
      </c>
    </row>
    <row r="189" spans="1:10" ht="15">
      <c r="A189" s="9" t="s">
        <v>1196</v>
      </c>
      <c r="B189" s="812"/>
      <c r="C189" s="812"/>
      <c r="D189" s="812"/>
      <c r="H189" s="15"/>
      <c r="I189" s="15" t="s">
        <v>245</v>
      </c>
      <c r="J189" s="608"/>
    </row>
    <row r="190" spans="1:17" ht="15">
      <c r="A190" s="9" t="s">
        <v>705</v>
      </c>
      <c r="B190" s="827"/>
      <c r="C190" s="827"/>
      <c r="D190" s="827"/>
      <c r="I190" s="15" t="s">
        <v>245</v>
      </c>
      <c r="J190" s="299"/>
      <c r="P190" s="8" t="s">
        <v>333</v>
      </c>
      <c r="Q190" s="8" t="s">
        <v>334</v>
      </c>
    </row>
    <row r="191" spans="1:10" ht="15">
      <c r="A191" s="9" t="s">
        <v>1307</v>
      </c>
      <c r="B191" s="827"/>
      <c r="C191" s="827"/>
      <c r="D191" s="827"/>
      <c r="E191" s="859" t="s">
        <v>1413</v>
      </c>
      <c r="F191" s="860"/>
      <c r="G191" s="860"/>
      <c r="H191" s="861">
        <f>IF(J215&lt;&gt;0,(SUM(J179:J191)/J215),0)</f>
        <v>0</v>
      </c>
      <c r="I191" s="15" t="s">
        <v>245</v>
      </c>
      <c r="J191" s="299"/>
    </row>
    <row r="192" ht="15.75" thickBot="1"/>
    <row r="193" spans="1:10" ht="15.75" thickBot="1">
      <c r="A193" s="138" t="s">
        <v>1143</v>
      </c>
      <c r="B193" s="344"/>
      <c r="C193" s="137"/>
      <c r="D193" s="345"/>
      <c r="E193" s="128"/>
      <c r="G193" s="552"/>
      <c r="H193" s="133"/>
      <c r="I193" s="15" t="s">
        <v>245</v>
      </c>
      <c r="J193" s="348">
        <f>SUM(J123:J192)</f>
        <v>0</v>
      </c>
    </row>
    <row r="195" spans="1:10" ht="15">
      <c r="A195" s="138" t="s">
        <v>889</v>
      </c>
      <c r="B195" s="344"/>
      <c r="C195" s="137"/>
      <c r="D195" s="345"/>
      <c r="E195" s="128"/>
      <c r="F195" s="347"/>
      <c r="G195" s="347"/>
      <c r="H195" s="133"/>
      <c r="I195" s="15" t="s">
        <v>245</v>
      </c>
      <c r="J195" s="361">
        <f>J116-J193</f>
        <v>0</v>
      </c>
    </row>
    <row r="197" spans="1:7" ht="15">
      <c r="A197" s="21" t="s">
        <v>119</v>
      </c>
      <c r="G197" s="4" t="s">
        <v>1067</v>
      </c>
    </row>
    <row r="198" spans="1:17" ht="17.25" customHeight="1">
      <c r="A198" s="9" t="s">
        <v>445</v>
      </c>
      <c r="B198" s="298"/>
      <c r="C198" s="300"/>
      <c r="D198" s="300"/>
      <c r="E198" s="300"/>
      <c r="G198" s="301"/>
      <c r="I198" s="15" t="s">
        <v>350</v>
      </c>
      <c r="J198" s="969"/>
      <c r="P198" s="8" t="s">
        <v>335</v>
      </c>
      <c r="Q198" s="8" t="s">
        <v>336</v>
      </c>
    </row>
    <row r="199" spans="1:10" ht="17.25" customHeight="1">
      <c r="A199" s="15" t="s">
        <v>351</v>
      </c>
      <c r="B199" s="556"/>
      <c r="C199" s="557"/>
      <c r="D199" s="558"/>
      <c r="E199" s="558"/>
      <c r="G199" s="289"/>
      <c r="H199" s="15"/>
      <c r="I199" s="15" t="s">
        <v>350</v>
      </c>
      <c r="J199" s="882"/>
    </row>
    <row r="200" spans="1:10" ht="15">
      <c r="A200" s="15" t="s">
        <v>352</v>
      </c>
      <c r="B200" s="553"/>
      <c r="C200" s="554"/>
      <c r="D200" s="555"/>
      <c r="E200" s="555"/>
      <c r="G200" s="289"/>
      <c r="H200" s="15"/>
      <c r="I200" s="15" t="s">
        <v>350</v>
      </c>
      <c r="J200" s="283"/>
    </row>
    <row r="201" spans="1:10" ht="15">
      <c r="A201" s="15" t="s">
        <v>353</v>
      </c>
      <c r="B201" s="556"/>
      <c r="C201" s="557"/>
      <c r="D201" s="558"/>
      <c r="E201" s="558"/>
      <c r="G201" s="289"/>
      <c r="H201" s="15"/>
      <c r="I201" s="15" t="s">
        <v>350</v>
      </c>
      <c r="J201" s="283"/>
    </row>
    <row r="202" spans="1:10" ht="15">
      <c r="A202" s="15" t="s">
        <v>354</v>
      </c>
      <c r="B202" s="556"/>
      <c r="C202" s="557"/>
      <c r="D202" s="558"/>
      <c r="E202" s="558"/>
      <c r="G202" s="289"/>
      <c r="H202" s="15"/>
      <c r="I202" s="15" t="s">
        <v>350</v>
      </c>
      <c r="J202" s="283"/>
    </row>
    <row r="203" spans="1:17" ht="15">
      <c r="A203" s="15" t="s">
        <v>355</v>
      </c>
      <c r="B203" s="556"/>
      <c r="C203" s="557"/>
      <c r="D203" s="558"/>
      <c r="E203" s="558"/>
      <c r="G203" s="289"/>
      <c r="H203" s="15"/>
      <c r="I203" s="15" t="s">
        <v>350</v>
      </c>
      <c r="J203" s="283"/>
      <c r="P203" s="8" t="s">
        <v>337</v>
      </c>
      <c r="Q203" s="8" t="s">
        <v>338</v>
      </c>
    </row>
    <row r="204" spans="2:17" ht="15">
      <c r="B204" s="21" t="s">
        <v>120</v>
      </c>
      <c r="C204" s="44"/>
      <c r="D204" s="44"/>
      <c r="E204" s="44"/>
      <c r="I204" s="15" t="s">
        <v>350</v>
      </c>
      <c r="J204" s="439">
        <f>SUM(J198:J203)</f>
        <v>0</v>
      </c>
      <c r="P204" s="8" t="s">
        <v>339</v>
      </c>
      <c r="Q204" s="8" t="s">
        <v>340</v>
      </c>
    </row>
    <row r="205" spans="1:17" ht="15">
      <c r="A205" s="37" t="s">
        <v>427</v>
      </c>
      <c r="P205" s="8" t="s">
        <v>341</v>
      </c>
      <c r="Q205" s="8" t="s">
        <v>342</v>
      </c>
    </row>
    <row r="206" spans="6:17" ht="15">
      <c r="F206" s="20"/>
      <c r="P206" s="8" t="s">
        <v>343</v>
      </c>
      <c r="Q206" s="8" t="s">
        <v>344</v>
      </c>
    </row>
    <row r="207" spans="1:10" ht="15">
      <c r="A207" s="25" t="s">
        <v>1205</v>
      </c>
      <c r="B207" s="21"/>
      <c r="C207" s="44"/>
      <c r="D207" s="603"/>
      <c r="E207" s="44"/>
      <c r="I207" s="15" t="s">
        <v>245</v>
      </c>
      <c r="J207" s="301"/>
    </row>
    <row r="208" spans="1:10" ht="15">
      <c r="A208" s="25" t="s">
        <v>317</v>
      </c>
      <c r="I208" s="15" t="s">
        <v>245</v>
      </c>
      <c r="J208" s="301"/>
    </row>
    <row r="209" spans="1:10" ht="15" customHeight="1">
      <c r="A209" s="25" t="s">
        <v>536</v>
      </c>
      <c r="B209" s="133"/>
      <c r="C209" s="41" t="s">
        <v>1180</v>
      </c>
      <c r="D209" s="20"/>
      <c r="E209" s="44"/>
      <c r="H209" s="283"/>
      <c r="I209" s="15" t="s">
        <v>245</v>
      </c>
      <c r="J209" s="278">
        <f>IF(H174=0,H209,0)</f>
        <v>0</v>
      </c>
    </row>
    <row r="210" spans="1:10" ht="15" customHeight="1">
      <c r="A210" s="41" t="s">
        <v>537</v>
      </c>
      <c r="B210" s="133"/>
      <c r="C210" s="41" t="s">
        <v>1180</v>
      </c>
      <c r="D210" s="20"/>
      <c r="E210" s="500" t="s">
        <v>1227</v>
      </c>
      <c r="F210" s="501"/>
      <c r="G210" s="502"/>
      <c r="H210" s="283"/>
      <c r="I210" s="15" t="s">
        <v>245</v>
      </c>
      <c r="J210" s="278">
        <f>IF(H175=0,H210,0)</f>
        <v>0</v>
      </c>
    </row>
    <row r="211" spans="1:17" ht="15" customHeight="1">
      <c r="A211" s="25" t="s">
        <v>1113</v>
      </c>
      <c r="I211" s="15" t="s">
        <v>245</v>
      </c>
      <c r="J211" s="306"/>
      <c r="P211" s="8" t="s">
        <v>345</v>
      </c>
      <c r="Q211" s="8" t="s">
        <v>346</v>
      </c>
    </row>
    <row r="212" spans="1:10" ht="15" customHeight="1">
      <c r="A212" s="25" t="s">
        <v>539</v>
      </c>
      <c r="B212" s="303"/>
      <c r="C212" s="303"/>
      <c r="I212" s="15" t="s">
        <v>245</v>
      </c>
      <c r="J212" s="298"/>
    </row>
    <row r="213" spans="1:10" ht="15.75" thickBot="1">
      <c r="A213" s="37" t="s">
        <v>538</v>
      </c>
      <c r="E213" s="859" t="s">
        <v>1414</v>
      </c>
      <c r="F213" s="860"/>
      <c r="G213" s="860"/>
      <c r="H213" s="861">
        <f>IF(J215&lt;&gt;0,SUM(J209:J212)/J215,0)</f>
        <v>0</v>
      </c>
      <c r="I213" s="39" t="s">
        <v>245</v>
      </c>
      <c r="J213" s="338">
        <f>SUM(J207:J212)</f>
        <v>0</v>
      </c>
    </row>
    <row r="214" spans="1:10" ht="15.75" thickBot="1">
      <c r="A214" s="21" t="s">
        <v>1214</v>
      </c>
      <c r="B214" s="44"/>
      <c r="C214" s="44"/>
      <c r="D214" s="44"/>
      <c r="E214" s="44"/>
      <c r="I214" s="15" t="s">
        <v>245</v>
      </c>
      <c r="J214" s="342">
        <f>J204-J213</f>
        <v>0</v>
      </c>
    </row>
    <row r="215" spans="1:10" ht="15">
      <c r="A215" s="21" t="s">
        <v>1216</v>
      </c>
      <c r="B215" s="353"/>
      <c r="C215" s="44"/>
      <c r="D215" s="44"/>
      <c r="E215" s="44"/>
      <c r="I215" s="15" t="s">
        <v>245</v>
      </c>
      <c r="J215" s="338">
        <f>SUM(J193)+SUM(J209:J212)+F226</f>
        <v>0</v>
      </c>
    </row>
    <row r="216" spans="1:10" ht="15">
      <c r="A216" s="37" t="s">
        <v>1217</v>
      </c>
      <c r="E216" s="118">
        <f>IF(J213&lt;&gt;0,(J216/J215)*100,0)</f>
        <v>0</v>
      </c>
      <c r="F216" s="38" t="s">
        <v>1179</v>
      </c>
      <c r="I216" s="39" t="s">
        <v>245</v>
      </c>
      <c r="J216" s="306"/>
    </row>
    <row r="217" spans="1:10" ht="15">
      <c r="A217" s="21"/>
      <c r="B217" s="44"/>
      <c r="C217" s="44"/>
      <c r="D217" s="44"/>
      <c r="E217" s="44"/>
      <c r="I217" s="15"/>
      <c r="J217" s="343"/>
    </row>
    <row r="218" spans="1:10" ht="15.75" thickBot="1">
      <c r="A218" s="21" t="s">
        <v>1218</v>
      </c>
      <c r="B218" s="44"/>
      <c r="C218" s="44"/>
      <c r="D218" s="491" t="s">
        <v>1220</v>
      </c>
      <c r="E218" s="453"/>
      <c r="F218" s="492" t="s">
        <v>245</v>
      </c>
      <c r="G218" s="498">
        <f>J193-(H122+H123+H125+H126+J162+J209+J210+H167+H174+H175+SUM(J179:J190))</f>
        <v>0</v>
      </c>
      <c r="H218" s="41" t="s">
        <v>1204</v>
      </c>
      <c r="I218" s="39"/>
      <c r="J218" s="112"/>
    </row>
    <row r="219" spans="4:10" ht="15">
      <c r="D219" s="455"/>
      <c r="E219" s="456"/>
      <c r="F219" s="456"/>
      <c r="G219" s="457"/>
      <c r="J219" s="20"/>
    </row>
    <row r="220" spans="4:10" ht="15">
      <c r="D220" s="493" t="s">
        <v>1178</v>
      </c>
      <c r="E220" s="456"/>
      <c r="F220" s="456"/>
      <c r="G220" s="499">
        <f>G218*0.55</f>
        <v>0</v>
      </c>
      <c r="H220" s="133"/>
      <c r="J220" s="20"/>
    </row>
    <row r="221" spans="4:10" ht="15.75" thickBot="1">
      <c r="D221" s="494" t="s">
        <v>1221</v>
      </c>
      <c r="E221" s="456"/>
      <c r="F221" s="456"/>
      <c r="G221" s="495">
        <f>IF(F36=0,MORTGAGE,0)</f>
        <v>0</v>
      </c>
      <c r="H221" s="133"/>
      <c r="J221" s="20"/>
    </row>
    <row r="222" spans="4:10" ht="16.5" thickBot="1" thickTop="1">
      <c r="D222" s="496" t="s">
        <v>1222</v>
      </c>
      <c r="E222" s="459"/>
      <c r="F222" s="459"/>
      <c r="G222" s="497">
        <f>G220-G221</f>
        <v>0</v>
      </c>
      <c r="H222" s="133"/>
      <c r="I222" s="349"/>
      <c r="J222" s="350"/>
    </row>
    <row r="223" spans="1:18" s="349" customFormat="1" ht="15.75" thickBot="1">
      <c r="A223" s="21" t="s">
        <v>1219</v>
      </c>
      <c r="B223" s="4"/>
      <c r="C223" s="4"/>
      <c r="D223" s="4"/>
      <c r="E223" s="4"/>
      <c r="F223" s="4"/>
      <c r="G223" s="4"/>
      <c r="H223" s="347"/>
      <c r="I223" s="237" t="s">
        <v>711</v>
      </c>
      <c r="J223" s="236"/>
      <c r="K223" s="351"/>
      <c r="L223" s="351"/>
      <c r="M223" s="351"/>
      <c r="N223" s="351"/>
      <c r="O223" s="351"/>
      <c r="P223" s="352"/>
      <c r="Q223" s="352"/>
      <c r="R223" s="351"/>
    </row>
    <row r="224" spans="7:10" ht="15">
      <c r="G224" s="15" t="s">
        <v>245</v>
      </c>
      <c r="H224" s="971"/>
      <c r="I224" s="969"/>
      <c r="J224" s="301"/>
    </row>
    <row r="225" spans="5:10" ht="15">
      <c r="E225" s="15" t="s">
        <v>728</v>
      </c>
      <c r="F225" s="301"/>
      <c r="G225" s="15" t="s">
        <v>734</v>
      </c>
      <c r="H225" s="972"/>
      <c r="I225" s="973"/>
      <c r="J225" s="301"/>
    </row>
    <row r="226" spans="1:10" ht="15.75" thickBot="1">
      <c r="A226" s="15" t="s">
        <v>736</v>
      </c>
      <c r="B226" s="360"/>
      <c r="C226" s="117" t="s">
        <v>735</v>
      </c>
      <c r="D226" s="301"/>
      <c r="E226" s="4" t="s">
        <v>729</v>
      </c>
      <c r="F226" s="119">
        <f>SUM((F225*B226)/12)*(D226)</f>
        <v>0</v>
      </c>
      <c r="G226" s="15" t="s">
        <v>734</v>
      </c>
      <c r="H226" s="974"/>
      <c r="I226" s="973"/>
      <c r="J226" s="302"/>
    </row>
    <row r="227" spans="5:10" ht="16.5" thickBot="1" thickTop="1">
      <c r="E227" s="15" t="s">
        <v>733</v>
      </c>
      <c r="F227" s="120">
        <f>SUM(F225:F226)</f>
        <v>0</v>
      </c>
      <c r="G227" s="15" t="s">
        <v>733</v>
      </c>
      <c r="H227" s="437">
        <f>H224+H225+H226</f>
        <v>0</v>
      </c>
      <c r="I227" s="347"/>
      <c r="J227" s="345"/>
    </row>
    <row r="228" spans="2:10" ht="15.75" thickTop="1">
      <c r="B228" s="16"/>
      <c r="E228" s="16"/>
      <c r="G228" s="15" t="s">
        <v>245</v>
      </c>
      <c r="H228" s="438">
        <f>H227-F227</f>
        <v>0</v>
      </c>
      <c r="J228" s="20"/>
    </row>
    <row r="229" spans="2:10" ht="15.75">
      <c r="B229" s="16"/>
      <c r="C229" s="40" t="s">
        <v>1232</v>
      </c>
      <c r="E229" s="16"/>
      <c r="G229" s="15"/>
      <c r="H229" s="479"/>
      <c r="J229" s="20"/>
    </row>
    <row r="230" ht="15">
      <c r="J230" s="20"/>
    </row>
    <row r="231" spans="3:10" ht="15.75">
      <c r="C231" s="40"/>
      <c r="J231" s="20"/>
    </row>
    <row r="232" spans="3:10" ht="15.75">
      <c r="C232" s="40"/>
      <c r="J232" s="20"/>
    </row>
    <row r="233" ht="15">
      <c r="J233" s="20"/>
    </row>
    <row r="234" spans="1:10" ht="15">
      <c r="A234" s="9" t="s">
        <v>356</v>
      </c>
      <c r="E234" s="4" t="s">
        <v>357</v>
      </c>
      <c r="J234" s="20"/>
    </row>
    <row r="235" spans="2:10" ht="15">
      <c r="B235" s="19" t="s">
        <v>358</v>
      </c>
      <c r="C235" s="19"/>
      <c r="D235" s="19"/>
      <c r="E235" s="41"/>
      <c r="F235" s="19" t="s">
        <v>359</v>
      </c>
      <c r="G235" s="19"/>
      <c r="H235" s="19"/>
      <c r="J235" s="20"/>
    </row>
    <row r="236" spans="2:10" ht="15">
      <c r="B236" s="44"/>
      <c r="C236" s="44"/>
      <c r="D236" s="44"/>
      <c r="E236" s="41"/>
      <c r="F236" s="44"/>
      <c r="G236" s="44"/>
      <c r="H236" s="44"/>
      <c r="J236" s="20"/>
    </row>
    <row r="237" spans="2:10" ht="15">
      <c r="B237" s="44"/>
      <c r="C237" s="44"/>
      <c r="D237" s="44"/>
      <c r="E237" s="41"/>
      <c r="F237" s="44"/>
      <c r="G237" s="44"/>
      <c r="H237" s="44"/>
      <c r="J237" s="20"/>
    </row>
    <row r="238" ht="22.5">
      <c r="A238" s="79" t="s">
        <v>652</v>
      </c>
    </row>
    <row r="239" spans="6:17" ht="15">
      <c r="F239" s="20"/>
      <c r="J239" s="10"/>
      <c r="P239" s="8" t="s">
        <v>360</v>
      </c>
      <c r="Q239" s="8" t="s">
        <v>361</v>
      </c>
    </row>
    <row r="240" spans="10:17" ht="15">
      <c r="J240" s="20"/>
      <c r="P240" s="8" t="s">
        <v>362</v>
      </c>
      <c r="Q240" s="8" t="s">
        <v>363</v>
      </c>
    </row>
    <row r="241" spans="2:17" ht="15">
      <c r="B241" s="15" t="s">
        <v>883</v>
      </c>
      <c r="C241" s="340"/>
      <c r="D241" s="340"/>
      <c r="E241" s="341"/>
      <c r="F241" s="15" t="s">
        <v>1248</v>
      </c>
      <c r="G241" s="32">
        <f>G7</f>
        <v>0</v>
      </c>
      <c r="P241" s="8" t="s">
        <v>364</v>
      </c>
      <c r="Q241" s="8" t="s">
        <v>365</v>
      </c>
    </row>
    <row r="242" spans="2:17" ht="15">
      <c r="B242" s="15" t="s">
        <v>368</v>
      </c>
      <c r="C242" s="30">
        <f>C12</f>
        <v>0</v>
      </c>
      <c r="D242" s="30"/>
      <c r="E242" s="15"/>
      <c r="F242" s="15" t="s">
        <v>1258</v>
      </c>
      <c r="G242" s="32">
        <f>G9</f>
        <v>0</v>
      </c>
      <c r="H242" s="30"/>
      <c r="J242" s="833">
        <f>G8</f>
        <v>0</v>
      </c>
      <c r="P242" s="8" t="s">
        <v>366</v>
      </c>
      <c r="Q242" s="8" t="s">
        <v>367</v>
      </c>
    </row>
    <row r="243" spans="5:17" ht="15">
      <c r="E243" s="15"/>
      <c r="F243" s="15" t="s">
        <v>1262</v>
      </c>
      <c r="G243" s="1551"/>
      <c r="H243" s="1551"/>
      <c r="J243" s="283"/>
      <c r="P243" s="8" t="s">
        <v>369</v>
      </c>
      <c r="Q243" s="8" t="s">
        <v>370</v>
      </c>
    </row>
    <row r="244" spans="6:17" ht="15">
      <c r="F244" s="835" t="s">
        <v>1565</v>
      </c>
      <c r="G244" s="15"/>
      <c r="J244" s="33" t="s">
        <v>236</v>
      </c>
      <c r="P244" s="8" t="s">
        <v>371</v>
      </c>
      <c r="Q244" s="8" t="s">
        <v>372</v>
      </c>
    </row>
    <row r="245" spans="16:17" ht="15">
      <c r="P245" s="8" t="s">
        <v>373</v>
      </c>
      <c r="Q245" s="8" t="s">
        <v>374</v>
      </c>
    </row>
    <row r="246" spans="1:17" ht="15">
      <c r="A246" s="114" t="s">
        <v>395</v>
      </c>
      <c r="B246" s="22" t="s">
        <v>396</v>
      </c>
      <c r="E246" s="114" t="s">
        <v>397</v>
      </c>
      <c r="F246" s="22" t="s">
        <v>398</v>
      </c>
      <c r="H246" s="4" t="s">
        <v>399</v>
      </c>
      <c r="J246" s="4" t="s">
        <v>400</v>
      </c>
      <c r="P246" s="8" t="s">
        <v>375</v>
      </c>
      <c r="Q246" s="8" t="s">
        <v>394</v>
      </c>
    </row>
    <row r="247" spans="1:17" ht="15">
      <c r="A247" s="25"/>
      <c r="F247" s="22" t="s">
        <v>403</v>
      </c>
      <c r="H247" s="34" t="s">
        <v>404</v>
      </c>
      <c r="J247" s="34" t="s">
        <v>405</v>
      </c>
      <c r="P247" s="8" t="s">
        <v>401</v>
      </c>
      <c r="Q247" s="8" t="s">
        <v>402</v>
      </c>
    </row>
    <row r="248" spans="16:17" ht="15">
      <c r="P248" s="8" t="s">
        <v>406</v>
      </c>
      <c r="Q248" s="8" t="s">
        <v>407</v>
      </c>
    </row>
    <row r="249" spans="2:17" ht="15">
      <c r="B249" s="4" t="s">
        <v>682</v>
      </c>
      <c r="D249" s="308"/>
      <c r="F249" s="4" t="s">
        <v>409</v>
      </c>
      <c r="H249" s="310"/>
      <c r="J249" s="308"/>
      <c r="P249" s="8" t="s">
        <v>408</v>
      </c>
      <c r="Q249" s="8" t="s">
        <v>256</v>
      </c>
    </row>
    <row r="250" spans="2:17" ht="15">
      <c r="B250" s="4" t="s">
        <v>412</v>
      </c>
      <c r="D250" s="308"/>
      <c r="F250" s="4" t="s">
        <v>413</v>
      </c>
      <c r="H250" s="310"/>
      <c r="J250" s="308"/>
      <c r="P250" s="8" t="s">
        <v>410</v>
      </c>
      <c r="Q250" s="8" t="s">
        <v>411</v>
      </c>
    </row>
    <row r="251" spans="2:17" ht="15">
      <c r="B251" s="4" t="s">
        <v>417</v>
      </c>
      <c r="D251" s="308"/>
      <c r="F251" s="4" t="s">
        <v>418</v>
      </c>
      <c r="H251" s="310"/>
      <c r="J251" s="308"/>
      <c r="P251" s="8" t="s">
        <v>414</v>
      </c>
      <c r="Q251" s="8" t="s">
        <v>416</v>
      </c>
    </row>
    <row r="252" spans="2:17" ht="15">
      <c r="B252" s="4" t="s">
        <v>420</v>
      </c>
      <c r="D252" s="308"/>
      <c r="F252" s="4" t="s">
        <v>421</v>
      </c>
      <c r="H252" s="310"/>
      <c r="J252" s="308"/>
      <c r="P252" s="8" t="s">
        <v>419</v>
      </c>
      <c r="Q252" s="8" t="s">
        <v>256</v>
      </c>
    </row>
    <row r="253" spans="2:17" ht="15">
      <c r="B253" s="4" t="s">
        <v>424</v>
      </c>
      <c r="D253" s="308"/>
      <c r="F253" s="4" t="s">
        <v>425</v>
      </c>
      <c r="H253" s="310"/>
      <c r="J253" s="308"/>
      <c r="P253" s="8" t="s">
        <v>422</v>
      </c>
      <c r="Q253" s="8" t="s">
        <v>423</v>
      </c>
    </row>
    <row r="254" spans="2:17" ht="15">
      <c r="B254" s="4" t="s">
        <v>429</v>
      </c>
      <c r="D254" s="308"/>
      <c r="F254" s="4" t="s">
        <v>430</v>
      </c>
      <c r="H254" s="310"/>
      <c r="J254" s="308"/>
      <c r="P254" s="8" t="s">
        <v>426</v>
      </c>
      <c r="Q254" s="8" t="s">
        <v>428</v>
      </c>
    </row>
    <row r="255" spans="2:17" ht="15">
      <c r="B255" s="4" t="s">
        <v>433</v>
      </c>
      <c r="D255" s="308"/>
      <c r="F255" s="4" t="s">
        <v>434</v>
      </c>
      <c r="H255" s="310"/>
      <c r="J255" s="308"/>
      <c r="P255" s="8" t="s">
        <v>431</v>
      </c>
      <c r="Q255" s="8" t="s">
        <v>432</v>
      </c>
    </row>
    <row r="256" spans="2:17" ht="15">
      <c r="B256" s="4" t="s">
        <v>437</v>
      </c>
      <c r="D256" s="993">
        <f>IF(C29&gt;=1,13840,0)</f>
        <v>0</v>
      </c>
      <c r="F256" s="316" t="s">
        <v>438</v>
      </c>
      <c r="H256" s="310"/>
      <c r="J256" s="308"/>
      <c r="P256" s="8" t="s">
        <v>435</v>
      </c>
      <c r="Q256" s="8" t="s">
        <v>436</v>
      </c>
    </row>
    <row r="257" spans="2:19" ht="15">
      <c r="B257" s="4" t="s">
        <v>441</v>
      </c>
      <c r="D257" s="308"/>
      <c r="F257" s="4" t="s">
        <v>442</v>
      </c>
      <c r="H257" s="310"/>
      <c r="J257" s="308"/>
      <c r="P257" s="8" t="s">
        <v>439</v>
      </c>
      <c r="Q257" s="8" t="s">
        <v>440</v>
      </c>
      <c r="S257" s="997" t="s">
        <v>1540</v>
      </c>
    </row>
    <row r="258" spans="2:19" ht="15">
      <c r="B258" s="4" t="s">
        <v>447</v>
      </c>
      <c r="D258" s="308"/>
      <c r="F258" s="4" t="s">
        <v>443</v>
      </c>
      <c r="H258" s="310"/>
      <c r="J258" s="308"/>
      <c r="S258" s="998" t="s">
        <v>1541</v>
      </c>
    </row>
    <row r="259" spans="2:19" ht="15">
      <c r="B259" s="4" t="s">
        <v>709</v>
      </c>
      <c r="D259" s="818"/>
      <c r="F259" s="4" t="s">
        <v>444</v>
      </c>
      <c r="H259" s="310"/>
      <c r="J259" s="308"/>
      <c r="S259" s="998" t="s">
        <v>1542</v>
      </c>
    </row>
    <row r="260" spans="2:10" ht="15">
      <c r="B260" s="4" t="s">
        <v>1071</v>
      </c>
      <c r="D260" s="4">
        <f>IF(F73&lt;=153,(F73*8.09)*12,IF(F73&gt;=154,14928))</f>
        <v>0</v>
      </c>
      <c r="F260" s="316" t="s">
        <v>446</v>
      </c>
      <c r="H260" s="310"/>
      <c r="J260" s="308"/>
    </row>
    <row r="261" spans="1:4" ht="15">
      <c r="A261" s="15"/>
      <c r="B261" s="300" t="s">
        <v>446</v>
      </c>
      <c r="D261" s="280"/>
    </row>
    <row r="262" spans="2:10" ht="15">
      <c r="B262" s="34"/>
      <c r="D262" s="36"/>
      <c r="G262" s="114" t="s">
        <v>448</v>
      </c>
      <c r="H262" s="238">
        <f>SUM(H249:H260)</f>
        <v>0</v>
      </c>
      <c r="J262" s="30">
        <f>SUM(J249:J260)</f>
        <v>0</v>
      </c>
    </row>
    <row r="263" spans="3:4" ht="15">
      <c r="C263" s="114" t="s">
        <v>649</v>
      </c>
      <c r="D263" s="4">
        <f>SUM(D249:D261)</f>
        <v>0</v>
      </c>
    </row>
    <row r="264" ht="15">
      <c r="D264" s="19"/>
    </row>
    <row r="265" spans="1:7" ht="15">
      <c r="A265" s="114" t="s">
        <v>449</v>
      </c>
      <c r="B265" s="22" t="s">
        <v>450</v>
      </c>
      <c r="C265" s="41"/>
      <c r="E265" s="114" t="s">
        <v>451</v>
      </c>
      <c r="F265" s="22" t="s">
        <v>452</v>
      </c>
      <c r="G265" s="22"/>
    </row>
    <row r="266" ht="15">
      <c r="A266" s="25"/>
    </row>
    <row r="267" spans="2:9" ht="15">
      <c r="B267" s="4" t="s">
        <v>453</v>
      </c>
      <c r="D267" s="308"/>
      <c r="F267" s="4" t="s">
        <v>421</v>
      </c>
      <c r="I267" s="308"/>
    </row>
    <row r="268" spans="2:9" ht="15">
      <c r="B268" s="4" t="s">
        <v>454</v>
      </c>
      <c r="D268" s="308"/>
      <c r="F268" s="4" t="s">
        <v>455</v>
      </c>
      <c r="I268" s="308"/>
    </row>
    <row r="269" spans="2:9" ht="15">
      <c r="B269" s="4" t="s">
        <v>456</v>
      </c>
      <c r="D269" s="308"/>
      <c r="F269" s="4" t="s">
        <v>457</v>
      </c>
      <c r="I269" s="308"/>
    </row>
    <row r="270" spans="2:9" ht="15">
      <c r="B270" s="4" t="s">
        <v>458</v>
      </c>
      <c r="D270" s="308"/>
      <c r="F270" s="4" t="s">
        <v>459</v>
      </c>
      <c r="I270" s="308"/>
    </row>
    <row r="271" spans="2:9" ht="15">
      <c r="B271" s="4" t="s">
        <v>460</v>
      </c>
      <c r="D271" s="308"/>
      <c r="F271" s="4" t="s">
        <v>461</v>
      </c>
      <c r="I271" s="308"/>
    </row>
    <row r="272" spans="2:9" ht="15">
      <c r="B272" s="4" t="s">
        <v>455</v>
      </c>
      <c r="D272" s="308"/>
      <c r="F272" s="4" t="s">
        <v>462</v>
      </c>
      <c r="I272" s="308"/>
    </row>
    <row r="273" spans="2:9" ht="15">
      <c r="B273" s="4" t="s">
        <v>463</v>
      </c>
      <c r="D273" s="308"/>
      <c r="F273" s="4" t="s">
        <v>464</v>
      </c>
      <c r="I273" s="4">
        <f>F73*350/3</f>
        <v>0</v>
      </c>
    </row>
    <row r="274" spans="2:9" ht="15">
      <c r="B274" s="4" t="s">
        <v>465</v>
      </c>
      <c r="D274" s="308"/>
      <c r="E274" s="20"/>
      <c r="F274" s="309" t="s">
        <v>446</v>
      </c>
      <c r="G274" s="20"/>
      <c r="H274" s="20"/>
      <c r="I274" s="311"/>
    </row>
    <row r="275" spans="2:4" ht="15">
      <c r="B275" s="4" t="s">
        <v>466</v>
      </c>
      <c r="D275" s="308"/>
    </row>
    <row r="276" spans="2:9" ht="15">
      <c r="B276" s="4" t="s">
        <v>418</v>
      </c>
      <c r="D276" s="308"/>
      <c r="H276" s="114" t="s">
        <v>467</v>
      </c>
      <c r="I276" s="30">
        <f>SUM(I267:I274)</f>
        <v>0</v>
      </c>
    </row>
    <row r="277" spans="2:4" ht="15">
      <c r="B277" s="4" t="s">
        <v>468</v>
      </c>
      <c r="D277" s="308"/>
    </row>
    <row r="278" spans="2:6" ht="15">
      <c r="B278" s="4" t="s">
        <v>469</v>
      </c>
      <c r="D278" s="308"/>
      <c r="E278" s="114" t="s">
        <v>470</v>
      </c>
      <c r="F278" s="22" t="s">
        <v>471</v>
      </c>
    </row>
    <row r="279" spans="2:4" ht="15">
      <c r="B279" s="4" t="s">
        <v>472</v>
      </c>
      <c r="D279" s="308"/>
    </row>
    <row r="280" spans="2:9" ht="15">
      <c r="B280" s="4" t="s">
        <v>473</v>
      </c>
      <c r="D280" s="308"/>
      <c r="F280" s="4" t="s">
        <v>474</v>
      </c>
      <c r="I280" s="308"/>
    </row>
    <row r="281" spans="2:9" ht="15">
      <c r="B281" s="4" t="s">
        <v>475</v>
      </c>
      <c r="D281" s="308"/>
      <c r="F281" s="4" t="s">
        <v>476</v>
      </c>
      <c r="I281" s="308"/>
    </row>
    <row r="282" spans="1:9" ht="15">
      <c r="A282" s="17"/>
      <c r="B282" s="309" t="s">
        <v>446</v>
      </c>
      <c r="C282" s="20"/>
      <c r="D282" s="308"/>
      <c r="F282" s="4" t="s">
        <v>477</v>
      </c>
      <c r="I282" s="308"/>
    </row>
    <row r="283" spans="6:9" ht="15">
      <c r="F283" s="4" t="s">
        <v>478</v>
      </c>
      <c r="I283" s="308"/>
    </row>
    <row r="284" spans="3:9" ht="15">
      <c r="C284" s="114" t="s">
        <v>858</v>
      </c>
      <c r="D284" s="30">
        <f>SUM(D267:D282)</f>
        <v>0</v>
      </c>
      <c r="F284" s="4" t="s">
        <v>479</v>
      </c>
      <c r="I284" s="308"/>
    </row>
    <row r="285" spans="6:9" ht="15">
      <c r="F285" s="4" t="s">
        <v>1264</v>
      </c>
      <c r="I285" s="308"/>
    </row>
    <row r="286" spans="7:9" ht="15">
      <c r="G286" s="41"/>
      <c r="H286" s="114" t="s">
        <v>467</v>
      </c>
      <c r="I286" s="30">
        <f>SUM(I280:I285)</f>
        <v>0</v>
      </c>
    </row>
    <row r="289" spans="1:2" ht="15">
      <c r="A289" s="114" t="s">
        <v>480</v>
      </c>
      <c r="B289" s="22" t="s">
        <v>481</v>
      </c>
    </row>
    <row r="290" ht="15">
      <c r="A290" s="25"/>
    </row>
    <row r="291" spans="2:5" ht="15">
      <c r="B291" s="4" t="s">
        <v>482</v>
      </c>
      <c r="D291" s="4" t="s">
        <v>483</v>
      </c>
      <c r="E291" s="30">
        <f>GROSRENT</f>
        <v>0</v>
      </c>
    </row>
    <row r="292" spans="2:5" ht="15">
      <c r="B292" s="4" t="s">
        <v>484</v>
      </c>
      <c r="D292" s="20" t="s">
        <v>485</v>
      </c>
      <c r="E292" s="30">
        <f>VACANCY</f>
        <v>0</v>
      </c>
    </row>
    <row r="293" spans="2:5" ht="15">
      <c r="B293" s="20" t="s">
        <v>670</v>
      </c>
      <c r="D293" s="20" t="s">
        <v>485</v>
      </c>
      <c r="E293" s="4">
        <f>I286</f>
        <v>0</v>
      </c>
    </row>
    <row r="294" ht="15">
      <c r="E294" s="19"/>
    </row>
    <row r="295" spans="2:8" ht="15">
      <c r="B295" s="4" t="s">
        <v>486</v>
      </c>
      <c r="D295" s="4" t="s">
        <v>483</v>
      </c>
      <c r="E295" s="4">
        <f>SUM(E291-(SUM(E292:E293)))</f>
        <v>0</v>
      </c>
      <c r="G295" s="20"/>
      <c r="H295" s="20"/>
    </row>
    <row r="296" spans="5:8" ht="15.75" thickBot="1">
      <c r="E296" s="19"/>
      <c r="G296" s="20"/>
      <c r="H296" s="20"/>
    </row>
    <row r="297" spans="2:8" ht="15.75" thickBot="1">
      <c r="B297" s="4" t="s">
        <v>487</v>
      </c>
      <c r="D297" s="4" t="s">
        <v>488</v>
      </c>
      <c r="E297" s="310"/>
      <c r="F297" s="4" t="s">
        <v>489</v>
      </c>
      <c r="G297" s="571"/>
      <c r="H297" s="572" t="s">
        <v>639</v>
      </c>
    </row>
    <row r="298" spans="2:8" ht="15.75" thickBot="1">
      <c r="B298" s="4" t="s">
        <v>490</v>
      </c>
      <c r="D298" s="4" t="s">
        <v>483</v>
      </c>
      <c r="E298" s="4">
        <f>IF(E297&gt;0,+E295*(E297/100),0)</f>
        <v>0</v>
      </c>
      <c r="F298" s="18" t="s">
        <v>640</v>
      </c>
      <c r="G298" s="573"/>
      <c r="H298" s="571" t="s">
        <v>641</v>
      </c>
    </row>
    <row r="299" ht="15">
      <c r="E299" s="19"/>
    </row>
    <row r="318" ht="22.5">
      <c r="A318" s="79" t="s">
        <v>491</v>
      </c>
    </row>
    <row r="319" ht="15">
      <c r="J319" s="10"/>
    </row>
    <row r="320" ht="15">
      <c r="J320" s="10"/>
    </row>
    <row r="321" spans="1:7" ht="15">
      <c r="A321" s="9" t="s">
        <v>492</v>
      </c>
      <c r="C321" s="4">
        <f>J216:J216</f>
        <v>0</v>
      </c>
      <c r="F321" s="15" t="s">
        <v>493</v>
      </c>
      <c r="G321" s="32">
        <f>G7:G7</f>
        <v>0</v>
      </c>
    </row>
    <row r="322" spans="1:10" ht="15">
      <c r="A322" s="9" t="s">
        <v>494</v>
      </c>
      <c r="C322" s="486"/>
      <c r="D322" s="9" t="s">
        <v>489</v>
      </c>
      <c r="E322" s="15"/>
      <c r="F322" s="15" t="s">
        <v>1258</v>
      </c>
      <c r="G322" s="32">
        <f>G9:G9</f>
        <v>0</v>
      </c>
      <c r="H322" s="42"/>
      <c r="J322" s="832">
        <f>G8</f>
        <v>0</v>
      </c>
    </row>
    <row r="323" spans="1:10" ht="15">
      <c r="A323" s="9" t="s">
        <v>495</v>
      </c>
      <c r="C323" s="975"/>
      <c r="D323" s="9" t="s">
        <v>791</v>
      </c>
      <c r="E323" s="560"/>
      <c r="F323" s="15" t="s">
        <v>1262</v>
      </c>
      <c r="H323" s="42"/>
      <c r="J323" s="43"/>
    </row>
    <row r="324" spans="1:10" ht="15">
      <c r="A324" s="9" t="s">
        <v>496</v>
      </c>
      <c r="C324" s="956"/>
      <c r="D324" s="114" t="s">
        <v>792</v>
      </c>
      <c r="E324" s="561"/>
      <c r="F324" s="41" t="s">
        <v>795</v>
      </c>
      <c r="G324" s="19"/>
      <c r="J324" s="18" t="s">
        <v>236</v>
      </c>
    </row>
    <row r="325" spans="1:5" ht="15">
      <c r="A325" s="9" t="s">
        <v>497</v>
      </c>
      <c r="C325" s="790">
        <f>COUNTY</f>
        <v>0</v>
      </c>
      <c r="D325" s="562" t="s">
        <v>793</v>
      </c>
      <c r="E325" s="563"/>
    </row>
    <row r="326" spans="4:13" ht="15">
      <c r="D326" s="41" t="s">
        <v>794</v>
      </c>
      <c r="E326" s="41"/>
      <c r="H326" s="114" t="s">
        <v>1076</v>
      </c>
      <c r="I326" s="564"/>
      <c r="M326" s="7" t="str">
        <f>IF(LEFT(C324,1)="M",12,IF(LEFT(C324,1)="S",2,IF(LEFT(C324,1)="Y",1,"INVALID RESPONSE")))</f>
        <v>INVALID RESPONSE</v>
      </c>
    </row>
    <row r="327" spans="8:9" ht="15">
      <c r="H327" s="114" t="s">
        <v>1077</v>
      </c>
      <c r="I327" s="564"/>
    </row>
    <row r="328" spans="4:9" ht="15">
      <c r="D328" s="22" t="s">
        <v>713</v>
      </c>
      <c r="I328" s="9"/>
    </row>
    <row r="329" ht="15">
      <c r="F329" s="18" t="s">
        <v>655</v>
      </c>
    </row>
    <row r="330" spans="2:10" ht="15">
      <c r="B330" s="18" t="s">
        <v>671</v>
      </c>
      <c r="C330" s="18" t="s">
        <v>671</v>
      </c>
      <c r="D330" s="18" t="s">
        <v>498</v>
      </c>
      <c r="E330" s="18" t="s">
        <v>851</v>
      </c>
      <c r="F330" s="18" t="s">
        <v>656</v>
      </c>
      <c r="J330" s="4" t="s">
        <v>1212</v>
      </c>
    </row>
    <row r="331" spans="2:10" ht="15">
      <c r="B331" s="18" t="s">
        <v>672</v>
      </c>
      <c r="C331" s="18" t="s">
        <v>673</v>
      </c>
      <c r="D331" s="18" t="s">
        <v>499</v>
      </c>
      <c r="E331" s="18" t="s">
        <v>853</v>
      </c>
      <c r="F331" s="18" t="s">
        <v>657</v>
      </c>
      <c r="G331" s="18" t="s">
        <v>848</v>
      </c>
      <c r="H331" s="18" t="s">
        <v>674</v>
      </c>
      <c r="I331" s="18" t="s">
        <v>675</v>
      </c>
      <c r="J331" s="4" t="s">
        <v>1213</v>
      </c>
    </row>
    <row r="332" spans="2:10" ht="15">
      <c r="B332" s="976"/>
      <c r="C332" s="976"/>
      <c r="D332" s="976"/>
      <c r="E332" s="976"/>
      <c r="F332" s="976"/>
      <c r="G332" s="27">
        <f>E332-F332</f>
        <v>0</v>
      </c>
      <c r="H332" s="27">
        <f>G332*C332</f>
        <v>0</v>
      </c>
      <c r="I332" s="239">
        <f>H332*12</f>
        <v>0</v>
      </c>
      <c r="J332" s="292"/>
    </row>
    <row r="333" spans="2:10" ht="15">
      <c r="B333" s="976"/>
      <c r="C333" s="976"/>
      <c r="D333" s="976"/>
      <c r="E333" s="976"/>
      <c r="F333" s="976"/>
      <c r="G333" s="27">
        <f aca="true" t="shared" si="1" ref="G333:G351">E333-F333</f>
        <v>0</v>
      </c>
      <c r="H333" s="27">
        <f aca="true" t="shared" si="2" ref="H333:H350">G333*C333</f>
        <v>0</v>
      </c>
      <c r="I333" s="239">
        <f aca="true" t="shared" si="3" ref="I333:I351">H333*12</f>
        <v>0</v>
      </c>
      <c r="J333" s="293"/>
    </row>
    <row r="334" spans="2:10" ht="15">
      <c r="B334" s="976"/>
      <c r="C334" s="976"/>
      <c r="D334" s="976"/>
      <c r="E334" s="976"/>
      <c r="F334" s="976"/>
      <c r="G334" s="27">
        <f t="shared" si="1"/>
        <v>0</v>
      </c>
      <c r="H334" s="27">
        <f t="shared" si="2"/>
        <v>0</v>
      </c>
      <c r="I334" s="239">
        <f t="shared" si="3"/>
        <v>0</v>
      </c>
      <c r="J334" s="293"/>
    </row>
    <row r="335" spans="2:10" ht="15">
      <c r="B335" s="976"/>
      <c r="C335" s="976"/>
      <c r="D335" s="976"/>
      <c r="E335" s="976"/>
      <c r="F335" s="976"/>
      <c r="G335" s="27">
        <f t="shared" si="1"/>
        <v>0</v>
      </c>
      <c r="H335" s="27">
        <f t="shared" si="2"/>
        <v>0</v>
      </c>
      <c r="I335" s="239">
        <f t="shared" si="3"/>
        <v>0</v>
      </c>
      <c r="J335" s="293"/>
    </row>
    <row r="336" spans="2:10" ht="15">
      <c r="B336" s="976"/>
      <c r="C336" s="976"/>
      <c r="D336" s="976"/>
      <c r="E336" s="976"/>
      <c r="F336" s="976"/>
      <c r="G336" s="27">
        <f t="shared" si="1"/>
        <v>0</v>
      </c>
      <c r="H336" s="27">
        <f t="shared" si="2"/>
        <v>0</v>
      </c>
      <c r="I336" s="239">
        <f t="shared" si="3"/>
        <v>0</v>
      </c>
      <c r="J336" s="293"/>
    </row>
    <row r="337" spans="2:10" ht="15">
      <c r="B337" s="976"/>
      <c r="C337" s="976"/>
      <c r="D337" s="976"/>
      <c r="E337" s="976"/>
      <c r="F337" s="976"/>
      <c r="G337" s="27">
        <f t="shared" si="1"/>
        <v>0</v>
      </c>
      <c r="H337" s="27">
        <f t="shared" si="2"/>
        <v>0</v>
      </c>
      <c r="I337" s="239">
        <f t="shared" si="3"/>
        <v>0</v>
      </c>
      <c r="J337" s="293"/>
    </row>
    <row r="338" spans="2:10" ht="15">
      <c r="B338" s="976"/>
      <c r="C338" s="976"/>
      <c r="D338" s="976"/>
      <c r="E338" s="976"/>
      <c r="F338" s="976"/>
      <c r="G338" s="27">
        <f t="shared" si="1"/>
        <v>0</v>
      </c>
      <c r="H338" s="27">
        <f t="shared" si="2"/>
        <v>0</v>
      </c>
      <c r="I338" s="239">
        <f t="shared" si="3"/>
        <v>0</v>
      </c>
      <c r="J338" s="293"/>
    </row>
    <row r="339" spans="2:10" ht="15">
      <c r="B339" s="312"/>
      <c r="C339" s="312"/>
      <c r="D339" s="312"/>
      <c r="E339" s="312"/>
      <c r="F339" s="312"/>
      <c r="G339" s="27">
        <f t="shared" si="1"/>
        <v>0</v>
      </c>
      <c r="H339" s="27">
        <f t="shared" si="2"/>
        <v>0</v>
      </c>
      <c r="I339" s="239">
        <f t="shared" si="3"/>
        <v>0</v>
      </c>
      <c r="J339" s="589"/>
    </row>
    <row r="340" spans="2:10" ht="15">
      <c r="B340" s="312"/>
      <c r="C340" s="312"/>
      <c r="D340" s="312"/>
      <c r="E340" s="312"/>
      <c r="F340" s="312"/>
      <c r="G340" s="27">
        <f t="shared" si="1"/>
        <v>0</v>
      </c>
      <c r="H340" s="27">
        <f t="shared" si="2"/>
        <v>0</v>
      </c>
      <c r="I340" s="239">
        <f t="shared" si="3"/>
        <v>0</v>
      </c>
      <c r="J340" s="589"/>
    </row>
    <row r="341" spans="2:10" ht="15">
      <c r="B341" s="312"/>
      <c r="C341" s="312"/>
      <c r="D341" s="312"/>
      <c r="E341" s="312"/>
      <c r="F341" s="312"/>
      <c r="G341" s="27">
        <f t="shared" si="1"/>
        <v>0</v>
      </c>
      <c r="H341" s="27">
        <f t="shared" si="2"/>
        <v>0</v>
      </c>
      <c r="I341" s="239">
        <f t="shared" si="3"/>
        <v>0</v>
      </c>
      <c r="J341" s="589"/>
    </row>
    <row r="342" spans="2:10" ht="15">
      <c r="B342" s="312"/>
      <c r="C342" s="312"/>
      <c r="D342" s="312"/>
      <c r="E342" s="312"/>
      <c r="F342" s="312"/>
      <c r="G342" s="27">
        <f t="shared" si="1"/>
        <v>0</v>
      </c>
      <c r="H342" s="27">
        <f t="shared" si="2"/>
        <v>0</v>
      </c>
      <c r="I342" s="239">
        <f t="shared" si="3"/>
        <v>0</v>
      </c>
      <c r="J342" s="589"/>
    </row>
    <row r="343" spans="2:10" ht="15">
      <c r="B343" s="312"/>
      <c r="C343" s="312"/>
      <c r="D343" s="312"/>
      <c r="E343" s="312"/>
      <c r="F343" s="312"/>
      <c r="G343" s="27">
        <f t="shared" si="1"/>
        <v>0</v>
      </c>
      <c r="H343" s="27">
        <f t="shared" si="2"/>
        <v>0</v>
      </c>
      <c r="I343" s="239">
        <f t="shared" si="3"/>
        <v>0</v>
      </c>
      <c r="J343" s="589"/>
    </row>
    <row r="344" spans="2:10" ht="15">
      <c r="B344" s="312"/>
      <c r="C344" s="312"/>
      <c r="D344" s="312"/>
      <c r="E344" s="312"/>
      <c r="F344" s="312"/>
      <c r="G344" s="27">
        <f t="shared" si="1"/>
        <v>0</v>
      </c>
      <c r="H344" s="27">
        <f t="shared" si="2"/>
        <v>0</v>
      </c>
      <c r="I344" s="239">
        <f t="shared" si="3"/>
        <v>0</v>
      </c>
      <c r="J344" s="589"/>
    </row>
    <row r="345" spans="2:10" ht="15">
      <c r="B345" s="312"/>
      <c r="C345" s="312"/>
      <c r="D345" s="312"/>
      <c r="E345" s="312"/>
      <c r="F345" s="312"/>
      <c r="G345" s="27">
        <f t="shared" si="1"/>
        <v>0</v>
      </c>
      <c r="H345" s="27">
        <f t="shared" si="2"/>
        <v>0</v>
      </c>
      <c r="I345" s="239">
        <f t="shared" si="3"/>
        <v>0</v>
      </c>
      <c r="J345" s="589"/>
    </row>
    <row r="346" spans="2:10" ht="15">
      <c r="B346" s="312"/>
      <c r="C346" s="312"/>
      <c r="D346" s="312"/>
      <c r="E346" s="312"/>
      <c r="F346" s="312"/>
      <c r="G346" s="27">
        <f t="shared" si="1"/>
        <v>0</v>
      </c>
      <c r="H346" s="27">
        <f t="shared" si="2"/>
        <v>0</v>
      </c>
      <c r="I346" s="239">
        <f t="shared" si="3"/>
        <v>0</v>
      </c>
      <c r="J346" s="589"/>
    </row>
    <row r="347" spans="2:10" ht="15">
      <c r="B347" s="312"/>
      <c r="C347" s="312"/>
      <c r="D347" s="312"/>
      <c r="E347" s="312"/>
      <c r="F347" s="312"/>
      <c r="G347" s="27">
        <f t="shared" si="1"/>
        <v>0</v>
      </c>
      <c r="H347" s="27">
        <f t="shared" si="2"/>
        <v>0</v>
      </c>
      <c r="I347" s="239">
        <f t="shared" si="3"/>
        <v>0</v>
      </c>
      <c r="J347" s="589"/>
    </row>
    <row r="348" spans="2:10" ht="15">
      <c r="B348" s="312"/>
      <c r="C348" s="312"/>
      <c r="D348" s="312"/>
      <c r="E348" s="312"/>
      <c r="F348" s="312"/>
      <c r="G348" s="27">
        <f t="shared" si="1"/>
        <v>0</v>
      </c>
      <c r="H348" s="27">
        <f t="shared" si="2"/>
        <v>0</v>
      </c>
      <c r="I348" s="239">
        <f t="shared" si="3"/>
        <v>0</v>
      </c>
      <c r="J348" s="589"/>
    </row>
    <row r="349" spans="2:10" ht="15">
      <c r="B349" s="312"/>
      <c r="C349" s="312"/>
      <c r="D349" s="312"/>
      <c r="E349" s="312"/>
      <c r="F349" s="312"/>
      <c r="G349" s="27">
        <f t="shared" si="1"/>
        <v>0</v>
      </c>
      <c r="H349" s="27">
        <f t="shared" si="2"/>
        <v>0</v>
      </c>
      <c r="I349" s="239">
        <f t="shared" si="3"/>
        <v>0</v>
      </c>
      <c r="J349" s="589"/>
    </row>
    <row r="350" spans="2:10" ht="15">
      <c r="B350" s="312"/>
      <c r="C350" s="312"/>
      <c r="D350" s="312"/>
      <c r="E350" s="312"/>
      <c r="F350" s="312"/>
      <c r="G350" s="27">
        <f t="shared" si="1"/>
        <v>0</v>
      </c>
      <c r="H350" s="27">
        <f t="shared" si="2"/>
        <v>0</v>
      </c>
      <c r="I350" s="239">
        <f t="shared" si="3"/>
        <v>0</v>
      </c>
      <c r="J350" s="589"/>
    </row>
    <row r="351" spans="1:10" ht="15">
      <c r="A351" s="17" t="s">
        <v>712</v>
      </c>
      <c r="B351" s="312"/>
      <c r="C351" s="312"/>
      <c r="D351" s="312"/>
      <c r="E351" s="312"/>
      <c r="F351" s="312"/>
      <c r="G351" s="239">
        <f t="shared" si="1"/>
        <v>0</v>
      </c>
      <c r="H351" s="239">
        <f>G351*C351</f>
        <v>0</v>
      </c>
      <c r="I351" s="239">
        <f t="shared" si="3"/>
        <v>0</v>
      </c>
      <c r="J351" s="589"/>
    </row>
    <row r="352" spans="2:6" ht="15">
      <c r="B352" s="19"/>
      <c r="E352" s="19"/>
      <c r="F352" s="19"/>
    </row>
    <row r="353" spans="2:8" ht="15.75" thickBot="1">
      <c r="B353" s="41" t="s">
        <v>500</v>
      </c>
      <c r="C353" s="41">
        <f>SUM(C332:C351)</f>
        <v>0</v>
      </c>
      <c r="G353" s="44"/>
      <c r="H353" s="276">
        <f>SUM(H332:H351)</f>
        <v>0</v>
      </c>
    </row>
    <row r="354" spans="3:7" ht="15.75" thickTop="1">
      <c r="C354" s="19"/>
      <c r="G354" s="44"/>
    </row>
    <row r="355" spans="8:9" ht="15.75" thickBot="1">
      <c r="H355" s="114" t="s">
        <v>199</v>
      </c>
      <c r="I355" s="276">
        <f>SUM(I332:I351)</f>
        <v>0</v>
      </c>
    </row>
    <row r="356" ht="15.75" thickTop="1">
      <c r="H356" s="44"/>
    </row>
    <row r="357" spans="1:2" ht="15">
      <c r="A357" s="9" t="s">
        <v>501</v>
      </c>
      <c r="B357" s="4" t="s">
        <v>502</v>
      </c>
    </row>
    <row r="358" ht="15">
      <c r="B358" s="4" t="s">
        <v>503</v>
      </c>
    </row>
    <row r="359" spans="1:6" ht="15">
      <c r="A359" s="9" t="s">
        <v>504</v>
      </c>
      <c r="B359" s="4" t="s">
        <v>505</v>
      </c>
      <c r="F359" s="41" t="s">
        <v>681</v>
      </c>
    </row>
    <row r="360" spans="2:7" ht="15">
      <c r="B360" s="4" t="s">
        <v>506</v>
      </c>
      <c r="G360" s="22" t="s">
        <v>680</v>
      </c>
    </row>
    <row r="361" ht="15">
      <c r="B361" s="4" t="s">
        <v>507</v>
      </c>
    </row>
    <row r="362" ht="15">
      <c r="B362" s="4" t="s">
        <v>508</v>
      </c>
    </row>
    <row r="363" ht="15">
      <c r="B363" s="41" t="s">
        <v>716</v>
      </c>
    </row>
    <row r="364" spans="1:2" ht="15">
      <c r="A364" s="9" t="s">
        <v>509</v>
      </c>
      <c r="B364" s="4" t="s">
        <v>510</v>
      </c>
    </row>
    <row r="365" ht="15">
      <c r="B365" s="4" t="s">
        <v>511</v>
      </c>
    </row>
    <row r="370" ht="15">
      <c r="D370" s="22" t="s">
        <v>512</v>
      </c>
    </row>
    <row r="371" spans="8:10" ht="15">
      <c r="H371" s="26" t="s">
        <v>513</v>
      </c>
      <c r="I371" s="1562" t="s">
        <v>1460</v>
      </c>
      <c r="J371" s="26" t="s">
        <v>514</v>
      </c>
    </row>
    <row r="372" spans="1:10" ht="15">
      <c r="A372" s="25" t="s">
        <v>515</v>
      </c>
      <c r="B372" s="22" t="s">
        <v>516</v>
      </c>
      <c r="E372" s="41" t="s">
        <v>517</v>
      </c>
      <c r="F372" s="113" t="s">
        <v>683</v>
      </c>
      <c r="G372" s="41"/>
      <c r="H372" s="108" t="s">
        <v>684</v>
      </c>
      <c r="I372" s="1563"/>
      <c r="J372" s="108" t="s">
        <v>518</v>
      </c>
    </row>
    <row r="373" spans="2:10" ht="15">
      <c r="B373" s="4" t="s">
        <v>519</v>
      </c>
      <c r="D373" s="297"/>
      <c r="F373" s="44" t="s">
        <v>520</v>
      </c>
      <c r="H373" s="977"/>
      <c r="I373" s="903"/>
      <c r="J373" s="977"/>
    </row>
    <row r="374" spans="2:10" ht="15">
      <c r="B374" s="4" t="s">
        <v>521</v>
      </c>
      <c r="D374" s="313"/>
      <c r="F374" s="4" t="s">
        <v>522</v>
      </c>
      <c r="H374" s="977"/>
      <c r="I374" s="903"/>
      <c r="J374" s="977"/>
    </row>
    <row r="375" spans="2:10" ht="15">
      <c r="B375" s="4" t="s">
        <v>523</v>
      </c>
      <c r="D375" s="313"/>
      <c r="F375" s="4" t="s">
        <v>524</v>
      </c>
      <c r="H375" s="977"/>
      <c r="I375" s="903"/>
      <c r="J375" s="977"/>
    </row>
    <row r="376" spans="2:10" ht="15">
      <c r="B376" s="4" t="s">
        <v>525</v>
      </c>
      <c r="D376" s="313"/>
      <c r="F376" s="4" t="s">
        <v>523</v>
      </c>
      <c r="H376" s="977"/>
      <c r="I376" s="903"/>
      <c r="J376" s="977"/>
    </row>
    <row r="377" spans="2:10" ht="15">
      <c r="B377" s="4" t="s">
        <v>526</v>
      </c>
      <c r="D377" s="313"/>
      <c r="F377" s="4" t="s">
        <v>527</v>
      </c>
      <c r="H377" s="19"/>
      <c r="I377" s="903"/>
      <c r="J377" s="977"/>
    </row>
    <row r="378" spans="2:10" ht="15">
      <c r="B378" s="4" t="s">
        <v>528</v>
      </c>
      <c r="D378" s="313"/>
      <c r="E378" s="44"/>
      <c r="F378" s="4" t="s">
        <v>529</v>
      </c>
      <c r="I378" s="903"/>
      <c r="J378" s="977"/>
    </row>
    <row r="379" spans="2:10" ht="15">
      <c r="B379" s="4" t="s">
        <v>530</v>
      </c>
      <c r="D379" s="313"/>
      <c r="E379" s="45"/>
      <c r="F379" s="4" t="s">
        <v>531</v>
      </c>
      <c r="I379" s="904"/>
      <c r="J379" s="977"/>
    </row>
    <row r="380" spans="2:10" ht="15">
      <c r="B380" s="4" t="s">
        <v>532</v>
      </c>
      <c r="D380" s="313"/>
      <c r="F380" s="4" t="s">
        <v>13</v>
      </c>
      <c r="J380" s="977"/>
    </row>
    <row r="381" spans="2:10" ht="15">
      <c r="B381" s="4" t="s">
        <v>533</v>
      </c>
      <c r="D381" s="313"/>
      <c r="E381" s="45"/>
      <c r="F381" s="315" t="s">
        <v>446</v>
      </c>
      <c r="G381" s="20"/>
      <c r="J381" s="313"/>
    </row>
    <row r="382" spans="2:10" ht="15">
      <c r="B382" s="4" t="s">
        <v>534</v>
      </c>
      <c r="D382" s="317"/>
      <c r="F382" s="316" t="s">
        <v>446</v>
      </c>
      <c r="G382" s="20"/>
      <c r="J382" s="314"/>
    </row>
    <row r="383" spans="2:10" ht="15">
      <c r="B383" s="316" t="s">
        <v>446</v>
      </c>
      <c r="C383" s="20"/>
      <c r="D383" s="297"/>
      <c r="J383" s="18"/>
    </row>
    <row r="384" ht="15">
      <c r="D384" s="19"/>
    </row>
    <row r="385" spans="1:7" ht="15">
      <c r="A385" s="952" t="s">
        <v>1461</v>
      </c>
      <c r="B385" s="953"/>
      <c r="C385" s="953"/>
      <c r="D385" s="942"/>
      <c r="E385" s="835"/>
      <c r="F385" s="835"/>
      <c r="G385" s="835"/>
    </row>
    <row r="386" spans="1:7" ht="15">
      <c r="A386" s="25" t="s">
        <v>1462</v>
      </c>
      <c r="B386" s="835"/>
      <c r="C386" s="828"/>
      <c r="D386" s="41" t="s">
        <v>1463</v>
      </c>
      <c r="E386" s="41"/>
      <c r="F386" s="828"/>
      <c r="G386" s="835"/>
    </row>
    <row r="387" spans="1:7" ht="15">
      <c r="A387" s="41" t="s">
        <v>1464</v>
      </c>
      <c r="B387" s="41"/>
      <c r="C387" s="828"/>
      <c r="D387" s="25" t="s">
        <v>1465</v>
      </c>
      <c r="E387" s="41"/>
      <c r="F387" s="828"/>
      <c r="G387" s="41"/>
    </row>
    <row r="388" spans="3:9" ht="15">
      <c r="C388" s="20"/>
      <c r="D388" s="20"/>
      <c r="E388" s="20"/>
      <c r="F388" s="20"/>
      <c r="G388" s="20"/>
      <c r="H388" s="20"/>
      <c r="I388" s="20"/>
    </row>
    <row r="389" ht="15">
      <c r="A389" s="21" t="s">
        <v>535</v>
      </c>
    </row>
    <row r="390" ht="15">
      <c r="A390" s="9" t="s">
        <v>540</v>
      </c>
    </row>
    <row r="391" spans="1:9" ht="15">
      <c r="A391" s="1549"/>
      <c r="B391" s="1550"/>
      <c r="C391" s="1550"/>
      <c r="D391" s="1550"/>
      <c r="E391" s="1550"/>
      <c r="F391" s="1550"/>
      <c r="G391" s="1550"/>
      <c r="H391" s="1550"/>
      <c r="I391" s="1550"/>
    </row>
    <row r="392" spans="1:9" ht="15">
      <c r="A392" s="1549"/>
      <c r="B392" s="1550"/>
      <c r="C392" s="1550"/>
      <c r="D392" s="1550"/>
      <c r="E392" s="1550"/>
      <c r="F392" s="1550"/>
      <c r="G392" s="1550"/>
      <c r="H392" s="1550"/>
      <c r="I392" s="1550"/>
    </row>
    <row r="393" spans="1:9" ht="15">
      <c r="A393" s="1549"/>
      <c r="B393" s="1550"/>
      <c r="C393" s="1550"/>
      <c r="D393" s="1550"/>
      <c r="E393" s="1550"/>
      <c r="F393" s="1550"/>
      <c r="G393" s="1550"/>
      <c r="H393" s="1550"/>
      <c r="I393" s="1550"/>
    </row>
    <row r="394" spans="1:9" ht="15">
      <c r="A394" s="46"/>
      <c r="B394" s="36"/>
      <c r="C394" s="36"/>
      <c r="D394" s="36"/>
      <c r="E394" s="36"/>
      <c r="F394" s="36"/>
      <c r="G394" s="36"/>
      <c r="H394" s="36"/>
      <c r="I394" s="36"/>
    </row>
    <row r="408" ht="22.5">
      <c r="A408" s="79" t="s">
        <v>541</v>
      </c>
    </row>
    <row r="409" ht="15">
      <c r="J409" s="10"/>
    </row>
    <row r="410" ht="15">
      <c r="J410" s="20"/>
    </row>
    <row r="411" spans="2:7" ht="15">
      <c r="B411" s="121" t="str">
        <f>B241</f>
        <v>  Borrowing Entity:</v>
      </c>
      <c r="C411" s="127">
        <f>C241</f>
        <v>0</v>
      </c>
      <c r="D411" s="127"/>
      <c r="F411" s="15" t="s">
        <v>1248</v>
      </c>
      <c r="G411" s="4">
        <f>G7:G7</f>
        <v>0</v>
      </c>
    </row>
    <row r="412" spans="2:10" ht="15">
      <c r="B412" s="44"/>
      <c r="C412" s="44"/>
      <c r="E412" s="15"/>
      <c r="F412" s="9" t="s">
        <v>1258</v>
      </c>
      <c r="G412" s="831">
        <f>G9:G9</f>
        <v>0</v>
      </c>
      <c r="H412" s="42"/>
      <c r="J412" s="830">
        <f>G8</f>
        <v>0</v>
      </c>
    </row>
    <row r="413" spans="2:10" ht="15">
      <c r="B413" s="9" t="s">
        <v>368</v>
      </c>
      <c r="C413" s="4">
        <f>C12:C12</f>
        <v>0</v>
      </c>
      <c r="D413" s="127"/>
      <c r="E413" s="15"/>
      <c r="F413" s="9" t="s">
        <v>1262</v>
      </c>
      <c r="G413" s="36"/>
      <c r="H413" s="42"/>
      <c r="J413" s="20"/>
    </row>
    <row r="414" spans="2:10" ht="15">
      <c r="B414" s="19"/>
      <c r="C414" s="19"/>
      <c r="F414" s="835" t="s">
        <v>1566</v>
      </c>
      <c r="G414" s="19"/>
      <c r="J414" s="33" t="s">
        <v>236</v>
      </c>
    </row>
    <row r="415" ht="15">
      <c r="A415" s="25" t="s">
        <v>542</v>
      </c>
    </row>
    <row r="416" spans="2:6" ht="15">
      <c r="B416" s="4" t="s">
        <v>543</v>
      </c>
      <c r="E416" s="15" t="s">
        <v>544</v>
      </c>
      <c r="F416" s="30">
        <f>I355</f>
        <v>0</v>
      </c>
    </row>
    <row r="417" spans="2:6" ht="15">
      <c r="B417" s="4" t="s">
        <v>665</v>
      </c>
      <c r="C417" s="15" t="s">
        <v>666</v>
      </c>
      <c r="D417" s="318"/>
      <c r="E417" s="4" t="s">
        <v>545</v>
      </c>
      <c r="F417" s="30">
        <f>GROSRENT*(VACANCY_PERC/100)</f>
        <v>0</v>
      </c>
    </row>
    <row r="418" spans="2:6" ht="15">
      <c r="B418" s="4" t="s">
        <v>546</v>
      </c>
      <c r="F418" s="30">
        <f>SUM(F416-VACANCY)</f>
        <v>0</v>
      </c>
    </row>
    <row r="420" spans="2:6" ht="15">
      <c r="B420" s="4" t="s">
        <v>547</v>
      </c>
      <c r="D420" s="485">
        <f>IF(G70&lt;&gt;0,F420/G70,0)</f>
        <v>0</v>
      </c>
      <c r="E420" s="15" t="s">
        <v>1191</v>
      </c>
      <c r="F420" s="308"/>
    </row>
    <row r="421" spans="2:6" ht="15">
      <c r="B421" s="4" t="s">
        <v>548</v>
      </c>
      <c r="D421" s="484">
        <f>IF(G69&lt;&gt;0,F421/G69,0)</f>
        <v>0</v>
      </c>
      <c r="E421" s="15" t="s">
        <v>1190</v>
      </c>
      <c r="F421" s="311"/>
    </row>
    <row r="422" spans="2:6" ht="15">
      <c r="B422" s="4" t="s">
        <v>549</v>
      </c>
      <c r="D422" s="301"/>
      <c r="E422" s="20" t="s">
        <v>489</v>
      </c>
      <c r="F422" s="30">
        <f>SUM(F420:F421)*(D422/100)</f>
        <v>0</v>
      </c>
    </row>
    <row r="423" spans="2:6" ht="15">
      <c r="B423" s="4" t="s">
        <v>550</v>
      </c>
      <c r="F423" s="30">
        <f>(+F420+F421)-F422</f>
        <v>0</v>
      </c>
    </row>
    <row r="425" spans="2:6" ht="15">
      <c r="B425" s="4" t="s">
        <v>551</v>
      </c>
      <c r="E425" s="15" t="s">
        <v>544</v>
      </c>
      <c r="F425" s="4">
        <f>NET_OTHR_RENTAL+NET_APT_RENTS</f>
        <v>0</v>
      </c>
    </row>
    <row r="426" ht="15">
      <c r="F426" s="19"/>
    </row>
    <row r="427" ht="15">
      <c r="A427" s="25" t="s">
        <v>552</v>
      </c>
    </row>
    <row r="428" spans="2:6" ht="15">
      <c r="B428" s="4" t="s">
        <v>553</v>
      </c>
      <c r="E428" s="15" t="s">
        <v>544</v>
      </c>
      <c r="F428" s="308"/>
    </row>
    <row r="429" spans="1:6" ht="15">
      <c r="A429" s="18"/>
      <c r="B429" s="316" t="s">
        <v>446</v>
      </c>
      <c r="C429" s="20"/>
      <c r="D429" s="20"/>
      <c r="F429" s="308"/>
    </row>
    <row r="430" spans="2:6" ht="15">
      <c r="B430" s="4" t="s">
        <v>554</v>
      </c>
      <c r="E430" s="15" t="s">
        <v>544</v>
      </c>
      <c r="F430" s="30">
        <f>SUM(F428:F429)</f>
        <v>0</v>
      </c>
    </row>
    <row r="432" spans="2:8" ht="15.75" thickBot="1">
      <c r="B432" s="47" t="s">
        <v>555</v>
      </c>
      <c r="D432" s="38"/>
      <c r="E432" s="38"/>
      <c r="F432" s="38"/>
      <c r="G432" s="39" t="s">
        <v>544</v>
      </c>
      <c r="H432" s="48">
        <f>F425+(F430)</f>
        <v>0</v>
      </c>
    </row>
    <row r="433" ht="15.75" thickTop="1">
      <c r="H433" s="19"/>
    </row>
    <row r="434" ht="15">
      <c r="A434" s="25" t="s">
        <v>556</v>
      </c>
    </row>
    <row r="435" spans="2:6" ht="15">
      <c r="B435" s="4" t="s">
        <v>714</v>
      </c>
      <c r="C435" s="4" t="s">
        <v>715</v>
      </c>
      <c r="E435" s="15" t="s">
        <v>350</v>
      </c>
      <c r="F435" s="30">
        <f>D263:D263</f>
        <v>0</v>
      </c>
    </row>
    <row r="436" spans="2:6" ht="15">
      <c r="B436" s="4" t="s">
        <v>717</v>
      </c>
      <c r="C436" s="4" t="s">
        <v>724</v>
      </c>
      <c r="F436" s="30">
        <f>J262:J262</f>
        <v>0</v>
      </c>
    </row>
    <row r="437" spans="2:6" ht="15">
      <c r="B437" s="4" t="s">
        <v>718</v>
      </c>
      <c r="C437" s="4" t="s">
        <v>719</v>
      </c>
      <c r="F437" s="30">
        <f>TOT_M_R</f>
        <v>0</v>
      </c>
    </row>
    <row r="438" spans="2:6" ht="15">
      <c r="B438" s="4" t="s">
        <v>722</v>
      </c>
      <c r="C438" s="4" t="s">
        <v>723</v>
      </c>
      <c r="F438" s="30">
        <f>I276:I276</f>
        <v>0</v>
      </c>
    </row>
    <row r="439" spans="2:8" ht="15">
      <c r="B439" s="4" t="s">
        <v>720</v>
      </c>
      <c r="C439" s="4" t="s">
        <v>721</v>
      </c>
      <c r="F439" s="30">
        <f>I286:I286</f>
        <v>0</v>
      </c>
      <c r="G439" s="16"/>
      <c r="H439" s="16"/>
    </row>
    <row r="440" spans="2:8" ht="15">
      <c r="B440" s="4" t="s">
        <v>667</v>
      </c>
      <c r="C440" s="829">
        <f>IF(C353&lt;&gt;0,(F440/C353/12),0)</f>
        <v>0</v>
      </c>
      <c r="D440" s="44" t="s">
        <v>653</v>
      </c>
      <c r="F440" s="299"/>
      <c r="G440" s="942" t="s">
        <v>1582</v>
      </c>
      <c r="H440" s="16"/>
    </row>
    <row r="441" spans="2:8" ht="15">
      <c r="B441" s="4" t="s">
        <v>1081</v>
      </c>
      <c r="C441" s="9"/>
      <c r="D441" s="565"/>
      <c r="E441" s="4" t="s">
        <v>124</v>
      </c>
      <c r="F441" s="35">
        <f>F423*(D441/100)</f>
        <v>0</v>
      </c>
      <c r="G441" s="16"/>
      <c r="H441" s="16"/>
    </row>
    <row r="442" spans="2:8" ht="15">
      <c r="B442" s="4" t="s">
        <v>725</v>
      </c>
      <c r="C442" s="4" t="s">
        <v>726</v>
      </c>
      <c r="F442" s="110">
        <f>IF(G298=0,E298,G298)</f>
        <v>0</v>
      </c>
      <c r="G442" s="16"/>
      <c r="H442" s="16"/>
    </row>
    <row r="443" spans="2:7" ht="15">
      <c r="B443" s="4" t="s">
        <v>557</v>
      </c>
      <c r="C443" s="307"/>
      <c r="D443" s="4" t="s">
        <v>1144</v>
      </c>
      <c r="F443" s="826">
        <f>C443*C29</f>
        <v>0</v>
      </c>
      <c r="G443" s="41" t="s">
        <v>1384</v>
      </c>
    </row>
    <row r="444" spans="2:7" ht="15">
      <c r="B444" s="4" t="s">
        <v>558</v>
      </c>
      <c r="F444" s="16"/>
      <c r="G444" s="4">
        <v>0</v>
      </c>
    </row>
    <row r="445" spans="2:6" ht="15">
      <c r="B445" s="18"/>
      <c r="C445" s="987">
        <f>IF(AND(F445&lt;&gt;0,C29&lt;&gt;0),F445/C29,0)</f>
        <v>0</v>
      </c>
      <c r="D445" s="4" t="s">
        <v>653</v>
      </c>
      <c r="F445" s="985">
        <f>IF(C29&lt;50,525*C29,IF(AND(C23&lt;&gt;"",OR(G22&lt;&gt;"",G23&lt;&gt;"")),390*C29,IF(AND(C23&lt;&gt;"",OR(G23&lt;&gt;"",G25&lt;&gt;"",G26&lt;&gt;"",G27&lt;&gt;"")),440*C29,IF(AND(C22&lt;&gt;"",OR(G22&lt;&gt;"",G23&lt;&gt;"")),440*C29,IF(AND(C22&lt;&gt;"",OR(G24&lt;&gt;"",G25&lt;&gt;"",G26&lt;&gt;"",G27&lt;&gt;"")),490*C29,440*C29)))))</f>
        <v>0</v>
      </c>
    </row>
    <row r="446" ht="15">
      <c r="F446" s="19"/>
    </row>
    <row r="447" spans="2:8" ht="15.75" thickBot="1">
      <c r="B447" s="47" t="s">
        <v>559</v>
      </c>
      <c r="C447" s="38"/>
      <c r="D447" s="38"/>
      <c r="E447" s="38"/>
      <c r="F447" s="38"/>
      <c r="G447" s="39" t="s">
        <v>544</v>
      </c>
      <c r="H447" s="48">
        <f>SUM(F435:F446)</f>
        <v>0</v>
      </c>
    </row>
    <row r="448" ht="15.75" thickTop="1">
      <c r="F448" s="4">
        <v>0</v>
      </c>
    </row>
    <row r="449" spans="1:8" ht="15.75" thickBot="1">
      <c r="A449" s="25" t="s">
        <v>560</v>
      </c>
      <c r="G449" s="15" t="s">
        <v>544</v>
      </c>
      <c r="H449" s="836">
        <f>ROUND(H432-(+H447:H447),0)</f>
        <v>0</v>
      </c>
    </row>
    <row r="450" spans="1:8" ht="15.75" thickTop="1">
      <c r="A450" s="25" t="s">
        <v>561</v>
      </c>
      <c r="H450" s="49"/>
    </row>
    <row r="451" spans="1:6" ht="15">
      <c r="A451" s="9" t="s">
        <v>668</v>
      </c>
      <c r="E451" s="15" t="s">
        <v>562</v>
      </c>
      <c r="F451" s="30">
        <f>IF(AND(J216:J216&gt;1,C322&lt;&gt;0,C323&lt;&gt;0,C324&lt;&gt;0),PMT((C322/100)/M326,C323*M326,-+J216:J216)*M326,0)</f>
        <v>0</v>
      </c>
    </row>
    <row r="452" spans="1:6" ht="15">
      <c r="A452" s="9" t="s">
        <v>669</v>
      </c>
      <c r="D452" s="319"/>
      <c r="E452" s="4" t="s">
        <v>741</v>
      </c>
      <c r="F452" s="110">
        <f>J216*(+D452/100)</f>
        <v>0</v>
      </c>
    </row>
    <row r="453" spans="1:13" ht="15">
      <c r="A453" s="9" t="s">
        <v>676</v>
      </c>
      <c r="D453" s="320"/>
      <c r="E453" s="4" t="s">
        <v>741</v>
      </c>
      <c r="F453" s="566">
        <f>J216*(+D453/100)</f>
        <v>0</v>
      </c>
      <c r="L453" s="7" t="s">
        <v>563</v>
      </c>
      <c r="M453" s="7">
        <f>IF(G107="Y",H514,0)</f>
        <v>0</v>
      </c>
    </row>
    <row r="454" spans="1:13" ht="15">
      <c r="A454" s="4" t="s">
        <v>1207</v>
      </c>
      <c r="D454" s="44"/>
      <c r="L454" s="7" t="s">
        <v>564</v>
      </c>
      <c r="M454" s="7">
        <f>IF(G108="Y",H530,0)</f>
        <v>0</v>
      </c>
    </row>
    <row r="455" spans="2:6" ht="15">
      <c r="B455" s="6" t="s">
        <v>1208</v>
      </c>
      <c r="C455" s="121" t="s">
        <v>245</v>
      </c>
      <c r="D455" s="489"/>
      <c r="E455" s="15" t="s">
        <v>245</v>
      </c>
      <c r="F455" s="129">
        <f>D455</f>
        <v>0</v>
      </c>
    </row>
    <row r="456" spans="2:13" ht="15">
      <c r="B456" s="41" t="s">
        <v>566</v>
      </c>
      <c r="E456" s="15" t="s">
        <v>562</v>
      </c>
      <c r="F456" s="80">
        <f>SUM(F451:F455)</f>
        <v>0</v>
      </c>
      <c r="G456" s="4">
        <v>0</v>
      </c>
      <c r="L456" s="7" t="s">
        <v>565</v>
      </c>
      <c r="M456" s="7">
        <f>IF(G109="Y",H547,0)</f>
        <v>0</v>
      </c>
    </row>
    <row r="457" spans="5:13" ht="15">
      <c r="E457" s="15"/>
      <c r="F457" s="19"/>
      <c r="L457" s="7" t="s">
        <v>567</v>
      </c>
      <c r="M457" s="7">
        <f>IF(G110="Y",H563,0)</f>
        <v>0</v>
      </c>
    </row>
    <row r="458" spans="2:13" ht="15">
      <c r="B458" s="4" t="s">
        <v>940</v>
      </c>
      <c r="D458" s="6"/>
      <c r="E458" s="15"/>
      <c r="L458" s="7" t="s">
        <v>568</v>
      </c>
      <c r="M458" s="7">
        <f>IF(G111="Y",H587,0)</f>
        <v>0</v>
      </c>
    </row>
    <row r="459" spans="2:13" ht="15">
      <c r="B459" s="567" t="s">
        <v>1209</v>
      </c>
      <c r="C459" s="121"/>
      <c r="D459" s="6"/>
      <c r="E459" s="15" t="s">
        <v>562</v>
      </c>
      <c r="F459" s="310"/>
      <c r="L459" s="7" t="s">
        <v>569</v>
      </c>
      <c r="M459" s="7">
        <f>IF(G114="Y",H603,0)</f>
        <v>0</v>
      </c>
    </row>
    <row r="460" spans="12:13" ht="15">
      <c r="L460" s="7" t="s">
        <v>570</v>
      </c>
      <c r="M460" s="50">
        <f>SUM(M453:M459)</f>
        <v>0</v>
      </c>
    </row>
    <row r="461" spans="2:8" ht="15.75" thickBot="1">
      <c r="B461" s="47" t="s">
        <v>571</v>
      </c>
      <c r="C461" s="38"/>
      <c r="D461" s="38"/>
      <c r="E461" s="38"/>
      <c r="F461" s="38"/>
      <c r="G461" s="39" t="s">
        <v>544</v>
      </c>
      <c r="H461" s="51">
        <f>F456+F459</f>
        <v>0</v>
      </c>
    </row>
    <row r="462" ht="15.75" thickTop="1">
      <c r="G462" s="15"/>
    </row>
    <row r="463" spans="1:8" ht="15.75" thickBot="1">
      <c r="A463" s="52" t="s">
        <v>572</v>
      </c>
      <c r="C463" s="38"/>
      <c r="D463" s="38"/>
      <c r="E463" s="38"/>
      <c r="F463" s="38"/>
      <c r="G463" s="39" t="s">
        <v>544</v>
      </c>
      <c r="H463" s="48">
        <f>H449-(+H461)</f>
        <v>0</v>
      </c>
    </row>
    <row r="464" ht="15.75" thickTop="1">
      <c r="G464" s="4">
        <v>0</v>
      </c>
    </row>
    <row r="465" spans="1:8" ht="15">
      <c r="A465" s="9" t="s">
        <v>727</v>
      </c>
      <c r="D465" s="318"/>
      <c r="E465" s="4" t="s">
        <v>573</v>
      </c>
      <c r="F465" s="4">
        <f>SPONSOR_EQUITY+RETURN_ONEQ_AMT</f>
        <v>0</v>
      </c>
      <c r="G465" s="9" t="s">
        <v>574</v>
      </c>
      <c r="H465" s="4">
        <f>F465*(D465/100)</f>
        <v>0</v>
      </c>
    </row>
    <row r="466" spans="4:13" ht="15.75" thickBot="1">
      <c r="D466" s="19"/>
      <c r="F466" s="19"/>
      <c r="H466" s="19"/>
      <c r="M466" s="7">
        <f>IF(G107="n",J107,0)</f>
        <v>0</v>
      </c>
    </row>
    <row r="467" spans="1:13" ht="16.5" thickBot="1" thickTop="1">
      <c r="A467" s="52" t="s">
        <v>575</v>
      </c>
      <c r="C467" s="38"/>
      <c r="D467" s="38"/>
      <c r="E467" s="38"/>
      <c r="F467" s="38"/>
      <c r="G467" s="39" t="s">
        <v>544</v>
      </c>
      <c r="H467" s="53">
        <f>H463-(H465)</f>
        <v>0</v>
      </c>
      <c r="M467" s="7">
        <f>IF(G108="n",J108,0)</f>
        <v>0</v>
      </c>
    </row>
    <row r="468" spans="8:13" ht="15.75" thickTop="1">
      <c r="H468" s="49"/>
      <c r="M468" s="7">
        <f>IF(G109="n",J109,0)</f>
        <v>0</v>
      </c>
    </row>
    <row r="469" spans="1:13" ht="15">
      <c r="A469" s="25" t="s">
        <v>576</v>
      </c>
      <c r="M469" s="7">
        <f>IF(G110="n",J110,0)</f>
        <v>0</v>
      </c>
    </row>
    <row r="470" spans="1:13" ht="15">
      <c r="A470" s="25"/>
      <c r="M470" s="7">
        <f>IF(G111="n",J111,0)</f>
        <v>0</v>
      </c>
    </row>
    <row r="471" ht="15">
      <c r="A471" s="25"/>
    </row>
    <row r="472" ht="15">
      <c r="A472" s="25"/>
    </row>
    <row r="474" spans="3:13" ht="15">
      <c r="C474" s="4" t="s">
        <v>577</v>
      </c>
      <c r="M474" s="7">
        <f>IF(G114="n",J114,0)</f>
        <v>0</v>
      </c>
    </row>
    <row r="475" spans="2:13" ht="15.75" thickBot="1">
      <c r="B475" s="4" t="s">
        <v>578</v>
      </c>
      <c r="C475" s="19" t="s">
        <v>579</v>
      </c>
      <c r="D475" s="19"/>
      <c r="E475" s="19"/>
      <c r="F475" s="4" t="s">
        <v>580</v>
      </c>
      <c r="G475" s="85">
        <f>IF(AGENCY_DEBTSERV&gt;1,NET_OPERATING/AGENCY_DEBTSERV,0)</f>
        <v>0</v>
      </c>
      <c r="M475" s="7">
        <f>SUM(M466:M474)</f>
        <v>0</v>
      </c>
    </row>
    <row r="476" ht="15.75" thickTop="1">
      <c r="M476" s="7" t="s">
        <v>581</v>
      </c>
    </row>
    <row r="478" spans="8:13" ht="15">
      <c r="H478" s="5" t="s">
        <v>583</v>
      </c>
      <c r="M478" s="7" t="s">
        <v>582</v>
      </c>
    </row>
    <row r="479" spans="3:18" ht="21" thickBot="1">
      <c r="C479" s="54"/>
      <c r="D479" s="20"/>
      <c r="E479" s="20"/>
      <c r="H479" s="5" t="s">
        <v>650</v>
      </c>
      <c r="M479" s="7" t="s">
        <v>584</v>
      </c>
      <c r="R479" s="7">
        <v>0</v>
      </c>
    </row>
    <row r="480" spans="8:21" ht="25.5" thickBot="1" thickTop="1">
      <c r="H480" s="57">
        <f>MORTGAGE</f>
        <v>0</v>
      </c>
      <c r="I480" s="20"/>
      <c r="M480" s="55">
        <f>NET_OPERATING/DSR</f>
        <v>0</v>
      </c>
      <c r="Q480" s="56" t="s">
        <v>585</v>
      </c>
      <c r="R480" s="8"/>
      <c r="S480" s="54"/>
      <c r="T480" s="20"/>
      <c r="U480" s="20"/>
    </row>
    <row r="481" spans="9:23" ht="37.5" thickTop="1">
      <c r="I481" s="20"/>
      <c r="Q481" s="58" t="s">
        <v>147</v>
      </c>
      <c r="R481" s="59"/>
      <c r="T481" s="60"/>
      <c r="U481" s="20"/>
      <c r="W481" s="20"/>
    </row>
    <row r="482" spans="8:23" ht="24">
      <c r="H482" s="20"/>
      <c r="I482" s="20"/>
      <c r="M482" s="7" t="s">
        <v>586</v>
      </c>
      <c r="Q482" s="56" t="s">
        <v>587</v>
      </c>
      <c r="R482" s="61" t="s">
        <v>588</v>
      </c>
      <c r="S482" s="62"/>
      <c r="T482" s="63"/>
      <c r="U482" s="20"/>
      <c r="V482" s="20"/>
      <c r="W482" s="20"/>
    </row>
    <row r="483" spans="8:23" ht="22.5">
      <c r="H483" s="20"/>
      <c r="M483" s="7" t="s">
        <v>589</v>
      </c>
      <c r="Q483" s="28"/>
      <c r="R483" s="8"/>
      <c r="S483" s="20"/>
      <c r="T483" s="63"/>
      <c r="U483" s="20"/>
      <c r="V483" s="20"/>
      <c r="W483" s="20"/>
    </row>
    <row r="484" spans="8:23" ht="36.75">
      <c r="H484" s="20"/>
      <c r="Q484" s="28"/>
      <c r="R484" s="8"/>
      <c r="S484" s="20"/>
      <c r="T484" s="64"/>
      <c r="U484" s="65"/>
      <c r="V484" s="20"/>
      <c r="W484" s="60"/>
    </row>
    <row r="485" ht="15">
      <c r="E485" s="108"/>
    </row>
    <row r="486" spans="5:13" ht="15">
      <c r="E486" s="108"/>
      <c r="M486" s="7" t="s">
        <v>147</v>
      </c>
    </row>
    <row r="487" ht="15">
      <c r="M487" s="84">
        <v>1.149999976158142</v>
      </c>
    </row>
    <row r="488" ht="15">
      <c r="O488" s="7">
        <v>0</v>
      </c>
    </row>
    <row r="490" spans="3:7" ht="15">
      <c r="C490" s="339"/>
      <c r="D490" s="339"/>
      <c r="E490" s="339"/>
      <c r="F490" s="339"/>
      <c r="G490" s="9"/>
    </row>
    <row r="491" spans="3:7" ht="15">
      <c r="C491" s="9"/>
      <c r="D491" s="9"/>
      <c r="E491" s="9"/>
      <c r="F491" s="9"/>
      <c r="G491" s="9"/>
    </row>
    <row r="492" spans="3:15" ht="15">
      <c r="C492" s="9"/>
      <c r="D492" s="9"/>
      <c r="E492" s="9"/>
      <c r="F492" s="9"/>
      <c r="G492" s="9"/>
      <c r="O492" s="7">
        <f>S482:S482</f>
        <v>0</v>
      </c>
    </row>
    <row r="493" spans="3:15" ht="15">
      <c r="C493" s="9"/>
      <c r="D493" s="9"/>
      <c r="E493" s="9"/>
      <c r="F493" s="9"/>
      <c r="G493" s="9"/>
      <c r="O493" s="7">
        <f>M480:M480</f>
        <v>0</v>
      </c>
    </row>
    <row r="494" spans="3:7" ht="15">
      <c r="C494" s="9"/>
      <c r="D494" s="9"/>
      <c r="E494" s="9"/>
      <c r="F494" s="9"/>
      <c r="G494" s="9"/>
    </row>
    <row r="495" spans="3:7" ht="15">
      <c r="C495" s="9"/>
      <c r="D495" s="9"/>
      <c r="E495" s="9"/>
      <c r="F495" s="9"/>
      <c r="G495" s="9"/>
    </row>
    <row r="496" spans="1:7" ht="22.5">
      <c r="A496" s="87"/>
      <c r="C496" s="89"/>
      <c r="D496" s="9"/>
      <c r="E496" s="89"/>
      <c r="F496" s="89"/>
      <c r="G496" s="9"/>
    </row>
    <row r="497" spans="1:10" ht="16.5" customHeight="1">
      <c r="A497" s="89"/>
      <c r="C497" s="89"/>
      <c r="D497" s="9"/>
      <c r="E497" s="89"/>
      <c r="F497" s="89"/>
      <c r="G497" s="9"/>
      <c r="J497" s="10"/>
    </row>
    <row r="498" spans="1:10" ht="15">
      <c r="A498" s="89"/>
      <c r="C498" s="89"/>
      <c r="D498" s="9"/>
      <c r="E498" s="89"/>
      <c r="F498" s="89"/>
      <c r="G498" s="9"/>
      <c r="J498" s="20"/>
    </row>
    <row r="499" spans="1:7" ht="15">
      <c r="A499" s="89"/>
      <c r="C499" s="89"/>
      <c r="D499" s="9"/>
      <c r="E499" s="89"/>
      <c r="F499" s="89"/>
      <c r="G499" s="9"/>
    </row>
    <row r="500" spans="1:8" ht="15">
      <c r="A500" s="89"/>
      <c r="B500" s="88"/>
      <c r="C500" s="88"/>
      <c r="D500" s="88"/>
      <c r="E500" s="88"/>
      <c r="F500" s="88"/>
      <c r="G500" s="88"/>
      <c r="H500" s="88"/>
    </row>
    <row r="501" spans="1:8" ht="15">
      <c r="A501" s="89"/>
      <c r="B501" s="90"/>
      <c r="C501" s="88"/>
      <c r="D501" s="88"/>
      <c r="E501" s="88"/>
      <c r="F501" s="88"/>
      <c r="G501" s="88"/>
      <c r="H501" s="88"/>
    </row>
    <row r="502" spans="1:8" ht="15">
      <c r="A502" s="89"/>
      <c r="B502" s="88"/>
      <c r="C502" s="88"/>
      <c r="D502" s="88"/>
      <c r="E502" s="88"/>
      <c r="F502" s="88"/>
      <c r="G502" s="88"/>
      <c r="H502" s="88"/>
    </row>
    <row r="503" spans="1:8" ht="15">
      <c r="A503" s="89"/>
      <c r="B503" s="91"/>
      <c r="C503" s="90"/>
      <c r="D503" s="92"/>
      <c r="E503" s="88"/>
      <c r="F503" s="88"/>
      <c r="G503" s="88"/>
      <c r="H503" s="88"/>
    </row>
    <row r="504" spans="1:8" ht="15">
      <c r="A504" s="89"/>
      <c r="B504" s="90"/>
      <c r="C504" s="90"/>
      <c r="D504" s="88"/>
      <c r="E504" s="88"/>
      <c r="F504" s="88"/>
      <c r="G504" s="88"/>
      <c r="H504" s="88"/>
    </row>
    <row r="505" spans="1:8" ht="15">
      <c r="A505" s="89"/>
      <c r="B505" s="88"/>
      <c r="C505" s="88"/>
      <c r="D505" s="88"/>
      <c r="E505" s="88"/>
      <c r="F505" s="88"/>
      <c r="G505" s="88"/>
      <c r="H505" s="88"/>
    </row>
    <row r="506" spans="1:8" ht="15">
      <c r="A506" s="89"/>
      <c r="B506" s="88"/>
      <c r="C506" s="88"/>
      <c r="D506" s="88"/>
      <c r="E506" s="88"/>
      <c r="F506" s="88"/>
      <c r="G506" s="88"/>
      <c r="H506" s="88"/>
    </row>
    <row r="507" spans="1:8" ht="15">
      <c r="A507" s="89"/>
      <c r="B507" s="88"/>
      <c r="C507" s="88"/>
      <c r="D507" s="88"/>
      <c r="E507" s="88"/>
      <c r="F507" s="66"/>
      <c r="G507" s="88"/>
      <c r="H507" s="88"/>
    </row>
    <row r="508" spans="1:8" ht="15">
      <c r="A508" s="89"/>
      <c r="B508" s="88"/>
      <c r="C508" s="88"/>
      <c r="D508" s="88"/>
      <c r="E508" s="88"/>
      <c r="F508" s="88"/>
      <c r="G508" s="88"/>
      <c r="H508" s="88"/>
    </row>
    <row r="509" spans="1:8" ht="15">
      <c r="A509" s="89"/>
      <c r="B509" s="88"/>
      <c r="C509" s="88"/>
      <c r="D509" s="88"/>
      <c r="E509" s="88"/>
      <c r="F509" s="86"/>
      <c r="G509" s="88"/>
      <c r="H509" s="66"/>
    </row>
    <row r="510" spans="1:8" ht="15">
      <c r="A510" s="89"/>
      <c r="B510" s="88"/>
      <c r="C510" s="88"/>
      <c r="D510" s="88"/>
      <c r="E510" s="88"/>
      <c r="F510" s="88"/>
      <c r="G510" s="88"/>
      <c r="H510" s="88"/>
    </row>
    <row r="511" spans="1:8" ht="15">
      <c r="A511" s="89"/>
      <c r="B511" s="88"/>
      <c r="C511" s="88"/>
      <c r="D511" s="88"/>
      <c r="E511" s="88"/>
      <c r="F511" s="88"/>
      <c r="G511" s="88"/>
      <c r="H511" s="88"/>
    </row>
    <row r="512" spans="1:8" ht="15">
      <c r="A512" s="89"/>
      <c r="B512" s="88"/>
      <c r="C512" s="88"/>
      <c r="D512" s="88"/>
      <c r="E512" s="88"/>
      <c r="F512" s="88"/>
      <c r="G512" s="88"/>
      <c r="H512" s="66"/>
    </row>
    <row r="513" spans="1:12" ht="15">
      <c r="A513" s="89"/>
      <c r="B513" s="88"/>
      <c r="C513" s="88"/>
      <c r="D513" s="88"/>
      <c r="E513" s="88"/>
      <c r="F513" s="88"/>
      <c r="G513" s="88"/>
      <c r="H513" s="88"/>
      <c r="L513" s="7">
        <f>IF(F505&lt;&gt;0,(IF(LEFT(H512,1)="M",12,IF(LEFT(H512,1)="S",2,IF(LEFT(H512,1)="Y",1,"")))),0)</f>
        <v>0</v>
      </c>
    </row>
    <row r="514" spans="1:8" ht="15">
      <c r="A514" s="89"/>
      <c r="B514" s="91"/>
      <c r="C514" s="88"/>
      <c r="D514" s="88"/>
      <c r="E514" s="88"/>
      <c r="F514" s="88"/>
      <c r="G514" s="88"/>
      <c r="H514" s="91"/>
    </row>
    <row r="515" spans="1:8" ht="15">
      <c r="A515" s="89"/>
      <c r="B515" s="88"/>
      <c r="C515" s="88"/>
      <c r="D515" s="88"/>
      <c r="E515" s="88"/>
      <c r="F515" s="88"/>
      <c r="G515" s="88"/>
      <c r="H515" s="88"/>
    </row>
    <row r="516" spans="1:8" ht="15">
      <c r="A516" s="89"/>
      <c r="B516" s="88"/>
      <c r="C516" s="88"/>
      <c r="D516" s="88"/>
      <c r="E516" s="88"/>
      <c r="F516" s="88"/>
      <c r="G516" s="1542"/>
      <c r="H516" s="1542"/>
    </row>
    <row r="517" spans="1:8" ht="15">
      <c r="A517" s="89"/>
      <c r="B517" s="88"/>
      <c r="C517" s="88"/>
      <c r="D517" s="88"/>
      <c r="E517" s="88"/>
      <c r="F517" s="88"/>
      <c r="G517" s="88"/>
      <c r="H517" s="88"/>
    </row>
    <row r="518" spans="1:8" ht="15">
      <c r="A518" s="89"/>
      <c r="B518" s="88"/>
      <c r="C518" s="88"/>
      <c r="D518" s="88"/>
      <c r="E518" s="88"/>
      <c r="F518" s="88"/>
      <c r="G518" s="88"/>
      <c r="H518" s="88"/>
    </row>
    <row r="519" spans="1:8" ht="15">
      <c r="A519" s="89"/>
      <c r="B519" s="91"/>
      <c r="C519" s="88"/>
      <c r="D519" s="92"/>
      <c r="E519" s="88"/>
      <c r="F519" s="88"/>
      <c r="G519" s="88"/>
      <c r="H519" s="88"/>
    </row>
    <row r="520" spans="1:8" ht="15">
      <c r="A520" s="89"/>
      <c r="B520" s="88"/>
      <c r="C520" s="88"/>
      <c r="D520" s="88"/>
      <c r="E520" s="88"/>
      <c r="F520" s="88"/>
      <c r="G520" s="88"/>
      <c r="H520" s="88"/>
    </row>
    <row r="521" spans="1:8" ht="15">
      <c r="A521" s="89"/>
      <c r="B521" s="88"/>
      <c r="C521" s="88"/>
      <c r="D521" s="88"/>
      <c r="E521" s="88"/>
      <c r="F521" s="88"/>
      <c r="G521" s="88"/>
      <c r="H521" s="88"/>
    </row>
    <row r="522" spans="1:8" ht="15">
      <c r="A522" s="89"/>
      <c r="B522" s="88"/>
      <c r="C522" s="88"/>
      <c r="D522" s="88"/>
      <c r="E522" s="88"/>
      <c r="F522" s="88"/>
      <c r="G522" s="88"/>
      <c r="H522" s="88"/>
    </row>
    <row r="523" spans="1:8" ht="15">
      <c r="A523" s="89"/>
      <c r="B523" s="88"/>
      <c r="C523" s="88"/>
      <c r="D523" s="88"/>
      <c r="E523" s="88"/>
      <c r="F523" s="66"/>
      <c r="G523" s="88"/>
      <c r="H523" s="88"/>
    </row>
    <row r="524" spans="1:8" ht="15">
      <c r="A524" s="89"/>
      <c r="B524" s="88"/>
      <c r="C524" s="88"/>
      <c r="D524" s="88"/>
      <c r="E524" s="88"/>
      <c r="F524" s="88"/>
      <c r="G524" s="88"/>
      <c r="H524" s="88"/>
    </row>
    <row r="525" spans="1:8" ht="15">
      <c r="A525" s="89"/>
      <c r="B525" s="88"/>
      <c r="C525" s="88"/>
      <c r="D525" s="88"/>
      <c r="E525" s="88"/>
      <c r="F525" s="86"/>
      <c r="G525" s="88"/>
      <c r="H525" s="66"/>
    </row>
    <row r="526" spans="1:8" ht="15">
      <c r="A526" s="89"/>
      <c r="B526" s="88"/>
      <c r="C526" s="88"/>
      <c r="D526" s="88"/>
      <c r="E526" s="88"/>
      <c r="F526" s="88"/>
      <c r="G526" s="88"/>
      <c r="H526" s="88"/>
    </row>
    <row r="527" spans="1:8" ht="15">
      <c r="A527" s="89"/>
      <c r="B527" s="88"/>
      <c r="C527" s="88"/>
      <c r="D527" s="88"/>
      <c r="E527" s="88"/>
      <c r="F527" s="88"/>
      <c r="G527" s="88"/>
      <c r="H527" s="88"/>
    </row>
    <row r="528" spans="1:8" ht="15">
      <c r="A528" s="89"/>
      <c r="B528" s="88"/>
      <c r="C528" s="88"/>
      <c r="D528" s="88"/>
      <c r="E528" s="88"/>
      <c r="F528" s="88"/>
      <c r="G528" s="88"/>
      <c r="H528" s="66"/>
    </row>
    <row r="529" spans="1:12" ht="15">
      <c r="A529" s="89"/>
      <c r="B529" s="88"/>
      <c r="C529" s="88"/>
      <c r="D529" s="88"/>
      <c r="E529" s="88"/>
      <c r="F529" s="88"/>
      <c r="G529" s="88"/>
      <c r="H529" s="88"/>
      <c r="L529" s="7">
        <f>IF(F521&lt;&gt;0,IF(LEFT(H528,1)="M",12,IF(LEFT(H528,1)="S",2,IF(LEFT(H528,1)="Y",1,""))),0)</f>
        <v>0</v>
      </c>
    </row>
    <row r="530" spans="1:8" ht="15">
      <c r="A530" s="89"/>
      <c r="B530" s="91"/>
      <c r="C530" s="88"/>
      <c r="D530" s="88"/>
      <c r="E530" s="88"/>
      <c r="F530" s="88"/>
      <c r="G530" s="88"/>
      <c r="H530" s="91"/>
    </row>
    <row r="531" spans="1:8" ht="15">
      <c r="A531" s="89"/>
      <c r="B531" s="88"/>
      <c r="C531" s="88"/>
      <c r="D531" s="88"/>
      <c r="E531" s="88"/>
      <c r="F531" s="88"/>
      <c r="G531" s="88"/>
      <c r="H531" s="88"/>
    </row>
    <row r="532" spans="1:8" ht="15">
      <c r="A532" s="89"/>
      <c r="B532" s="88"/>
      <c r="C532" s="88"/>
      <c r="D532" s="88"/>
      <c r="E532" s="88"/>
      <c r="F532" s="88"/>
      <c r="G532" s="1542"/>
      <c r="H532" s="1542"/>
    </row>
    <row r="533" spans="1:8" ht="15">
      <c r="A533" s="89"/>
      <c r="B533" s="88"/>
      <c r="C533" s="88"/>
      <c r="D533" s="88"/>
      <c r="E533" s="88"/>
      <c r="F533" s="88"/>
      <c r="G533" s="88"/>
      <c r="H533" s="88"/>
    </row>
    <row r="534" spans="1:8" ht="15">
      <c r="A534" s="89"/>
      <c r="B534" s="88"/>
      <c r="C534" s="88"/>
      <c r="D534" s="88"/>
      <c r="E534" s="88"/>
      <c r="F534" s="88"/>
      <c r="G534" s="88"/>
      <c r="H534" s="88"/>
    </row>
    <row r="535" spans="1:8" ht="15">
      <c r="A535" s="89"/>
      <c r="B535" s="88"/>
      <c r="C535" s="88"/>
      <c r="D535" s="88"/>
      <c r="E535" s="88"/>
      <c r="F535" s="88"/>
      <c r="G535" s="88"/>
      <c r="H535" s="88"/>
    </row>
    <row r="536" spans="1:8" ht="15">
      <c r="A536" s="89"/>
      <c r="B536" s="91"/>
      <c r="C536" s="90"/>
      <c r="D536" s="92"/>
      <c r="E536" s="88"/>
      <c r="F536" s="88"/>
      <c r="G536" s="88"/>
      <c r="H536" s="88"/>
    </row>
    <row r="537" spans="1:8" ht="15">
      <c r="A537" s="89"/>
      <c r="B537" s="90"/>
      <c r="C537" s="90"/>
      <c r="D537" s="88"/>
      <c r="E537" s="88"/>
      <c r="F537" s="88"/>
      <c r="G537" s="88"/>
      <c r="H537" s="88"/>
    </row>
    <row r="538" spans="1:8" ht="15">
      <c r="A538" s="89"/>
      <c r="B538" s="88"/>
      <c r="C538" s="88"/>
      <c r="D538" s="88"/>
      <c r="E538" s="88"/>
      <c r="F538" s="88"/>
      <c r="G538" s="88"/>
      <c r="H538" s="88"/>
    </row>
    <row r="539" spans="1:8" ht="15">
      <c r="A539" s="89"/>
      <c r="B539" s="88"/>
      <c r="C539" s="88"/>
      <c r="D539" s="88"/>
      <c r="E539" s="88"/>
      <c r="F539" s="88"/>
      <c r="G539" s="88"/>
      <c r="H539" s="88"/>
    </row>
    <row r="540" spans="1:8" ht="15">
      <c r="A540" s="89"/>
      <c r="B540" s="88"/>
      <c r="C540" s="88"/>
      <c r="D540" s="88"/>
      <c r="E540" s="88"/>
      <c r="F540" s="66"/>
      <c r="G540" s="88"/>
      <c r="H540" s="88"/>
    </row>
    <row r="541" spans="1:8" ht="15">
      <c r="A541" s="89"/>
      <c r="B541" s="88"/>
      <c r="C541" s="88"/>
      <c r="D541" s="88"/>
      <c r="E541" s="88"/>
      <c r="F541" s="88"/>
      <c r="G541" s="88"/>
      <c r="H541" s="88"/>
    </row>
    <row r="542" spans="1:8" ht="15">
      <c r="A542" s="89"/>
      <c r="B542" s="88"/>
      <c r="C542" s="88"/>
      <c r="D542" s="88"/>
      <c r="E542" s="88"/>
      <c r="F542" s="86"/>
      <c r="G542" s="88"/>
      <c r="H542" s="66"/>
    </row>
    <row r="543" spans="1:8" ht="15">
      <c r="A543" s="89"/>
      <c r="B543" s="88"/>
      <c r="C543" s="88"/>
      <c r="D543" s="88"/>
      <c r="E543" s="88"/>
      <c r="F543" s="88"/>
      <c r="G543" s="88"/>
      <c r="H543" s="88"/>
    </row>
    <row r="544" spans="1:8" ht="15">
      <c r="A544" s="89"/>
      <c r="B544" s="88"/>
      <c r="C544" s="88"/>
      <c r="D544" s="88"/>
      <c r="E544" s="88"/>
      <c r="F544" s="88"/>
      <c r="G544" s="88"/>
      <c r="H544" s="88"/>
    </row>
    <row r="545" spans="1:8" ht="15">
      <c r="A545" s="89"/>
      <c r="B545" s="88"/>
      <c r="C545" s="88"/>
      <c r="D545" s="88"/>
      <c r="E545" s="88"/>
      <c r="F545" s="88"/>
      <c r="G545" s="88"/>
      <c r="H545" s="66"/>
    </row>
    <row r="546" spans="1:12" ht="15">
      <c r="A546" s="89"/>
      <c r="B546" s="88"/>
      <c r="C546" s="88"/>
      <c r="D546" s="88"/>
      <c r="E546" s="88"/>
      <c r="F546" s="88"/>
      <c r="G546" s="88"/>
      <c r="H546" s="88"/>
      <c r="L546" s="7">
        <f>IF(F538&lt;&gt;0,(IF(LEFT(H545,1)="M",12,IF(LEFT(H545,1)="S",2,IF(LEFT(H545,1)="Y",1,"")))),L529)</f>
        <v>0</v>
      </c>
    </row>
    <row r="547" spans="1:8" ht="15">
      <c r="A547" s="89"/>
      <c r="B547" s="91"/>
      <c r="C547" s="88"/>
      <c r="D547" s="88"/>
      <c r="E547" s="88"/>
      <c r="F547" s="88"/>
      <c r="G547" s="88"/>
      <c r="H547" s="91"/>
    </row>
    <row r="548" spans="1:8" ht="15">
      <c r="A548" s="89"/>
      <c r="B548" s="88"/>
      <c r="C548" s="88"/>
      <c r="D548" s="88"/>
      <c r="E548" s="88"/>
      <c r="F548" s="88"/>
      <c r="G548" s="88"/>
      <c r="H548" s="88"/>
    </row>
    <row r="549" spans="1:8" ht="15">
      <c r="A549" s="89"/>
      <c r="B549" s="88"/>
      <c r="C549" s="88"/>
      <c r="D549" s="88"/>
      <c r="E549" s="88"/>
      <c r="F549" s="88"/>
      <c r="G549" s="66"/>
      <c r="H549" s="66"/>
    </row>
    <row r="550" spans="1:8" ht="15">
      <c r="A550" s="89"/>
      <c r="B550" s="88"/>
      <c r="C550" s="88"/>
      <c r="D550" s="88"/>
      <c r="E550" s="88"/>
      <c r="F550" s="88"/>
      <c r="G550" s="88"/>
      <c r="H550" s="88"/>
    </row>
    <row r="551" spans="1:8" ht="15">
      <c r="A551" s="89"/>
      <c r="B551" s="88"/>
      <c r="C551" s="88"/>
      <c r="D551" s="88"/>
      <c r="E551" s="88"/>
      <c r="F551" s="88"/>
      <c r="G551" s="88"/>
      <c r="H551" s="88"/>
    </row>
    <row r="552" spans="1:8" ht="15">
      <c r="A552" s="89"/>
      <c r="B552" s="91"/>
      <c r="C552" s="88"/>
      <c r="D552" s="92"/>
      <c r="E552" s="88"/>
      <c r="F552" s="88"/>
      <c r="G552" s="88"/>
      <c r="H552" s="88"/>
    </row>
    <row r="553" spans="1:8" ht="15">
      <c r="A553" s="89"/>
      <c r="B553" s="88"/>
      <c r="C553" s="88"/>
      <c r="D553" s="88"/>
      <c r="E553" s="88"/>
      <c r="F553" s="88"/>
      <c r="G553" s="88"/>
      <c r="H553" s="88"/>
    </row>
    <row r="554" spans="1:8" ht="15">
      <c r="A554" s="89"/>
      <c r="B554" s="88"/>
      <c r="C554" s="88"/>
      <c r="D554" s="88"/>
      <c r="E554" s="88"/>
      <c r="F554" s="88"/>
      <c r="G554" s="88"/>
      <c r="H554" s="88"/>
    </row>
    <row r="555" spans="1:8" ht="15">
      <c r="A555" s="89"/>
      <c r="B555" s="88"/>
      <c r="C555" s="88"/>
      <c r="D555" s="88"/>
      <c r="E555" s="88"/>
      <c r="F555" s="66"/>
      <c r="G555" s="88"/>
      <c r="H555" s="88"/>
    </row>
    <row r="556" spans="1:8" ht="15">
      <c r="A556" s="89"/>
      <c r="B556" s="88"/>
      <c r="C556" s="88"/>
      <c r="D556" s="88"/>
      <c r="E556" s="88"/>
      <c r="F556" s="66"/>
      <c r="G556" s="88"/>
      <c r="H556" s="88"/>
    </row>
    <row r="557" spans="1:8" ht="15">
      <c r="A557" s="89"/>
      <c r="B557" s="88"/>
      <c r="C557" s="88"/>
      <c r="D557" s="88"/>
      <c r="E557" s="88"/>
      <c r="F557" s="88"/>
      <c r="G557" s="88"/>
      <c r="H557" s="88"/>
    </row>
    <row r="558" spans="1:8" ht="15">
      <c r="A558" s="89"/>
      <c r="B558" s="88"/>
      <c r="C558" s="88"/>
      <c r="D558" s="88"/>
      <c r="E558" s="88"/>
      <c r="F558" s="86"/>
      <c r="G558" s="88"/>
      <c r="H558" s="66"/>
    </row>
    <row r="559" spans="1:8" ht="15">
      <c r="A559" s="89"/>
      <c r="B559" s="88"/>
      <c r="C559" s="88"/>
      <c r="D559" s="88"/>
      <c r="E559" s="88"/>
      <c r="F559" s="88"/>
      <c r="G559" s="88"/>
      <c r="H559" s="88"/>
    </row>
    <row r="560" spans="1:8" ht="15">
      <c r="A560" s="89"/>
      <c r="B560" s="88"/>
      <c r="C560" s="88"/>
      <c r="D560" s="88"/>
      <c r="E560" s="88"/>
      <c r="F560" s="88"/>
      <c r="G560" s="88"/>
      <c r="H560" s="88"/>
    </row>
    <row r="561" spans="1:8" ht="15">
      <c r="A561" s="89"/>
      <c r="B561" s="88"/>
      <c r="C561" s="88"/>
      <c r="D561" s="88"/>
      <c r="E561" s="88"/>
      <c r="F561" s="88"/>
      <c r="G561" s="88"/>
      <c r="H561" s="66"/>
    </row>
    <row r="562" spans="1:12" ht="15">
      <c r="A562" s="89"/>
      <c r="B562" s="88"/>
      <c r="C562" s="88"/>
      <c r="D562" s="88"/>
      <c r="E562" s="88"/>
      <c r="F562" s="88"/>
      <c r="G562" s="88"/>
      <c r="H562" s="88"/>
      <c r="L562" s="7">
        <f>IF(F554&lt;&gt;0,IF(LEFT(H561,1)="M",12,IF(LEFT(H561,1)="S",2,IF(LEFT(H561,1)="Y",1,""))),0)</f>
        <v>0</v>
      </c>
    </row>
    <row r="563" spans="1:8" ht="15">
      <c r="A563" s="89"/>
      <c r="B563" s="91"/>
      <c r="C563" s="88"/>
      <c r="D563" s="88"/>
      <c r="E563" s="88"/>
      <c r="F563" s="88"/>
      <c r="G563" s="88"/>
      <c r="H563" s="91"/>
    </row>
    <row r="564" spans="1:8" ht="15">
      <c r="A564" s="89"/>
      <c r="B564" s="88"/>
      <c r="C564" s="88"/>
      <c r="D564" s="88"/>
      <c r="E564" s="88"/>
      <c r="F564" s="88"/>
      <c r="G564" s="88"/>
      <c r="H564" s="88"/>
    </row>
    <row r="565" spans="1:8" ht="15">
      <c r="A565" s="89"/>
      <c r="B565" s="88"/>
      <c r="C565" s="88"/>
      <c r="D565" s="88"/>
      <c r="E565" s="88"/>
      <c r="F565" s="88"/>
      <c r="G565" s="1542"/>
      <c r="H565" s="1542"/>
    </row>
    <row r="566" spans="1:8" ht="15">
      <c r="A566" s="89"/>
      <c r="B566" s="88"/>
      <c r="C566" s="88"/>
      <c r="D566" s="88"/>
      <c r="E566" s="88"/>
      <c r="F566" s="88"/>
      <c r="G566" s="88"/>
      <c r="H566" s="88"/>
    </row>
    <row r="567" spans="1:8" ht="15">
      <c r="A567" s="89"/>
      <c r="B567" s="88"/>
      <c r="C567" s="88"/>
      <c r="D567" s="88"/>
      <c r="E567" s="88"/>
      <c r="F567" s="88"/>
      <c r="G567" s="88"/>
      <c r="H567" s="88"/>
    </row>
    <row r="568" spans="1:8" ht="15">
      <c r="A568" s="89"/>
      <c r="B568" s="88"/>
      <c r="C568" s="88"/>
      <c r="D568" s="88"/>
      <c r="E568" s="88"/>
      <c r="F568" s="88"/>
      <c r="G568" s="88"/>
      <c r="H568" s="88"/>
    </row>
    <row r="569" spans="1:8" ht="15">
      <c r="A569" s="89"/>
      <c r="B569" s="88"/>
      <c r="C569" s="88"/>
      <c r="D569" s="88"/>
      <c r="E569" s="88"/>
      <c r="F569" s="88"/>
      <c r="G569" s="88"/>
      <c r="H569" s="88"/>
    </row>
    <row r="570" spans="1:10" ht="22.5">
      <c r="A570" s="93"/>
      <c r="B570" s="88"/>
      <c r="C570" s="88"/>
      <c r="D570" s="88"/>
      <c r="E570" s="88"/>
      <c r="F570" s="88"/>
      <c r="G570" s="88"/>
      <c r="H570" s="88"/>
      <c r="J570" s="10"/>
    </row>
    <row r="571" spans="1:10" ht="15">
      <c r="A571" s="89"/>
      <c r="B571" s="88"/>
      <c r="C571" s="88"/>
      <c r="D571" s="88"/>
      <c r="E571" s="88"/>
      <c r="F571" s="88"/>
      <c r="G571" s="88"/>
      <c r="H571" s="88"/>
      <c r="J571" s="20"/>
    </row>
    <row r="572" spans="1:8" ht="15">
      <c r="A572" s="89"/>
      <c r="B572" s="88"/>
      <c r="C572" s="88"/>
      <c r="D572" s="88"/>
      <c r="E572" s="88"/>
      <c r="F572" s="88"/>
      <c r="G572" s="88"/>
      <c r="H572" s="88"/>
    </row>
    <row r="573" spans="1:8" ht="15">
      <c r="A573" s="89"/>
      <c r="B573" s="88"/>
      <c r="C573" s="91"/>
      <c r="D573" s="88"/>
      <c r="E573" s="88"/>
      <c r="F573" s="88"/>
      <c r="G573" s="88"/>
      <c r="H573" s="88"/>
    </row>
    <row r="574" spans="1:8" ht="15">
      <c r="A574" s="89"/>
      <c r="B574" s="88"/>
      <c r="C574" s="90"/>
      <c r="D574" s="88"/>
      <c r="E574" s="88"/>
      <c r="F574" s="88"/>
      <c r="G574" s="88"/>
      <c r="H574" s="88"/>
    </row>
    <row r="575" spans="1:8" ht="15">
      <c r="A575" s="89"/>
      <c r="B575" s="88"/>
      <c r="C575" s="88"/>
      <c r="D575" s="88"/>
      <c r="E575" s="88"/>
      <c r="F575" s="88"/>
      <c r="G575" s="88"/>
      <c r="H575" s="88"/>
    </row>
    <row r="576" spans="1:8" ht="15">
      <c r="A576" s="89"/>
      <c r="B576" s="91"/>
      <c r="C576" s="90"/>
      <c r="D576" s="92"/>
      <c r="E576" s="88"/>
      <c r="F576" s="88"/>
      <c r="G576" s="88"/>
      <c r="H576" s="88"/>
    </row>
    <row r="577" spans="1:8" ht="15">
      <c r="A577" s="89"/>
      <c r="B577" s="90"/>
      <c r="C577" s="90"/>
      <c r="D577" s="88"/>
      <c r="E577" s="88"/>
      <c r="F577" s="88"/>
      <c r="G577" s="88"/>
      <c r="H577" s="88"/>
    </row>
    <row r="578" spans="1:8" ht="15">
      <c r="A578" s="89"/>
      <c r="B578" s="88"/>
      <c r="C578" s="88"/>
      <c r="D578" s="88"/>
      <c r="E578" s="88"/>
      <c r="F578" s="88"/>
      <c r="G578" s="88"/>
      <c r="H578" s="88"/>
    </row>
    <row r="579" spans="1:8" ht="15">
      <c r="A579" s="89"/>
      <c r="B579" s="88"/>
      <c r="C579" s="88"/>
      <c r="D579" s="88"/>
      <c r="E579" s="88"/>
      <c r="F579" s="88"/>
      <c r="G579" s="88"/>
      <c r="H579" s="88"/>
    </row>
    <row r="580" spans="1:8" ht="15">
      <c r="A580" s="89"/>
      <c r="B580" s="88"/>
      <c r="C580" s="88"/>
      <c r="D580" s="88"/>
      <c r="E580" s="88"/>
      <c r="F580" s="66"/>
      <c r="G580" s="88"/>
      <c r="H580" s="88"/>
    </row>
    <row r="581" spans="1:8" ht="15">
      <c r="A581" s="89"/>
      <c r="B581" s="88"/>
      <c r="C581" s="88"/>
      <c r="D581" s="88"/>
      <c r="E581" s="88"/>
      <c r="F581" s="86"/>
      <c r="G581" s="88"/>
      <c r="H581" s="88"/>
    </row>
    <row r="582" spans="1:8" ht="15">
      <c r="A582" s="89"/>
      <c r="B582" s="88"/>
      <c r="C582" s="88"/>
      <c r="D582" s="88"/>
      <c r="E582" s="88"/>
      <c r="F582" s="86"/>
      <c r="G582" s="88"/>
      <c r="H582" s="66"/>
    </row>
    <row r="583" spans="1:8" ht="15">
      <c r="A583" s="89"/>
      <c r="B583" s="88"/>
      <c r="C583" s="88"/>
      <c r="D583" s="88"/>
      <c r="E583" s="88"/>
      <c r="F583" s="88"/>
      <c r="G583" s="88"/>
      <c r="H583" s="88"/>
    </row>
    <row r="584" spans="1:8" ht="15">
      <c r="A584" s="89"/>
      <c r="B584" s="88"/>
      <c r="C584" s="88"/>
      <c r="D584" s="88"/>
      <c r="E584" s="88"/>
      <c r="F584" s="88"/>
      <c r="G584" s="88"/>
      <c r="H584" s="88"/>
    </row>
    <row r="585" spans="1:8" ht="15">
      <c r="A585" s="89"/>
      <c r="B585" s="88"/>
      <c r="C585" s="88"/>
      <c r="D585" s="88"/>
      <c r="E585" s="88"/>
      <c r="F585" s="88"/>
      <c r="G585" s="88"/>
      <c r="H585" s="66"/>
    </row>
    <row r="586" spans="1:12" ht="15">
      <c r="A586" s="89"/>
      <c r="B586" s="88"/>
      <c r="C586" s="88"/>
      <c r="D586" s="88"/>
      <c r="E586" s="88"/>
      <c r="F586" s="88"/>
      <c r="G586" s="88"/>
      <c r="H586" s="88"/>
      <c r="L586" s="7">
        <f>IF(F578&lt;&gt;0,IF(LEFT(H585,1)="M",12,IF(LEFT(H585,1)="S",2,IF(LEFT(H585,1)="Y",1,#VALUE!))),0)</f>
        <v>0</v>
      </c>
    </row>
    <row r="587" spans="1:8" ht="15">
      <c r="A587" s="89"/>
      <c r="B587" s="91"/>
      <c r="C587" s="88"/>
      <c r="D587" s="88"/>
      <c r="E587" s="88"/>
      <c r="F587" s="88"/>
      <c r="G587" s="88"/>
      <c r="H587" s="91"/>
    </row>
    <row r="588" spans="1:8" ht="15">
      <c r="A588" s="89"/>
      <c r="B588" s="88"/>
      <c r="C588" s="88"/>
      <c r="D588" s="88"/>
      <c r="E588" s="88"/>
      <c r="F588" s="88"/>
      <c r="G588" s="88"/>
      <c r="H588" s="88"/>
    </row>
    <row r="589" spans="1:8" ht="15">
      <c r="A589" s="89"/>
      <c r="B589" s="88"/>
      <c r="C589" s="88"/>
      <c r="D589" s="88"/>
      <c r="E589" s="88"/>
      <c r="F589" s="88"/>
      <c r="G589" s="1542"/>
      <c r="H589" s="1542"/>
    </row>
    <row r="590" spans="1:8" ht="15">
      <c r="A590" s="89"/>
      <c r="B590" s="88"/>
      <c r="C590" s="88"/>
      <c r="D590" s="88"/>
      <c r="E590" s="88"/>
      <c r="F590" s="88"/>
      <c r="G590" s="88"/>
      <c r="H590" s="88"/>
    </row>
    <row r="591" spans="1:8" ht="15">
      <c r="A591" s="89"/>
      <c r="B591" s="88"/>
      <c r="C591" s="88"/>
      <c r="D591" s="88"/>
      <c r="E591" s="88"/>
      <c r="F591" s="88"/>
      <c r="G591" s="88"/>
      <c r="H591" s="88"/>
    </row>
    <row r="592" spans="1:8" ht="15">
      <c r="A592" s="89"/>
      <c r="B592" s="91"/>
      <c r="C592" s="88"/>
      <c r="D592" s="92"/>
      <c r="E592" s="88"/>
      <c r="F592" s="88"/>
      <c r="G592" s="88"/>
      <c r="H592" s="88"/>
    </row>
    <row r="593" spans="1:8" ht="15">
      <c r="A593" s="89"/>
      <c r="B593" s="88"/>
      <c r="C593" s="88"/>
      <c r="D593" s="88"/>
      <c r="E593" s="88"/>
      <c r="F593" s="88"/>
      <c r="G593" s="88"/>
      <c r="H593" s="88"/>
    </row>
    <row r="594" spans="1:8" ht="15">
      <c r="A594" s="89"/>
      <c r="B594" s="88"/>
      <c r="C594" s="88"/>
      <c r="D594" s="88"/>
      <c r="E594" s="88"/>
      <c r="F594" s="88"/>
      <c r="G594" s="88"/>
      <c r="H594" s="88"/>
    </row>
    <row r="595" spans="1:8" ht="15">
      <c r="A595" s="89"/>
      <c r="B595" s="88"/>
      <c r="C595" s="88"/>
      <c r="D595" s="88"/>
      <c r="E595" s="88"/>
      <c r="F595" s="88"/>
      <c r="G595" s="88"/>
      <c r="H595" s="88"/>
    </row>
    <row r="596" spans="1:8" ht="15">
      <c r="A596" s="89"/>
      <c r="B596" s="88"/>
      <c r="C596" s="88"/>
      <c r="D596" s="88"/>
      <c r="E596" s="88"/>
      <c r="F596" s="66"/>
      <c r="G596" s="88"/>
      <c r="H596" s="88"/>
    </row>
    <row r="597" spans="1:8" ht="15">
      <c r="A597" s="89"/>
      <c r="B597" s="88"/>
      <c r="C597" s="88"/>
      <c r="D597" s="88"/>
      <c r="E597" s="88"/>
      <c r="F597" s="88"/>
      <c r="G597" s="88"/>
      <c r="H597" s="88"/>
    </row>
    <row r="598" spans="1:8" ht="15">
      <c r="A598" s="89"/>
      <c r="B598" s="88"/>
      <c r="C598" s="88"/>
      <c r="D598" s="88"/>
      <c r="E598" s="88"/>
      <c r="F598" s="86"/>
      <c r="G598" s="88"/>
      <c r="H598" s="66"/>
    </row>
    <row r="599" spans="1:8" ht="15">
      <c r="A599" s="89"/>
      <c r="B599" s="88"/>
      <c r="C599" s="88"/>
      <c r="D599" s="88"/>
      <c r="E599" s="88"/>
      <c r="F599" s="88"/>
      <c r="G599" s="88"/>
      <c r="H599" s="88"/>
    </row>
    <row r="600" spans="1:8" ht="15">
      <c r="A600" s="89"/>
      <c r="B600" s="88"/>
      <c r="C600" s="88"/>
      <c r="D600" s="88"/>
      <c r="E600" s="88"/>
      <c r="F600" s="88"/>
      <c r="G600" s="88"/>
      <c r="H600" s="88"/>
    </row>
    <row r="601" spans="1:8" ht="15">
      <c r="A601" s="89"/>
      <c r="B601" s="88"/>
      <c r="C601" s="88"/>
      <c r="D601" s="88"/>
      <c r="E601" s="88"/>
      <c r="F601" s="88"/>
      <c r="G601" s="88"/>
      <c r="H601" s="66"/>
    </row>
    <row r="602" spans="1:12" ht="15">
      <c r="A602" s="89"/>
      <c r="B602" s="88"/>
      <c r="C602" s="88"/>
      <c r="D602" s="88"/>
      <c r="E602" s="88"/>
      <c r="F602" s="88"/>
      <c r="G602" s="88"/>
      <c r="H602" s="88"/>
      <c r="L602" s="7">
        <f>IF(F594&lt;&gt;0,IF(LEFT(H601,1)="M",12,IF(LEFT(H601,1)="S",2,IF(LEFT(H601,1)="Y",1,""))),0)</f>
        <v>0</v>
      </c>
    </row>
    <row r="603" spans="1:8" ht="15">
      <c r="A603" s="89"/>
      <c r="B603" s="91"/>
      <c r="C603" s="88"/>
      <c r="D603" s="88"/>
      <c r="E603" s="88"/>
      <c r="F603" s="88"/>
      <c r="G603" s="88"/>
      <c r="H603" s="91"/>
    </row>
    <row r="604" spans="1:8" ht="15">
      <c r="A604" s="89"/>
      <c r="B604" s="88"/>
      <c r="C604" s="88"/>
      <c r="D604" s="88"/>
      <c r="E604" s="88"/>
      <c r="F604" s="88"/>
      <c r="G604" s="88"/>
      <c r="H604" s="88"/>
    </row>
    <row r="605" spans="1:8" ht="15">
      <c r="A605" s="89"/>
      <c r="B605" s="88"/>
      <c r="C605" s="88"/>
      <c r="D605" s="88"/>
      <c r="E605" s="88"/>
      <c r="F605" s="88"/>
      <c r="G605" s="1542"/>
      <c r="H605" s="1542"/>
    </row>
    <row r="606" spans="1:8" ht="15">
      <c r="A606" s="89"/>
      <c r="B606" s="88"/>
      <c r="C606" s="88"/>
      <c r="D606" s="88"/>
      <c r="E606" s="88"/>
      <c r="F606" s="88"/>
      <c r="G606" s="88"/>
      <c r="H606" s="88"/>
    </row>
    <row r="607" spans="1:8" ht="15">
      <c r="A607" s="89"/>
      <c r="B607" s="88"/>
      <c r="C607" s="88"/>
      <c r="D607" s="88"/>
      <c r="E607" s="88"/>
      <c r="F607" s="88"/>
      <c r="G607" s="88"/>
      <c r="H607" s="88"/>
    </row>
    <row r="608" spans="1:8" ht="15">
      <c r="A608" s="89"/>
      <c r="B608" s="88"/>
      <c r="C608" s="88"/>
      <c r="D608" s="88"/>
      <c r="E608" s="92"/>
      <c r="F608" s="88"/>
      <c r="G608" s="88"/>
      <c r="H608" s="88"/>
    </row>
    <row r="609" spans="1:8" ht="15">
      <c r="A609" s="89"/>
      <c r="B609" s="88"/>
      <c r="C609" s="88"/>
      <c r="D609" s="88"/>
      <c r="E609" s="88"/>
      <c r="F609" s="88"/>
      <c r="G609" s="88"/>
      <c r="H609" s="88"/>
    </row>
    <row r="610" spans="1:8" ht="15">
      <c r="A610" s="89"/>
      <c r="B610" s="88"/>
      <c r="C610" s="88"/>
      <c r="D610" s="88"/>
      <c r="E610" s="88"/>
      <c r="F610" s="88"/>
      <c r="G610" s="88"/>
      <c r="H610" s="88"/>
    </row>
    <row r="611" spans="1:8" ht="15">
      <c r="A611" s="89"/>
      <c r="B611" s="88"/>
      <c r="C611" s="88"/>
      <c r="D611" s="88"/>
      <c r="E611" s="88"/>
      <c r="F611" s="88"/>
      <c r="G611" s="88"/>
      <c r="H611" s="88"/>
    </row>
    <row r="612" spans="1:8" ht="15">
      <c r="A612" s="89"/>
      <c r="B612" s="88"/>
      <c r="C612" s="88"/>
      <c r="D612" s="88"/>
      <c r="E612" s="88"/>
      <c r="F612" s="88"/>
      <c r="G612" s="88"/>
      <c r="H612" s="88"/>
    </row>
    <row r="613" spans="1:8" ht="15">
      <c r="A613" s="94"/>
      <c r="B613" s="92"/>
      <c r="C613" s="88"/>
      <c r="D613" s="88"/>
      <c r="E613" s="88"/>
      <c r="F613" s="88"/>
      <c r="G613" s="88"/>
      <c r="H613" s="88"/>
    </row>
    <row r="614" spans="1:8" ht="15">
      <c r="A614" s="89"/>
      <c r="B614" s="88"/>
      <c r="C614" s="88"/>
      <c r="D614" s="88"/>
      <c r="E614" s="88"/>
      <c r="F614" s="88"/>
      <c r="G614" s="88"/>
      <c r="H614" s="88"/>
    </row>
    <row r="615" spans="1:8" ht="15">
      <c r="A615" s="89"/>
      <c r="B615" s="91"/>
      <c r="C615" s="88"/>
      <c r="D615" s="88"/>
      <c r="E615" s="95"/>
      <c r="F615" s="96"/>
      <c r="G615" s="88"/>
      <c r="H615" s="88"/>
    </row>
    <row r="616" spans="1:8" ht="15">
      <c r="A616" s="89"/>
      <c r="B616" s="88"/>
      <c r="C616" s="88"/>
      <c r="D616" s="88"/>
      <c r="E616" s="88"/>
      <c r="F616" s="88"/>
      <c r="G616" s="88"/>
      <c r="H616" s="88"/>
    </row>
    <row r="617" spans="1:8" ht="15">
      <c r="A617" s="89"/>
      <c r="B617" s="88"/>
      <c r="C617" s="88"/>
      <c r="D617" s="88"/>
      <c r="E617" s="97"/>
      <c r="F617" s="88"/>
      <c r="G617" s="88"/>
      <c r="H617" s="88"/>
    </row>
    <row r="618" spans="1:8" ht="15">
      <c r="A618" s="89"/>
      <c r="B618" s="88"/>
      <c r="C618" s="88"/>
      <c r="D618" s="88"/>
      <c r="E618" s="88"/>
      <c r="F618" s="88"/>
      <c r="G618" s="88"/>
      <c r="H618" s="88"/>
    </row>
    <row r="619" spans="1:8" ht="15">
      <c r="A619" s="89"/>
      <c r="B619" s="88"/>
      <c r="C619" s="88"/>
      <c r="D619" s="88"/>
      <c r="E619" s="88"/>
      <c r="F619" s="88"/>
      <c r="G619" s="88"/>
      <c r="H619" s="88"/>
    </row>
    <row r="620" spans="1:8" ht="15">
      <c r="A620" s="89"/>
      <c r="B620" s="88"/>
      <c r="C620" s="88"/>
      <c r="D620" s="88"/>
      <c r="E620" s="97"/>
      <c r="F620" s="88"/>
      <c r="G620" s="88"/>
      <c r="H620" s="88"/>
    </row>
    <row r="621" spans="1:8" ht="15">
      <c r="A621" s="89"/>
      <c r="B621" s="88"/>
      <c r="C621" s="88"/>
      <c r="D621" s="88"/>
      <c r="E621" s="89"/>
      <c r="F621" s="88"/>
      <c r="G621" s="88"/>
      <c r="H621" s="88"/>
    </row>
    <row r="622" spans="1:8" ht="15">
      <c r="A622" s="89"/>
      <c r="B622" s="88"/>
      <c r="C622" s="88"/>
      <c r="D622" s="88"/>
      <c r="E622" s="88"/>
      <c r="F622" s="88"/>
      <c r="G622" s="88"/>
      <c r="H622" s="88"/>
    </row>
    <row r="623" spans="1:8" ht="15">
      <c r="A623" s="89"/>
      <c r="B623" s="88"/>
      <c r="C623" s="88"/>
      <c r="D623" s="88"/>
      <c r="E623" s="97"/>
      <c r="F623" s="88"/>
      <c r="G623" s="88"/>
      <c r="H623" s="88"/>
    </row>
    <row r="624" spans="1:8" ht="15">
      <c r="A624" s="89"/>
      <c r="B624" s="88"/>
      <c r="C624" s="88"/>
      <c r="D624" s="88"/>
      <c r="E624" s="89"/>
      <c r="F624" s="88"/>
      <c r="G624" s="88"/>
      <c r="H624" s="88"/>
    </row>
    <row r="625" spans="1:8" ht="15">
      <c r="A625" s="89"/>
      <c r="B625" s="88"/>
      <c r="C625" s="88"/>
      <c r="D625" s="88"/>
      <c r="E625" s="88"/>
      <c r="F625" s="88"/>
      <c r="G625" s="88"/>
      <c r="H625" s="88"/>
    </row>
    <row r="626" spans="1:8" ht="15">
      <c r="A626" s="89"/>
      <c r="B626" s="88"/>
      <c r="C626" s="88"/>
      <c r="D626" s="88"/>
      <c r="E626" s="97"/>
      <c r="F626" s="88"/>
      <c r="G626" s="88"/>
      <c r="H626" s="88"/>
    </row>
    <row r="627" spans="1:8" ht="15">
      <c r="A627" s="89"/>
      <c r="B627" s="88"/>
      <c r="C627" s="88"/>
      <c r="D627" s="88"/>
      <c r="E627" s="89"/>
      <c r="F627" s="88"/>
      <c r="G627" s="88"/>
      <c r="H627" s="88"/>
    </row>
    <row r="628" spans="1:8" ht="15">
      <c r="A628" s="89"/>
      <c r="B628" s="88"/>
      <c r="C628" s="88"/>
      <c r="D628" s="88"/>
      <c r="E628" s="88"/>
      <c r="F628" s="88"/>
      <c r="G628" s="88"/>
      <c r="H628" s="88"/>
    </row>
    <row r="629" spans="1:8" ht="15">
      <c r="A629" s="89"/>
      <c r="B629" s="88"/>
      <c r="C629" s="88"/>
      <c r="D629" s="88"/>
      <c r="E629" s="97"/>
      <c r="F629" s="88"/>
      <c r="G629" s="88"/>
      <c r="H629" s="88"/>
    </row>
    <row r="630" spans="1:8" ht="15">
      <c r="A630" s="89"/>
      <c r="B630" s="88"/>
      <c r="C630" s="88"/>
      <c r="D630" s="88"/>
      <c r="E630" s="89"/>
      <c r="F630" s="88"/>
      <c r="G630" s="88"/>
      <c r="H630" s="88"/>
    </row>
    <row r="631" spans="1:8" ht="15">
      <c r="A631" s="89"/>
      <c r="B631" s="88"/>
      <c r="C631" s="88"/>
      <c r="D631" s="88"/>
      <c r="E631" s="88"/>
      <c r="F631" s="88"/>
      <c r="G631" s="88"/>
      <c r="H631" s="88"/>
    </row>
    <row r="632" spans="1:8" ht="15">
      <c r="A632" s="89"/>
      <c r="B632" s="88"/>
      <c r="C632" s="88"/>
      <c r="D632" s="88"/>
      <c r="E632" s="97"/>
      <c r="F632" s="88"/>
      <c r="G632" s="88"/>
      <c r="H632" s="88"/>
    </row>
    <row r="633" spans="1:8" ht="15">
      <c r="A633" s="89"/>
      <c r="B633" s="88"/>
      <c r="C633" s="88"/>
      <c r="D633" s="88"/>
      <c r="E633" s="89"/>
      <c r="F633" s="88"/>
      <c r="G633" s="88"/>
      <c r="H633" s="66"/>
    </row>
    <row r="634" spans="1:8" ht="15">
      <c r="A634" s="89"/>
      <c r="B634" s="88"/>
      <c r="C634" s="88"/>
      <c r="D634" s="88"/>
      <c r="E634" s="88"/>
      <c r="F634" s="88"/>
      <c r="G634" s="88"/>
      <c r="H634" s="88"/>
    </row>
    <row r="635" spans="1:8" ht="15">
      <c r="A635" s="89"/>
      <c r="B635" s="88"/>
      <c r="C635" s="88"/>
      <c r="D635" s="88"/>
      <c r="E635" s="88"/>
      <c r="F635" s="88"/>
      <c r="G635" s="88"/>
      <c r="H635" s="88"/>
    </row>
    <row r="636" spans="1:8" ht="15">
      <c r="A636" s="89"/>
      <c r="B636" s="88"/>
      <c r="C636" s="91"/>
      <c r="D636" s="88"/>
      <c r="E636" s="88"/>
      <c r="F636" s="91"/>
      <c r="G636" s="88"/>
      <c r="H636" s="88"/>
    </row>
    <row r="637" spans="1:8" ht="15">
      <c r="A637" s="89"/>
      <c r="B637" s="88"/>
      <c r="C637" s="88"/>
      <c r="D637" s="88"/>
      <c r="E637" s="88"/>
      <c r="F637" s="88"/>
      <c r="G637" s="88"/>
      <c r="H637" s="88"/>
    </row>
    <row r="638" spans="1:8" ht="15">
      <c r="A638" s="89"/>
      <c r="B638" s="88"/>
      <c r="C638" s="88"/>
      <c r="D638" s="88"/>
      <c r="E638" s="88"/>
      <c r="F638" s="88"/>
      <c r="G638" s="88"/>
      <c r="H638" s="88"/>
    </row>
    <row r="639" spans="1:8" ht="15">
      <c r="A639" s="89"/>
      <c r="B639" s="88"/>
      <c r="C639" s="88"/>
      <c r="D639" s="88"/>
      <c r="E639" s="88"/>
      <c r="F639" s="88"/>
      <c r="G639" s="88"/>
      <c r="H639" s="88"/>
    </row>
    <row r="640" spans="1:8" ht="15">
      <c r="A640" s="89"/>
      <c r="B640" s="88"/>
      <c r="C640" s="88"/>
      <c r="D640" s="88"/>
      <c r="E640" s="88"/>
      <c r="F640" s="88"/>
      <c r="G640" s="88"/>
      <c r="H640" s="88"/>
    </row>
    <row r="641" spans="1:8" ht="15">
      <c r="A641" s="89"/>
      <c r="B641" s="88"/>
      <c r="C641" s="88"/>
      <c r="D641" s="88"/>
      <c r="E641" s="88"/>
      <c r="F641" s="88"/>
      <c r="G641" s="88"/>
      <c r="H641" s="88"/>
    </row>
    <row r="642" spans="1:8" ht="15">
      <c r="A642" s="89"/>
      <c r="B642" s="88"/>
      <c r="C642" s="88"/>
      <c r="D642" s="88"/>
      <c r="E642" s="88"/>
      <c r="F642" s="88"/>
      <c r="G642" s="88"/>
      <c r="H642" s="88"/>
    </row>
    <row r="643" spans="1:8" ht="15">
      <c r="A643" s="89"/>
      <c r="B643" s="88"/>
      <c r="C643" s="88"/>
      <c r="D643" s="88"/>
      <c r="E643" s="88"/>
      <c r="F643" s="88"/>
      <c r="G643" s="88"/>
      <c r="H643" s="88"/>
    </row>
    <row r="644" spans="1:8" ht="15">
      <c r="A644" s="89"/>
      <c r="B644" s="88"/>
      <c r="C644" s="88"/>
      <c r="D644" s="88"/>
      <c r="E644" s="88"/>
      <c r="F644" s="88"/>
      <c r="G644" s="88"/>
      <c r="H644" s="88"/>
    </row>
    <row r="645" spans="1:10" ht="20.25" hidden="1">
      <c r="A645" s="98"/>
      <c r="B645" s="88"/>
      <c r="C645" s="99"/>
      <c r="D645" s="88"/>
      <c r="E645" s="88"/>
      <c r="F645" s="88"/>
      <c r="G645" s="88"/>
      <c r="H645" s="88"/>
      <c r="J645" s="10">
        <f ca="1">NOW()</f>
        <v>45378.384223263885</v>
      </c>
    </row>
    <row r="646" spans="1:10" ht="15" hidden="1">
      <c r="A646" s="89"/>
      <c r="B646" s="88"/>
      <c r="C646" s="88"/>
      <c r="D646" s="88"/>
      <c r="E646" s="88"/>
      <c r="F646" s="95"/>
      <c r="G646" s="89"/>
      <c r="H646" s="88"/>
      <c r="J646" s="4">
        <f>J5</f>
        <v>0</v>
      </c>
    </row>
    <row r="647" spans="1:8" ht="15" hidden="1">
      <c r="A647" s="89"/>
      <c r="B647" s="88"/>
      <c r="C647" s="88"/>
      <c r="D647" s="95"/>
      <c r="E647" s="89"/>
      <c r="F647" s="95"/>
      <c r="G647" s="100"/>
      <c r="H647" s="88"/>
    </row>
    <row r="648" spans="1:10" ht="15" hidden="1">
      <c r="A648" s="101"/>
      <c r="B648" s="88"/>
      <c r="C648" s="88"/>
      <c r="D648" s="95"/>
      <c r="E648" s="66"/>
      <c r="F648" s="95"/>
      <c r="G648" s="66"/>
      <c r="H648" s="102"/>
      <c r="I648" s="67"/>
      <c r="J648" s="4" t="s">
        <v>489</v>
      </c>
    </row>
    <row r="649" spans="1:9" ht="15" hidden="1">
      <c r="A649" s="89"/>
      <c r="B649" s="88"/>
      <c r="C649" s="88"/>
      <c r="D649" s="95"/>
      <c r="E649" s="66"/>
      <c r="F649" s="95"/>
      <c r="G649" s="66"/>
      <c r="H649" s="102"/>
      <c r="I649" s="67"/>
    </row>
    <row r="650" spans="1:8" ht="15" hidden="1">
      <c r="A650" s="89"/>
      <c r="B650" s="88"/>
      <c r="C650" s="88"/>
      <c r="D650" s="88"/>
      <c r="E650" s="88"/>
      <c r="F650" s="88"/>
      <c r="G650" s="88"/>
      <c r="H650" s="88"/>
    </row>
    <row r="651" spans="1:8" ht="15.75" hidden="1">
      <c r="A651" s="89"/>
      <c r="B651" s="88"/>
      <c r="C651" s="88"/>
      <c r="D651" s="88"/>
      <c r="E651" s="88"/>
      <c r="F651" s="103"/>
      <c r="G651" s="88"/>
      <c r="H651" s="88"/>
    </row>
    <row r="652" spans="1:9" ht="15" hidden="1">
      <c r="A652" s="89"/>
      <c r="B652" s="88"/>
      <c r="C652" s="91"/>
      <c r="D652" s="88"/>
      <c r="E652" s="88"/>
      <c r="F652" s="91"/>
      <c r="G652" s="88"/>
      <c r="H652" s="104"/>
      <c r="I652" s="41" t="s">
        <v>590</v>
      </c>
    </row>
    <row r="653" spans="1:10" ht="15" hidden="1">
      <c r="A653" s="98"/>
      <c r="B653" s="88"/>
      <c r="C653" s="88"/>
      <c r="D653" s="94"/>
      <c r="E653" s="88"/>
      <c r="F653" s="104"/>
      <c r="G653" s="91"/>
      <c r="H653" s="104"/>
      <c r="J653" s="68" t="s">
        <v>591</v>
      </c>
    </row>
    <row r="654" spans="1:10" ht="15" hidden="1">
      <c r="A654" s="89"/>
      <c r="B654" s="88"/>
      <c r="C654" s="66"/>
      <c r="D654" s="88"/>
      <c r="E654" s="66"/>
      <c r="F654" s="66"/>
      <c r="G654" s="95"/>
      <c r="H654" s="88"/>
      <c r="J654" s="30">
        <v>0</v>
      </c>
    </row>
    <row r="655" spans="1:10" ht="15" hidden="1">
      <c r="A655" s="89"/>
      <c r="B655" s="88"/>
      <c r="C655" s="88"/>
      <c r="D655" s="88"/>
      <c r="E655" s="88"/>
      <c r="F655" s="66"/>
      <c r="G655" s="88"/>
      <c r="H655" s="66"/>
      <c r="J655" s="69" t="str">
        <f>IF(H655&lt;&gt;"",+H655*($I$648/100)," ")</f>
        <v> </v>
      </c>
    </row>
    <row r="656" spans="1:10" ht="15" hidden="1">
      <c r="A656" s="89"/>
      <c r="B656" s="88"/>
      <c r="C656" s="88"/>
      <c r="D656" s="88"/>
      <c r="E656" s="88"/>
      <c r="F656" s="66"/>
      <c r="G656" s="88"/>
      <c r="H656" s="66"/>
      <c r="J656" s="69" t="str">
        <f>IF(H656&lt;&gt;"",+H656*($I$648/100)," ")</f>
        <v> </v>
      </c>
    </row>
    <row r="657" spans="1:10" ht="15" hidden="1">
      <c r="A657" s="89"/>
      <c r="B657" s="88"/>
      <c r="C657" s="88"/>
      <c r="D657" s="88"/>
      <c r="E657" s="88"/>
      <c r="F657" s="66"/>
      <c r="G657" s="88"/>
      <c r="H657" s="66"/>
      <c r="J657" s="69" t="str">
        <f>IF(H657&lt;&gt;"",+H657*($I$648/100)," ")</f>
        <v> </v>
      </c>
    </row>
    <row r="658" spans="1:10" ht="15" hidden="1">
      <c r="A658" s="89"/>
      <c r="B658" s="88"/>
      <c r="C658" s="88"/>
      <c r="D658" s="88"/>
      <c r="E658" s="88"/>
      <c r="F658" s="66"/>
      <c r="G658" s="88"/>
      <c r="H658" s="66"/>
      <c r="I658" s="15"/>
      <c r="J658" s="69" t="str">
        <f>IF(H658&lt;&gt;"",+H658*($I$648/100)," ")</f>
        <v> </v>
      </c>
    </row>
    <row r="659" spans="1:8" ht="15" hidden="1">
      <c r="A659" s="98"/>
      <c r="B659" s="88"/>
      <c r="C659" s="88"/>
      <c r="D659" s="88"/>
      <c r="E659" s="88"/>
      <c r="F659" s="88"/>
      <c r="G659" s="88"/>
      <c r="H659" s="88"/>
    </row>
    <row r="660" spans="1:10" ht="15" hidden="1">
      <c r="A660" s="89"/>
      <c r="B660" s="88"/>
      <c r="C660" s="88"/>
      <c r="D660" s="88"/>
      <c r="E660" s="88"/>
      <c r="F660" s="66"/>
      <c r="G660" s="95"/>
      <c r="H660" s="66"/>
      <c r="J660" s="70" t="str">
        <f aca="true" t="shared" si="4" ref="J660:J670">IF(H660&lt;&gt;"",+H660*($I$648/100)," ")</f>
        <v> </v>
      </c>
    </row>
    <row r="661" spans="1:10" ht="15" hidden="1">
      <c r="A661" s="89"/>
      <c r="B661" s="88"/>
      <c r="C661" s="88"/>
      <c r="D661" s="88"/>
      <c r="E661" s="88"/>
      <c r="F661" s="66"/>
      <c r="G661" s="88"/>
      <c r="H661" s="66"/>
      <c r="J661" s="70" t="str">
        <f t="shared" si="4"/>
        <v> </v>
      </c>
    </row>
    <row r="662" spans="1:10" ht="15" hidden="1">
      <c r="A662" s="89"/>
      <c r="B662" s="88"/>
      <c r="C662" s="88"/>
      <c r="D662" s="88"/>
      <c r="E662" s="88"/>
      <c r="F662" s="66"/>
      <c r="G662" s="88"/>
      <c r="H662" s="66"/>
      <c r="J662" s="70" t="str">
        <f t="shared" si="4"/>
        <v> </v>
      </c>
    </row>
    <row r="663" spans="1:10" ht="15" hidden="1">
      <c r="A663" s="89"/>
      <c r="B663" s="88"/>
      <c r="C663" s="88"/>
      <c r="D663" s="88"/>
      <c r="E663" s="88"/>
      <c r="F663" s="66"/>
      <c r="G663" s="88"/>
      <c r="H663" s="66"/>
      <c r="J663" s="70" t="str">
        <f t="shared" si="4"/>
        <v> </v>
      </c>
    </row>
    <row r="664" spans="1:10" ht="15" hidden="1">
      <c r="A664" s="89"/>
      <c r="B664" s="88"/>
      <c r="C664" s="88"/>
      <c r="D664" s="88"/>
      <c r="E664" s="88"/>
      <c r="F664" s="66"/>
      <c r="G664" s="88"/>
      <c r="H664" s="66"/>
      <c r="J664" s="70" t="str">
        <f t="shared" si="4"/>
        <v> </v>
      </c>
    </row>
    <row r="665" spans="1:10" ht="15" hidden="1">
      <c r="A665" s="89"/>
      <c r="B665" s="88"/>
      <c r="C665" s="88"/>
      <c r="D665" s="88"/>
      <c r="E665" s="88"/>
      <c r="F665" s="66"/>
      <c r="G665" s="88"/>
      <c r="H665" s="66"/>
      <c r="J665" s="70" t="str">
        <f t="shared" si="4"/>
        <v> </v>
      </c>
    </row>
    <row r="666" spans="1:10" ht="15" hidden="1">
      <c r="A666" s="89"/>
      <c r="B666" s="88"/>
      <c r="C666" s="88"/>
      <c r="D666" s="88"/>
      <c r="E666" s="88"/>
      <c r="F666" s="66"/>
      <c r="G666" s="88"/>
      <c r="H666" s="66"/>
      <c r="J666" s="70" t="str">
        <f t="shared" si="4"/>
        <v> </v>
      </c>
    </row>
    <row r="667" spans="1:10" ht="15" hidden="1">
      <c r="A667" s="89"/>
      <c r="B667" s="88"/>
      <c r="C667" s="88"/>
      <c r="D667" s="88"/>
      <c r="E667" s="88"/>
      <c r="F667" s="66"/>
      <c r="G667" s="88"/>
      <c r="H667" s="66"/>
      <c r="J667" s="70" t="str">
        <f t="shared" si="4"/>
        <v> </v>
      </c>
    </row>
    <row r="668" spans="1:10" ht="15" hidden="1">
      <c r="A668" s="89"/>
      <c r="B668" s="90"/>
      <c r="C668" s="88"/>
      <c r="D668" s="88"/>
      <c r="E668" s="88"/>
      <c r="F668" s="66"/>
      <c r="G668" s="88"/>
      <c r="H668" s="66"/>
      <c r="J668" s="70" t="str">
        <f t="shared" si="4"/>
        <v> </v>
      </c>
    </row>
    <row r="669" spans="1:10" ht="15" hidden="1">
      <c r="A669" s="89"/>
      <c r="B669" s="88"/>
      <c r="C669" s="88"/>
      <c r="D669" s="88"/>
      <c r="E669" s="88"/>
      <c r="F669" s="66"/>
      <c r="G669" s="88"/>
      <c r="H669" s="66"/>
      <c r="I669" s="15"/>
      <c r="J669" s="70" t="str">
        <f t="shared" si="4"/>
        <v> </v>
      </c>
    </row>
    <row r="670" spans="1:10" ht="15" hidden="1">
      <c r="A670" s="98"/>
      <c r="B670" s="90"/>
      <c r="C670" s="88"/>
      <c r="D670" s="88"/>
      <c r="E670" s="88"/>
      <c r="F670" s="66"/>
      <c r="G670" s="88"/>
      <c r="H670" s="102"/>
      <c r="J670" s="70" t="str">
        <f t="shared" si="4"/>
        <v> </v>
      </c>
    </row>
    <row r="671" spans="1:8" ht="15" hidden="1">
      <c r="A671" s="98"/>
      <c r="B671" s="88"/>
      <c r="C671" s="88"/>
      <c r="D671" s="88"/>
      <c r="E671" s="88"/>
      <c r="F671" s="88"/>
      <c r="G671" s="88"/>
      <c r="H671" s="88"/>
    </row>
    <row r="672" spans="1:10" ht="15" hidden="1">
      <c r="A672" s="89"/>
      <c r="B672" s="88"/>
      <c r="C672" s="88"/>
      <c r="D672" s="88"/>
      <c r="E672" s="88"/>
      <c r="F672" s="66"/>
      <c r="G672" s="95"/>
      <c r="H672" s="66"/>
      <c r="J672" s="70" t="str">
        <f aca="true" t="shared" si="5" ref="J672:J679">IF(H672&lt;&gt;"",+H672*($I$648/100)," ")</f>
        <v> </v>
      </c>
    </row>
    <row r="673" spans="1:10" ht="15" hidden="1">
      <c r="A673" s="89"/>
      <c r="B673" s="88"/>
      <c r="C673" s="88"/>
      <c r="D673" s="88"/>
      <c r="E673" s="88"/>
      <c r="F673" s="66"/>
      <c r="G673" s="88"/>
      <c r="H673" s="66"/>
      <c r="J673" s="70" t="str">
        <f t="shared" si="5"/>
        <v> </v>
      </c>
    </row>
    <row r="674" spans="1:10" ht="15" hidden="1">
      <c r="A674" s="89"/>
      <c r="B674" s="88"/>
      <c r="C674" s="88"/>
      <c r="D674" s="88"/>
      <c r="E674" s="88"/>
      <c r="F674" s="66"/>
      <c r="G674" s="88"/>
      <c r="H674" s="66"/>
      <c r="J674" s="70" t="str">
        <f t="shared" si="5"/>
        <v> </v>
      </c>
    </row>
    <row r="675" spans="1:10" ht="15" hidden="1">
      <c r="A675" s="89"/>
      <c r="B675" s="88"/>
      <c r="C675" s="88"/>
      <c r="D675" s="88"/>
      <c r="E675" s="88"/>
      <c r="F675" s="66"/>
      <c r="G675" s="88"/>
      <c r="H675" s="66"/>
      <c r="J675" s="70" t="str">
        <f t="shared" si="5"/>
        <v> </v>
      </c>
    </row>
    <row r="676" spans="1:10" ht="15" hidden="1">
      <c r="A676" s="89"/>
      <c r="B676" s="88"/>
      <c r="C676" s="88"/>
      <c r="D676" s="88"/>
      <c r="E676" s="88"/>
      <c r="F676" s="66"/>
      <c r="G676" s="88"/>
      <c r="H676" s="66"/>
      <c r="J676" s="70" t="str">
        <f t="shared" si="5"/>
        <v> </v>
      </c>
    </row>
    <row r="677" spans="1:10" ht="15" hidden="1">
      <c r="A677" s="89"/>
      <c r="B677" s="88"/>
      <c r="C677" s="88"/>
      <c r="D677" s="88"/>
      <c r="E677" s="88"/>
      <c r="F677" s="66"/>
      <c r="G677" s="88"/>
      <c r="H677" s="66"/>
      <c r="J677" s="70" t="str">
        <f t="shared" si="5"/>
        <v> </v>
      </c>
    </row>
    <row r="678" spans="1:10" ht="15" hidden="1">
      <c r="A678" s="89"/>
      <c r="B678" s="90"/>
      <c r="C678" s="88"/>
      <c r="D678" s="88"/>
      <c r="E678" s="88"/>
      <c r="F678" s="66"/>
      <c r="G678" s="88"/>
      <c r="H678" s="66"/>
      <c r="J678" s="70" t="str">
        <f t="shared" si="5"/>
        <v> </v>
      </c>
    </row>
    <row r="679" spans="1:10" ht="15" hidden="1">
      <c r="A679" s="89"/>
      <c r="B679" s="88"/>
      <c r="C679" s="88"/>
      <c r="D679" s="88"/>
      <c r="E679" s="88"/>
      <c r="F679" s="66"/>
      <c r="G679" s="88"/>
      <c r="H679" s="66"/>
      <c r="J679" s="70" t="str">
        <f t="shared" si="5"/>
        <v> </v>
      </c>
    </row>
    <row r="680" spans="1:8" ht="15" hidden="1">
      <c r="A680" s="98"/>
      <c r="B680" s="88"/>
      <c r="C680" s="88"/>
      <c r="D680" s="88"/>
      <c r="E680" s="88"/>
      <c r="F680" s="88"/>
      <c r="G680" s="88"/>
      <c r="H680" s="88"/>
    </row>
    <row r="681" spans="1:10" ht="15" hidden="1">
      <c r="A681" s="89"/>
      <c r="B681" s="88"/>
      <c r="C681" s="88"/>
      <c r="D681" s="88"/>
      <c r="E681" s="88"/>
      <c r="F681" s="88"/>
      <c r="G681" s="95"/>
      <c r="H681" s="88"/>
      <c r="J681" s="30">
        <v>0</v>
      </c>
    </row>
    <row r="682" spans="1:10" ht="15" hidden="1">
      <c r="A682" s="89"/>
      <c r="B682" s="88"/>
      <c r="C682" s="88"/>
      <c r="D682" s="88"/>
      <c r="E682" s="88"/>
      <c r="F682" s="88"/>
      <c r="G682" s="88"/>
      <c r="H682" s="88"/>
      <c r="J682" s="30">
        <v>0</v>
      </c>
    </row>
    <row r="683" spans="1:10" ht="15" hidden="1">
      <c r="A683" s="89"/>
      <c r="B683" s="90"/>
      <c r="C683" s="88"/>
      <c r="D683" s="88"/>
      <c r="E683" s="88"/>
      <c r="F683" s="88"/>
      <c r="G683" s="88"/>
      <c r="H683" s="88"/>
      <c r="J683" s="30">
        <v>0</v>
      </c>
    </row>
    <row r="684" spans="1:8" ht="15" hidden="1">
      <c r="A684" s="98"/>
      <c r="B684" s="88"/>
      <c r="C684" s="88"/>
      <c r="D684" s="88"/>
      <c r="E684" s="88"/>
      <c r="F684" s="88"/>
      <c r="G684" s="88"/>
      <c r="H684" s="88"/>
    </row>
    <row r="685" spans="1:10" ht="15" hidden="1">
      <c r="A685" s="89"/>
      <c r="B685" s="88"/>
      <c r="C685" s="66"/>
      <c r="D685" s="88"/>
      <c r="E685" s="88"/>
      <c r="F685" s="66"/>
      <c r="G685" s="88"/>
      <c r="H685" s="66"/>
      <c r="J685" s="70" t="str">
        <f aca="true" t="shared" si="6" ref="J685:J692">IF(H685&lt;&gt;"",+H685*($I$648/100)," ")</f>
        <v> </v>
      </c>
    </row>
    <row r="686" spans="1:10" ht="15" hidden="1">
      <c r="A686" s="89"/>
      <c r="B686" s="88"/>
      <c r="C686" s="88"/>
      <c r="D686" s="88"/>
      <c r="E686" s="88"/>
      <c r="F686" s="66"/>
      <c r="G686" s="88"/>
      <c r="H686" s="66"/>
      <c r="J686" s="70" t="str">
        <f t="shared" si="6"/>
        <v> </v>
      </c>
    </row>
    <row r="687" spans="1:10" ht="15" hidden="1">
      <c r="A687" s="89"/>
      <c r="B687" s="88"/>
      <c r="C687" s="88"/>
      <c r="D687" s="88"/>
      <c r="E687" s="88"/>
      <c r="F687" s="66"/>
      <c r="G687" s="88"/>
      <c r="H687" s="66"/>
      <c r="J687" s="70" t="str">
        <f t="shared" si="6"/>
        <v> </v>
      </c>
    </row>
    <row r="688" spans="1:10" ht="15" hidden="1">
      <c r="A688" s="89"/>
      <c r="B688" s="88"/>
      <c r="C688" s="88"/>
      <c r="D688" s="88"/>
      <c r="E688" s="88"/>
      <c r="F688" s="66"/>
      <c r="G688" s="88"/>
      <c r="H688" s="66"/>
      <c r="J688" s="70" t="str">
        <f t="shared" si="6"/>
        <v> </v>
      </c>
    </row>
    <row r="689" spans="1:10" ht="15" hidden="1">
      <c r="A689" s="89"/>
      <c r="B689" s="88"/>
      <c r="C689" s="88"/>
      <c r="D689" s="88"/>
      <c r="E689" s="88"/>
      <c r="F689" s="66"/>
      <c r="G689" s="88"/>
      <c r="H689" s="66"/>
      <c r="J689" s="70" t="str">
        <f t="shared" si="6"/>
        <v> </v>
      </c>
    </row>
    <row r="690" spans="1:10" ht="15" hidden="1">
      <c r="A690" s="89"/>
      <c r="B690" s="88"/>
      <c r="C690" s="88"/>
      <c r="D690" s="88"/>
      <c r="E690" s="88"/>
      <c r="F690" s="66"/>
      <c r="G690" s="88"/>
      <c r="H690" s="66"/>
      <c r="J690" s="70" t="str">
        <f t="shared" si="6"/>
        <v> </v>
      </c>
    </row>
    <row r="691" spans="1:10" ht="15" hidden="1">
      <c r="A691" s="89"/>
      <c r="B691" s="88"/>
      <c r="C691" s="88"/>
      <c r="D691" s="88"/>
      <c r="E691" s="88"/>
      <c r="F691" s="66"/>
      <c r="G691" s="88"/>
      <c r="H691" s="66"/>
      <c r="J691" s="70" t="str">
        <f t="shared" si="6"/>
        <v> </v>
      </c>
    </row>
    <row r="692" spans="1:10" ht="15" hidden="1">
      <c r="A692" s="89"/>
      <c r="B692" s="90"/>
      <c r="C692" s="88"/>
      <c r="D692" s="88"/>
      <c r="E692" s="88"/>
      <c r="F692" s="66"/>
      <c r="G692" s="88"/>
      <c r="H692" s="66"/>
      <c r="I692" s="20"/>
      <c r="J692" s="70" t="str">
        <f t="shared" si="6"/>
        <v> </v>
      </c>
    </row>
    <row r="693" spans="1:10" ht="15" hidden="1">
      <c r="A693" s="98"/>
      <c r="B693" s="88"/>
      <c r="C693" s="88"/>
      <c r="D693" s="88"/>
      <c r="E693" s="88"/>
      <c r="F693" s="88"/>
      <c r="G693" s="88"/>
      <c r="H693" s="95"/>
      <c r="I693" s="16"/>
      <c r="J693" s="30" t="s">
        <v>592</v>
      </c>
    </row>
    <row r="694" spans="1:10" ht="15" hidden="1">
      <c r="A694" s="98"/>
      <c r="B694" s="66"/>
      <c r="C694" s="88"/>
      <c r="D694" s="88"/>
      <c r="E694" s="88"/>
      <c r="F694" s="88"/>
      <c r="G694" s="88"/>
      <c r="H694" s="95"/>
      <c r="I694" s="16"/>
      <c r="J694" s="30">
        <v>0</v>
      </c>
    </row>
    <row r="695" spans="1:8" ht="15" hidden="1">
      <c r="A695" s="98"/>
      <c r="B695" s="88"/>
      <c r="C695" s="88"/>
      <c r="D695" s="88"/>
      <c r="E695" s="88"/>
      <c r="F695" s="88"/>
      <c r="G695" s="88"/>
      <c r="H695" s="88"/>
    </row>
    <row r="696" spans="1:10" ht="15" hidden="1">
      <c r="A696" s="89"/>
      <c r="B696" s="88"/>
      <c r="C696" s="88"/>
      <c r="D696" s="88"/>
      <c r="E696" s="88"/>
      <c r="F696" s="88"/>
      <c r="G696" s="88"/>
      <c r="H696" s="88"/>
      <c r="J696" s="30">
        <v>0</v>
      </c>
    </row>
    <row r="697" spans="1:10" ht="15" hidden="1">
      <c r="A697" s="89"/>
      <c r="B697" s="88"/>
      <c r="C697" s="88"/>
      <c r="D697" s="88"/>
      <c r="E697" s="88"/>
      <c r="F697" s="88"/>
      <c r="G697" s="88"/>
      <c r="H697" s="88"/>
      <c r="J697" s="30">
        <v>0</v>
      </c>
    </row>
    <row r="698" spans="1:10" ht="15" hidden="1">
      <c r="A698" s="89"/>
      <c r="B698" s="88"/>
      <c r="C698" s="88"/>
      <c r="D698" s="88"/>
      <c r="E698" s="88"/>
      <c r="F698" s="88"/>
      <c r="G698" s="88"/>
      <c r="H698" s="88"/>
      <c r="J698" s="30">
        <v>0</v>
      </c>
    </row>
    <row r="699" spans="1:10" ht="15" hidden="1">
      <c r="A699" s="98"/>
      <c r="B699" s="88"/>
      <c r="C699" s="88"/>
      <c r="D699" s="88"/>
      <c r="E699" s="88"/>
      <c r="F699" s="66"/>
      <c r="G699" s="88"/>
      <c r="H699" s="66"/>
      <c r="I699" s="16"/>
      <c r="J699" s="70" t="str">
        <f>IF(H699&lt;&gt;"",+H699*($I$648/100)," ")</f>
        <v> </v>
      </c>
    </row>
    <row r="700" spans="1:10" ht="15" hidden="1">
      <c r="A700" s="98"/>
      <c r="B700" s="88"/>
      <c r="C700" s="88"/>
      <c r="D700" s="88"/>
      <c r="E700" s="88"/>
      <c r="F700" s="66"/>
      <c r="G700" s="88"/>
      <c r="H700" s="88"/>
      <c r="I700" s="16"/>
      <c r="J700" s="30">
        <f>SUM(J654:J699)</f>
        <v>0</v>
      </c>
    </row>
    <row r="701" spans="1:8" ht="15" hidden="1">
      <c r="A701" s="105"/>
      <c r="B701" s="88"/>
      <c r="C701" s="88"/>
      <c r="D701" s="88"/>
      <c r="E701" s="88"/>
      <c r="F701" s="88"/>
      <c r="G701" s="88"/>
      <c r="H701" s="88"/>
    </row>
    <row r="702" spans="1:10" ht="16.5" hidden="1" thickBot="1" thickTop="1">
      <c r="A702" s="89"/>
      <c r="B702" s="88"/>
      <c r="C702" s="88"/>
      <c r="D702" s="88"/>
      <c r="E702" s="88"/>
      <c r="F702" s="88"/>
      <c r="G702" s="88"/>
      <c r="H702" s="91"/>
      <c r="J702" s="71" t="e">
        <f>#N/A</f>
        <v>#N/A</v>
      </c>
    </row>
    <row r="703" spans="1:15" ht="15" hidden="1">
      <c r="A703" s="89"/>
      <c r="B703" s="88"/>
      <c r="C703" s="88"/>
      <c r="D703" s="88"/>
      <c r="E703" s="88"/>
      <c r="F703" s="88"/>
      <c r="G703" s="88"/>
      <c r="H703" s="91"/>
      <c r="J703" s="41"/>
      <c r="O703" s="7" t="s">
        <v>593</v>
      </c>
    </row>
    <row r="704" spans="1:10" ht="15" hidden="1">
      <c r="A704" s="94"/>
      <c r="B704" s="88"/>
      <c r="C704" s="88"/>
      <c r="D704" s="88"/>
      <c r="E704" s="88"/>
      <c r="F704" s="88"/>
      <c r="G704" s="88"/>
      <c r="H704" s="88"/>
      <c r="I704" s="30"/>
      <c r="J704" s="30"/>
    </row>
    <row r="705" spans="1:8" ht="15" hidden="1">
      <c r="A705" s="89"/>
      <c r="B705" s="88"/>
      <c r="C705" s="88"/>
      <c r="D705" s="88"/>
      <c r="E705" s="66"/>
      <c r="F705" s="88"/>
      <c r="G705" s="88"/>
      <c r="H705" s="88"/>
    </row>
    <row r="706" spans="1:8" ht="15" hidden="1">
      <c r="A706" s="89"/>
      <c r="B706" s="88"/>
      <c r="C706" s="88"/>
      <c r="D706" s="88"/>
      <c r="E706" s="66"/>
      <c r="F706" s="88"/>
      <c r="G706" s="88"/>
      <c r="H706" s="88"/>
    </row>
    <row r="707" spans="1:8" ht="15" hidden="1">
      <c r="A707" s="106"/>
      <c r="B707" s="88"/>
      <c r="C707" s="88"/>
      <c r="D707" s="88"/>
      <c r="E707" s="86"/>
      <c r="F707" s="88"/>
      <c r="G707" s="88"/>
      <c r="H707" s="88"/>
    </row>
    <row r="708" spans="1:8" ht="15" hidden="1">
      <c r="A708" s="106"/>
      <c r="B708" s="88"/>
      <c r="C708" s="88"/>
      <c r="D708" s="88"/>
      <c r="E708" s="88"/>
      <c r="F708" s="88"/>
      <c r="G708" s="88"/>
      <c r="H708" s="88"/>
    </row>
    <row r="709" spans="1:10" ht="15.75" hidden="1" thickBot="1">
      <c r="A709" s="89"/>
      <c r="B709" s="88"/>
      <c r="C709" s="88"/>
      <c r="D709" s="88"/>
      <c r="E709" s="88"/>
      <c r="F709" s="88"/>
      <c r="G709" s="88"/>
      <c r="H709" s="88"/>
      <c r="I709" s="72"/>
      <c r="J709" s="72"/>
    </row>
    <row r="710" spans="1:8" ht="15" hidden="1">
      <c r="A710" s="89"/>
      <c r="B710" s="88"/>
      <c r="C710" s="88"/>
      <c r="D710" s="88"/>
      <c r="E710" s="88"/>
      <c r="F710" s="95"/>
      <c r="G710" s="88"/>
      <c r="H710" s="88"/>
    </row>
    <row r="711" spans="1:8" ht="15" hidden="1">
      <c r="A711" s="89"/>
      <c r="B711" s="88"/>
      <c r="C711" s="88"/>
      <c r="D711" s="88"/>
      <c r="E711" s="88"/>
      <c r="F711" s="95"/>
      <c r="G711" s="88"/>
      <c r="H711" s="88"/>
    </row>
    <row r="712" spans="1:8" ht="15" hidden="1">
      <c r="A712" s="89"/>
      <c r="B712" s="88"/>
      <c r="C712" s="88"/>
      <c r="D712" s="88"/>
      <c r="E712" s="88"/>
      <c r="F712" s="95"/>
      <c r="G712" s="88"/>
      <c r="H712" s="88"/>
    </row>
    <row r="713" spans="1:8" ht="15" hidden="1">
      <c r="A713" s="89"/>
      <c r="B713" s="88"/>
      <c r="C713" s="88"/>
      <c r="D713" s="88"/>
      <c r="E713" s="88"/>
      <c r="F713" s="95"/>
      <c r="G713" s="88"/>
      <c r="H713" s="88"/>
    </row>
    <row r="714" spans="1:8" ht="15" hidden="1">
      <c r="A714" s="89"/>
      <c r="B714" s="88"/>
      <c r="C714" s="88"/>
      <c r="D714" s="88"/>
      <c r="E714" s="88"/>
      <c r="F714" s="88"/>
      <c r="G714" s="88"/>
      <c r="H714" s="88"/>
    </row>
    <row r="715" spans="1:8" ht="15" hidden="1">
      <c r="A715" s="89"/>
      <c r="B715" s="88"/>
      <c r="C715" s="88"/>
      <c r="D715" s="88"/>
      <c r="E715" s="95"/>
      <c r="F715" s="88"/>
      <c r="G715" s="88"/>
      <c r="H715" s="88"/>
    </row>
    <row r="716" spans="1:8" ht="15" hidden="1">
      <c r="A716" s="89"/>
      <c r="B716" s="88"/>
      <c r="C716" s="88"/>
      <c r="D716" s="88"/>
      <c r="E716" s="88"/>
      <c r="F716" s="88"/>
      <c r="G716" s="88"/>
      <c r="H716" s="88"/>
    </row>
    <row r="717" spans="1:8" ht="15" hidden="1">
      <c r="A717" s="89"/>
      <c r="B717" s="88"/>
      <c r="C717" s="88"/>
      <c r="D717" s="88"/>
      <c r="E717" s="88"/>
      <c r="F717" s="88"/>
      <c r="G717" s="88"/>
      <c r="H717" s="88"/>
    </row>
    <row r="718" spans="1:8" ht="15" hidden="1">
      <c r="A718" s="89"/>
      <c r="B718" s="88"/>
      <c r="C718" s="88"/>
      <c r="D718" s="88"/>
      <c r="E718" s="88"/>
      <c r="F718" s="88"/>
      <c r="G718" s="88"/>
      <c r="H718" s="88"/>
    </row>
    <row r="719" spans="1:8" ht="15" hidden="1">
      <c r="A719" s="89"/>
      <c r="B719" s="88"/>
      <c r="C719" s="88"/>
      <c r="D719" s="88"/>
      <c r="E719" s="88"/>
      <c r="F719" s="107"/>
      <c r="G719" s="88"/>
      <c r="H719" s="88"/>
    </row>
    <row r="720" spans="1:8" ht="15" hidden="1">
      <c r="A720" s="89"/>
      <c r="B720" s="88"/>
      <c r="C720" s="88"/>
      <c r="D720" s="88"/>
      <c r="E720" s="88"/>
      <c r="F720" s="88"/>
      <c r="G720" s="88"/>
      <c r="H720" s="88"/>
    </row>
    <row r="721" spans="1:8" ht="15" hidden="1">
      <c r="A721" s="89"/>
      <c r="B721" s="88"/>
      <c r="C721" s="88"/>
      <c r="D721" s="88"/>
      <c r="E721" s="88"/>
      <c r="F721" s="88"/>
      <c r="G721" s="88"/>
      <c r="H721" s="88"/>
    </row>
    <row r="722" spans="1:8" ht="15" hidden="1">
      <c r="A722" s="89"/>
      <c r="B722" s="88"/>
      <c r="C722" s="88"/>
      <c r="D722" s="88"/>
      <c r="E722" s="88"/>
      <c r="F722" s="88"/>
      <c r="G722" s="88"/>
      <c r="H722" s="88"/>
    </row>
    <row r="723" spans="1:8" ht="15" hidden="1">
      <c r="A723" s="89"/>
      <c r="B723" s="88"/>
      <c r="C723" s="88"/>
      <c r="D723" s="88"/>
      <c r="E723" s="88"/>
      <c r="F723" s="88"/>
      <c r="G723" s="88"/>
      <c r="H723" s="88"/>
    </row>
    <row r="724" spans="1:8" ht="15" hidden="1">
      <c r="A724" s="89"/>
      <c r="B724" s="88"/>
      <c r="C724" s="88"/>
      <c r="D724" s="88"/>
      <c r="E724" s="88"/>
      <c r="F724" s="88"/>
      <c r="G724" s="88"/>
      <c r="H724" s="88"/>
    </row>
    <row r="725" spans="1:8" ht="15" hidden="1">
      <c r="A725" s="89"/>
      <c r="B725" s="88"/>
      <c r="C725" s="88"/>
      <c r="D725" s="88"/>
      <c r="E725" s="88"/>
      <c r="F725" s="88"/>
      <c r="G725" s="88"/>
      <c r="H725" s="88"/>
    </row>
    <row r="727" ht="24">
      <c r="S727" s="73"/>
    </row>
    <row r="728" ht="24">
      <c r="S728" s="73" t="s">
        <v>594</v>
      </c>
    </row>
    <row r="729" ht="24">
      <c r="S729" s="73" t="s">
        <v>595</v>
      </c>
    </row>
    <row r="730" ht="24">
      <c r="S730" s="73" t="s">
        <v>598</v>
      </c>
    </row>
    <row r="731" ht="24">
      <c r="S731" s="73" t="s">
        <v>599</v>
      </c>
    </row>
    <row r="732" ht="24">
      <c r="S732" s="73" t="s">
        <v>600</v>
      </c>
    </row>
    <row r="733" ht="24">
      <c r="S733" s="73" t="s">
        <v>601</v>
      </c>
    </row>
    <row r="734" ht="24">
      <c r="S734" s="73" t="s">
        <v>601</v>
      </c>
    </row>
    <row r="735" ht="24">
      <c r="S735" s="73" t="s">
        <v>602</v>
      </c>
    </row>
    <row r="736" ht="24">
      <c r="S736" s="73" t="s">
        <v>603</v>
      </c>
    </row>
    <row r="738" ht="24">
      <c r="S738" s="74" t="s">
        <v>604</v>
      </c>
    </row>
    <row r="739" ht="22.5">
      <c r="S739" s="75" t="s">
        <v>605</v>
      </c>
    </row>
    <row r="740" ht="22.5">
      <c r="S740" s="76"/>
    </row>
    <row r="741" ht="22.5">
      <c r="S741" s="76"/>
    </row>
    <row r="742" ht="22.5">
      <c r="S742" s="76"/>
    </row>
    <row r="743" ht="22.5">
      <c r="S743" s="76"/>
    </row>
    <row r="744" ht="22.5">
      <c r="S744" s="76"/>
    </row>
    <row r="745" ht="22.5">
      <c r="S745" s="76"/>
    </row>
    <row r="746" ht="22.5">
      <c r="S746" s="76"/>
    </row>
    <row r="747" ht="22.5">
      <c r="S747" s="76"/>
    </row>
    <row r="748" ht="22.5">
      <c r="S748" s="76"/>
    </row>
    <row r="749" ht="22.5">
      <c r="S749" s="76"/>
    </row>
    <row r="750" ht="22.5">
      <c r="S750" s="76"/>
    </row>
    <row r="751" ht="22.5">
      <c r="S751" s="76"/>
    </row>
    <row r="752" ht="22.5">
      <c r="S752" s="76"/>
    </row>
    <row r="753" ht="22.5">
      <c r="S753" s="76"/>
    </row>
    <row r="754" ht="22.5">
      <c r="S754" s="76"/>
    </row>
    <row r="755" ht="22.5">
      <c r="S755" s="76"/>
    </row>
    <row r="756" ht="22.5">
      <c r="M756" s="77"/>
    </row>
  </sheetData>
  <sheetProtection password="EE60" sheet="1"/>
  <mergeCells count="49">
    <mergeCell ref="H35:I35"/>
    <mergeCell ref="H38:I38"/>
    <mergeCell ref="I14:J14"/>
    <mergeCell ref="E138:G139"/>
    <mergeCell ref="I371:I372"/>
    <mergeCell ref="G605:H605"/>
    <mergeCell ref="G516:H516"/>
    <mergeCell ref="G532:H532"/>
    <mergeCell ref="G565:H565"/>
    <mergeCell ref="G589:H589"/>
    <mergeCell ref="A4:H4"/>
    <mergeCell ref="A393:I393"/>
    <mergeCell ref="G243:H243"/>
    <mergeCell ref="A391:I391"/>
    <mergeCell ref="A392:I392"/>
    <mergeCell ref="B114:E114"/>
    <mergeCell ref="B18:D18"/>
    <mergeCell ref="B107:E107"/>
    <mergeCell ref="B108:E108"/>
    <mergeCell ref="B109:E109"/>
    <mergeCell ref="B17:D17"/>
    <mergeCell ref="I12:J12"/>
    <mergeCell ref="F18:G18"/>
    <mergeCell ref="G8:H8"/>
    <mergeCell ref="G9:H9"/>
    <mergeCell ref="G10:H10"/>
    <mergeCell ref="F17:G17"/>
    <mergeCell ref="C13:G13"/>
    <mergeCell ref="C15:G15"/>
    <mergeCell ref="B111:E111"/>
    <mergeCell ref="A2:J2"/>
    <mergeCell ref="A3:J3"/>
    <mergeCell ref="B112:E112"/>
    <mergeCell ref="B113:E113"/>
    <mergeCell ref="I17:J17"/>
    <mergeCell ref="I18:J18"/>
    <mergeCell ref="G7:H7"/>
    <mergeCell ref="C12:G12"/>
    <mergeCell ref="C14:G14"/>
    <mergeCell ref="G103:H103"/>
    <mergeCell ref="C141:F141"/>
    <mergeCell ref="G101:H101"/>
    <mergeCell ref="B110:E110"/>
    <mergeCell ref="H51:I51"/>
    <mergeCell ref="H52:I52"/>
    <mergeCell ref="H53:I53"/>
    <mergeCell ref="H54:I54"/>
    <mergeCell ref="H55:I55"/>
    <mergeCell ref="H57:I57"/>
  </mergeCells>
  <printOptions horizontalCentered="1"/>
  <pageMargins left="0.25" right="0.25" top="0.55" bottom="0.36666666666666664" header="0.25" footer="0.25"/>
  <pageSetup horizontalDpi="600" verticalDpi="600" orientation="portrait" paperSize="5" scale="55" r:id="rId2"/>
  <headerFooter alignWithMargins="0">
    <oddHeader>&amp;C&amp;"Arial,Bold"&amp;16DRAFT - for discussion purposes only and subject to change&amp;R
&amp;T</oddHeader>
    <oddFooter>&amp;L&amp;8&amp;F&amp;A &amp;D&amp;C&amp;"Arial,Bold"&amp;11This memorandum contains advisory, consultative and deliberative materials and is intended for the person(s) named as recipient(s).
&amp;RREV.  3/27/19</oddFooter>
  </headerFooter>
  <rowBreaks count="4" manualBreakCount="4">
    <brk id="91" max="9" man="1"/>
    <brk id="195" max="255" man="1"/>
    <brk id="235" max="9" man="1"/>
    <brk id="316" max="9" man="1"/>
  </rowBreaks>
  <drawing r:id="rId1"/>
</worksheet>
</file>

<file path=xl/worksheets/sheet4.xml><?xml version="1.0" encoding="utf-8"?>
<worksheet xmlns="http://schemas.openxmlformats.org/spreadsheetml/2006/main" xmlns:r="http://schemas.openxmlformats.org/officeDocument/2006/relationships">
  <sheetPr codeName="Sheet8">
    <pageSetUpPr fitToPage="1"/>
  </sheetPr>
  <dimension ref="A2:IT139"/>
  <sheetViews>
    <sheetView showGridLines="0" showZeros="0" zoomScale="60" zoomScaleNormal="60" zoomScalePageLayoutView="0" workbookViewId="0" topLeftCell="B1">
      <selection activeCell="B3" sqref="B3"/>
    </sheetView>
  </sheetViews>
  <sheetFormatPr defaultColWidth="7.99609375" defaultRowHeight="15"/>
  <cols>
    <col min="1" max="1" width="2.77734375" style="362" customWidth="1"/>
    <col min="2" max="2" width="25.99609375" style="366" customWidth="1"/>
    <col min="3" max="3" width="22.4453125" style="366" customWidth="1"/>
    <col min="4" max="4" width="12.3359375" style="366" customWidth="1"/>
    <col min="5" max="5" width="1.4375" style="366" customWidth="1"/>
    <col min="6" max="6" width="19.99609375" style="394" customWidth="1"/>
    <col min="7" max="7" width="3.77734375" style="393" customWidth="1"/>
    <col min="8" max="8" width="19.99609375" style="393" customWidth="1"/>
    <col min="9" max="9" width="6.10546875" style="393" customWidth="1"/>
    <col min="10" max="10" width="24.21484375" style="394" customWidth="1"/>
    <col min="11" max="11" width="8.21484375" style="393" customWidth="1"/>
    <col min="12" max="12" width="19.99609375" style="394" customWidth="1"/>
    <col min="13" max="13" width="16.21484375" style="394" customWidth="1"/>
    <col min="14" max="14" width="19.99609375" style="394" customWidth="1"/>
    <col min="15" max="15" width="1.77734375" style="366" customWidth="1"/>
    <col min="16" max="16" width="24.6640625" style="366" customWidth="1"/>
    <col min="17" max="17" width="7.99609375" style="366" hidden="1" customWidth="1"/>
    <col min="18" max="18" width="7.99609375" style="366" customWidth="1"/>
    <col min="19" max="19" width="15.3359375" style="366" customWidth="1"/>
    <col min="20" max="24" width="7.99609375" style="366" customWidth="1"/>
    <col min="25" max="25" width="12.21484375" style="366" customWidth="1"/>
    <col min="26" max="26" width="10.5546875" style="366" customWidth="1"/>
    <col min="27" max="27" width="8.99609375" style="366" customWidth="1"/>
    <col min="28" max="28" width="12.99609375" style="366" customWidth="1"/>
    <col min="29" max="29" width="9.10546875" style="366" customWidth="1"/>
    <col min="30" max="30" width="9.99609375" style="366" customWidth="1"/>
    <col min="31" max="31" width="12.5546875" style="366" customWidth="1"/>
    <col min="32" max="16384" width="7.99609375" style="366" customWidth="1"/>
  </cols>
  <sheetData>
    <row r="2" spans="1:14" ht="24" customHeight="1">
      <c r="A2" s="440"/>
      <c r="B2" s="1089" t="s">
        <v>1593</v>
      </c>
      <c r="C2" s="1090"/>
      <c r="D2" s="1091"/>
      <c r="E2" s="1091"/>
      <c r="F2" s="380"/>
      <c r="G2" s="363"/>
      <c r="H2" s="364" t="s">
        <v>914</v>
      </c>
      <c r="I2" s="365"/>
      <c r="J2" s="365"/>
      <c r="K2" s="363"/>
      <c r="M2" s="1092" t="s">
        <v>1162</v>
      </c>
      <c r="N2" s="1093">
        <f ca="1">+NOW()</f>
        <v>45378.384223263885</v>
      </c>
    </row>
    <row r="3" spans="1:14" ht="24" customHeight="1">
      <c r="A3" s="440"/>
      <c r="B3" s="1090"/>
      <c r="C3" s="1090"/>
      <c r="D3" s="1090"/>
      <c r="E3" s="1090"/>
      <c r="F3" s="363"/>
      <c r="G3" s="363"/>
      <c r="H3" s="364" t="s">
        <v>915</v>
      </c>
      <c r="I3" s="490"/>
      <c r="J3" s="367"/>
      <c r="K3" s="363"/>
      <c r="L3" s="1094"/>
      <c r="M3" s="363"/>
      <c r="N3" s="440"/>
    </row>
    <row r="4" spans="1:14" ht="24" customHeight="1">
      <c r="A4" s="440"/>
      <c r="B4" s="1090"/>
      <c r="C4" s="1090"/>
      <c r="D4" s="1090"/>
      <c r="E4" s="1090"/>
      <c r="F4" s="363"/>
      <c r="G4" s="380"/>
      <c r="H4" s="1095" t="s">
        <v>916</v>
      </c>
      <c r="I4" s="1096"/>
      <c r="J4" s="1097" t="s">
        <v>917</v>
      </c>
      <c r="K4" s="363"/>
      <c r="L4" s="1092"/>
      <c r="M4" s="363"/>
      <c r="N4" s="363"/>
    </row>
    <row r="5" spans="1:23" ht="24" customHeight="1" thickBot="1">
      <c r="A5" s="440"/>
      <c r="B5" s="1098" t="s">
        <v>918</v>
      </c>
      <c r="C5" s="1583">
        <f>+EligBasisLimits!C4</f>
        <v>0</v>
      </c>
      <c r="D5" s="1584"/>
      <c r="E5" s="440"/>
      <c r="F5" s="440"/>
      <c r="G5" s="363"/>
      <c r="H5" s="1095" t="s">
        <v>919</v>
      </c>
      <c r="I5" s="1096"/>
      <c r="J5" s="1097" t="s">
        <v>917</v>
      </c>
      <c r="K5" s="363"/>
      <c r="L5" s="1092"/>
      <c r="M5" s="363"/>
      <c r="N5" s="363"/>
      <c r="Q5" s="1099" t="s">
        <v>920</v>
      </c>
      <c r="R5" s="368"/>
      <c r="T5" s="368"/>
      <c r="U5" s="368"/>
      <c r="V5" s="368"/>
      <c r="W5" s="368"/>
    </row>
    <row r="6" spans="1:23" ht="24" customHeight="1" thickBot="1">
      <c r="A6" s="440"/>
      <c r="B6" s="1092" t="s">
        <v>895</v>
      </c>
      <c r="C6" s="1583">
        <f>+EligBasisLimits!C5</f>
        <v>0</v>
      </c>
      <c r="D6" s="1584"/>
      <c r="E6" s="440"/>
      <c r="F6" s="440"/>
      <c r="G6" s="363"/>
      <c r="H6" s="1095" t="s">
        <v>1553</v>
      </c>
      <c r="I6" s="1096"/>
      <c r="J6" s="1097" t="s">
        <v>917</v>
      </c>
      <c r="K6" s="363"/>
      <c r="L6" s="1092"/>
      <c r="M6" s="363"/>
      <c r="N6" s="363"/>
      <c r="Q6" s="1100"/>
      <c r="R6" s="369"/>
      <c r="S6" s="370"/>
      <c r="T6" s="369"/>
      <c r="U6" s="369"/>
      <c r="V6" s="369"/>
      <c r="W6" s="369"/>
    </row>
    <row r="7" spans="1:23" ht="24" customHeight="1" thickBot="1">
      <c r="A7" s="440"/>
      <c r="B7" s="1092" t="s">
        <v>896</v>
      </c>
      <c r="C7" s="1583">
        <f>+EligBasisLimits!C6</f>
        <v>0</v>
      </c>
      <c r="D7" s="1584"/>
      <c r="E7" s="440"/>
      <c r="F7" s="440"/>
      <c r="G7" s="1092"/>
      <c r="H7" s="1101" t="s">
        <v>921</v>
      </c>
      <c r="I7" s="1102"/>
      <c r="J7" s="1097" t="s">
        <v>917</v>
      </c>
      <c r="K7" s="363"/>
      <c r="L7" s="1092"/>
      <c r="M7" s="363"/>
      <c r="N7" s="363"/>
      <c r="Q7" s="1100"/>
      <c r="R7" s="369"/>
      <c r="S7" s="370"/>
      <c r="T7" s="369"/>
      <c r="U7" s="369"/>
      <c r="V7" s="369"/>
      <c r="W7" s="369"/>
    </row>
    <row r="8" spans="1:84" ht="22.5" customHeight="1">
      <c r="A8" s="440"/>
      <c r="B8" s="1103"/>
      <c r="C8" s="1103"/>
      <c r="D8" s="1090"/>
      <c r="E8" s="1090"/>
      <c r="F8" s="380"/>
      <c r="G8" s="380"/>
      <c r="H8" s="1101" t="s">
        <v>922</v>
      </c>
      <c r="I8" s="1104"/>
      <c r="J8" s="1097" t="s">
        <v>917</v>
      </c>
      <c r="K8" s="380"/>
      <c r="L8" s="380"/>
      <c r="M8" s="380"/>
      <c r="N8" s="380"/>
      <c r="Q8" s="1105"/>
      <c r="R8" s="369"/>
      <c r="S8" s="370"/>
      <c r="T8" s="369"/>
      <c r="U8" s="369"/>
      <c r="V8" s="369"/>
      <c r="W8" s="369"/>
      <c r="BP8" s="370"/>
      <c r="BQ8" s="370"/>
      <c r="BR8" s="370"/>
      <c r="BS8" s="370"/>
      <c r="BT8" s="370"/>
      <c r="BU8" s="370"/>
      <c r="BV8" s="370"/>
      <c r="BW8" s="370"/>
      <c r="BX8" s="370"/>
      <c r="BY8" s="370"/>
      <c r="BZ8" s="370"/>
      <c r="CA8" s="370"/>
      <c r="CB8" s="370"/>
      <c r="CC8" s="370"/>
      <c r="CD8" s="370"/>
      <c r="CE8" s="370"/>
      <c r="CF8" s="370"/>
    </row>
    <row r="9" spans="2:14" s="362" customFormat="1" ht="23.25" customHeight="1">
      <c r="B9" s="440"/>
      <c r="C9" s="440"/>
      <c r="D9" s="440"/>
      <c r="E9" s="440"/>
      <c r="F9" s="440"/>
      <c r="G9" s="440"/>
      <c r="H9" s="1106"/>
      <c r="I9" s="440"/>
      <c r="J9" s="440"/>
      <c r="K9" s="440"/>
      <c r="L9" s="440"/>
      <c r="M9" s="440"/>
      <c r="N9" s="440"/>
    </row>
    <row r="10" spans="1:23" ht="18">
      <c r="A10" s="1107"/>
      <c r="B10" s="1108"/>
      <c r="C10" s="1109"/>
      <c r="D10" s="1110"/>
      <c r="E10" s="1109"/>
      <c r="F10" s="1111" t="s">
        <v>923</v>
      </c>
      <c r="G10" s="1111"/>
      <c r="H10" s="1111" t="s">
        <v>924</v>
      </c>
      <c r="I10" s="1111"/>
      <c r="J10" s="1111" t="s">
        <v>925</v>
      </c>
      <c r="K10" s="1111"/>
      <c r="L10" s="1111" t="s">
        <v>926</v>
      </c>
      <c r="M10" s="1111"/>
      <c r="N10" s="1111" t="s">
        <v>927</v>
      </c>
      <c r="Q10" s="1112"/>
      <c r="R10" s="368"/>
      <c r="T10" s="368"/>
      <c r="U10" s="368"/>
      <c r="V10" s="368"/>
      <c r="W10" s="368"/>
    </row>
    <row r="11" spans="1:23" ht="18">
      <c r="A11" s="1107"/>
      <c r="B11" s="1108"/>
      <c r="C11" s="362"/>
      <c r="D11" s="1110"/>
      <c r="E11" s="1110"/>
      <c r="F11" s="1111" t="s">
        <v>756</v>
      </c>
      <c r="G11" s="1111"/>
      <c r="H11" s="1111" t="s">
        <v>757</v>
      </c>
      <c r="I11" s="1111"/>
      <c r="J11" s="1111" t="s">
        <v>757</v>
      </c>
      <c r="K11" s="1111"/>
      <c r="L11" s="1111" t="s">
        <v>928</v>
      </c>
      <c r="M11" s="1111"/>
      <c r="N11" s="1111" t="s">
        <v>929</v>
      </c>
      <c r="R11" s="368"/>
      <c r="T11" s="368"/>
      <c r="U11" s="368"/>
      <c r="V11" s="368"/>
      <c r="W11" s="368"/>
    </row>
    <row r="12" spans="1:23" ht="18">
      <c r="A12" s="440"/>
      <c r="B12" s="1046" t="s">
        <v>930</v>
      </c>
      <c r="C12" s="1090"/>
      <c r="D12" s="1103"/>
      <c r="E12" s="1103"/>
      <c r="F12" s="380"/>
      <c r="G12" s="380"/>
      <c r="H12" s="380"/>
      <c r="I12" s="380"/>
      <c r="J12" s="380"/>
      <c r="K12" s="380"/>
      <c r="L12" s="1090"/>
      <c r="M12" s="380"/>
      <c r="N12" s="363"/>
      <c r="Q12" s="864"/>
      <c r="R12" s="368"/>
      <c r="T12" s="368"/>
      <c r="U12" s="368"/>
      <c r="V12" s="368"/>
      <c r="W12" s="368"/>
    </row>
    <row r="13" spans="1:18" ht="18">
      <c r="A13" s="440"/>
      <c r="B13" s="1046" t="s">
        <v>931</v>
      </c>
      <c r="C13" s="1090"/>
      <c r="D13" s="1103"/>
      <c r="E13" s="1103"/>
      <c r="F13" s="1113">
        <f>'FORM-10 (A-F)'!H121</f>
        <v>0</v>
      </c>
      <c r="G13" s="1114"/>
      <c r="H13" s="371"/>
      <c r="I13" s="1114"/>
      <c r="J13" s="371"/>
      <c r="K13" s="372"/>
      <c r="L13" s="373"/>
      <c r="M13" s="1114"/>
      <c r="N13" s="1113">
        <f>F13</f>
        <v>0</v>
      </c>
      <c r="R13" s="368"/>
    </row>
    <row r="14" spans="1:23" ht="18">
      <c r="A14" s="440"/>
      <c r="B14" s="1046" t="s">
        <v>932</v>
      </c>
      <c r="C14" s="1115"/>
      <c r="D14" s="1103"/>
      <c r="E14" s="1103"/>
      <c r="F14" s="1113">
        <f>+'FORM-10 (A-F)'!H122</f>
        <v>0</v>
      </c>
      <c r="G14" s="1114"/>
      <c r="H14" s="371"/>
      <c r="I14" s="1114"/>
      <c r="J14" s="371"/>
      <c r="K14" s="372"/>
      <c r="L14" s="374">
        <f>F14-H14-J14-N14</f>
        <v>0</v>
      </c>
      <c r="M14" s="1114"/>
      <c r="N14" s="371"/>
      <c r="T14" s="368"/>
      <c r="U14" s="368"/>
      <c r="V14" s="368"/>
      <c r="W14" s="368"/>
    </row>
    <row r="15" spans="1:14" ht="18">
      <c r="A15" s="440"/>
      <c r="B15" s="1046" t="s">
        <v>933</v>
      </c>
      <c r="C15" s="1116"/>
      <c r="D15" s="1117"/>
      <c r="E15" s="1117"/>
      <c r="F15" s="1113">
        <f>+'FORM-10 (A-F)'!H123</f>
        <v>0</v>
      </c>
      <c r="G15" s="1114"/>
      <c r="H15" s="371"/>
      <c r="I15" s="1114"/>
      <c r="J15" s="371"/>
      <c r="K15" s="372"/>
      <c r="L15" s="374">
        <f>F15-H15-J15-N15</f>
        <v>0</v>
      </c>
      <c r="M15" s="1114"/>
      <c r="N15" s="371"/>
    </row>
    <row r="16" spans="1:14" ht="15">
      <c r="A16" s="440"/>
      <c r="B16" s="1090"/>
      <c r="C16" s="1090"/>
      <c r="D16" s="1090"/>
      <c r="E16" s="1090"/>
      <c r="F16" s="1118"/>
      <c r="G16" s="1114"/>
      <c r="H16" s="1114"/>
      <c r="I16" s="1114"/>
      <c r="J16" s="1114"/>
      <c r="K16" s="1119"/>
      <c r="L16" s="1118"/>
      <c r="M16" s="1114"/>
      <c r="N16" s="1120"/>
    </row>
    <row r="17" spans="1:14" ht="18">
      <c r="A17" s="440"/>
      <c r="B17" s="1046" t="s">
        <v>934</v>
      </c>
      <c r="C17" s="1090"/>
      <c r="D17" s="1090"/>
      <c r="E17" s="1090"/>
      <c r="F17" s="1121"/>
      <c r="G17" s="1114"/>
      <c r="H17" s="1119"/>
      <c r="I17" s="1114"/>
      <c r="J17" s="1119"/>
      <c r="K17" s="1119"/>
      <c r="L17" s="1118"/>
      <c r="M17" s="1114"/>
      <c r="N17" s="1120"/>
    </row>
    <row r="18" spans="1:23" ht="18">
      <c r="A18" s="440"/>
      <c r="B18" s="1046" t="s">
        <v>935</v>
      </c>
      <c r="C18" s="1090"/>
      <c r="D18" s="1103"/>
      <c r="E18" s="1103"/>
      <c r="F18" s="1113">
        <f>+'FORM-10 (A-F)'!H125</f>
        <v>0</v>
      </c>
      <c r="G18" s="1114"/>
      <c r="H18" s="371"/>
      <c r="I18" s="1114"/>
      <c r="J18" s="371"/>
      <c r="K18" s="372"/>
      <c r="L18" s="1122">
        <f aca="true" t="shared" si="0" ref="L18:L27">F18-H18-J18</f>
        <v>0</v>
      </c>
      <c r="M18" s="1114"/>
      <c r="N18" s="1120"/>
      <c r="R18" s="368"/>
      <c r="T18" s="368"/>
      <c r="U18" s="368"/>
      <c r="V18" s="368"/>
      <c r="W18" s="368"/>
    </row>
    <row r="19" spans="1:23" ht="18">
      <c r="A19" s="440"/>
      <c r="B19" s="1046" t="s">
        <v>936</v>
      </c>
      <c r="C19" s="1090"/>
      <c r="D19" s="1103"/>
      <c r="E19" s="1103"/>
      <c r="F19" s="1113">
        <f>+'FORM-10 (A-F)'!H126</f>
        <v>0</v>
      </c>
      <c r="G19" s="1114"/>
      <c r="H19" s="1113">
        <f>F19</f>
        <v>0</v>
      </c>
      <c r="I19" s="1114"/>
      <c r="J19" s="371"/>
      <c r="K19" s="372"/>
      <c r="L19" s="1122">
        <f t="shared" si="0"/>
        <v>0</v>
      </c>
      <c r="M19" s="1114"/>
      <c r="N19" s="1120"/>
      <c r="R19" s="368"/>
      <c r="T19" s="368"/>
      <c r="U19" s="368"/>
      <c r="V19" s="368"/>
      <c r="W19" s="368"/>
    </row>
    <row r="20" spans="1:23" ht="18">
      <c r="A20" s="440"/>
      <c r="B20" s="1046" t="s">
        <v>937</v>
      </c>
      <c r="C20" s="1090"/>
      <c r="D20" s="1103"/>
      <c r="E20" s="1103"/>
      <c r="F20" s="1113">
        <f>+'FORM-10 (A-F)'!H127</f>
        <v>0</v>
      </c>
      <c r="G20" s="1114"/>
      <c r="H20" s="371"/>
      <c r="I20" s="1114"/>
      <c r="J20" s="371"/>
      <c r="K20" s="372"/>
      <c r="L20" s="1122">
        <f t="shared" si="0"/>
        <v>0</v>
      </c>
      <c r="M20" s="1114"/>
      <c r="N20" s="1120"/>
      <c r="R20" s="368"/>
      <c r="T20" s="368"/>
      <c r="U20" s="368"/>
      <c r="V20" s="368"/>
      <c r="W20" s="368"/>
    </row>
    <row r="21" spans="1:23" ht="18">
      <c r="A21" s="440"/>
      <c r="B21" s="1046" t="s">
        <v>1595</v>
      </c>
      <c r="C21" s="1090"/>
      <c r="D21" s="1103"/>
      <c r="E21" s="1103"/>
      <c r="F21" s="1113">
        <f>+'FORM-10 (A-F)'!H128</f>
        <v>0</v>
      </c>
      <c r="G21" s="1114"/>
      <c r="H21" s="371"/>
      <c r="I21" s="1114"/>
      <c r="J21" s="371"/>
      <c r="K21" s="372"/>
      <c r="L21" s="1122">
        <f>F21-H21-J21</f>
        <v>0</v>
      </c>
      <c r="M21" s="1114"/>
      <c r="N21" s="1120"/>
      <c r="R21" s="368"/>
      <c r="T21" s="368"/>
      <c r="U21" s="368"/>
      <c r="V21" s="368"/>
      <c r="W21" s="368"/>
    </row>
    <row r="22" spans="1:23" ht="18">
      <c r="A22" s="440"/>
      <c r="B22" s="1046" t="s">
        <v>938</v>
      </c>
      <c r="C22" s="1090"/>
      <c r="D22" s="1103"/>
      <c r="E22" s="1103"/>
      <c r="F22" s="1113">
        <f>+'FORM-10 (A-F)'!H129</f>
        <v>0</v>
      </c>
      <c r="G22" s="1114"/>
      <c r="H22" s="371"/>
      <c r="I22" s="1114"/>
      <c r="J22" s="371"/>
      <c r="K22" s="372"/>
      <c r="L22" s="1122">
        <f t="shared" si="0"/>
        <v>0</v>
      </c>
      <c r="M22" s="1114"/>
      <c r="N22" s="1120"/>
      <c r="R22" s="368"/>
      <c r="T22" s="368"/>
      <c r="U22" s="368"/>
      <c r="V22" s="368"/>
      <c r="W22" s="368"/>
    </row>
    <row r="23" spans="1:23" ht="18">
      <c r="A23" s="440"/>
      <c r="B23" s="1046" t="s">
        <v>939</v>
      </c>
      <c r="C23" s="1090"/>
      <c r="D23" s="1103"/>
      <c r="E23" s="1103"/>
      <c r="F23" s="1113">
        <f>+'FORM-10 (A-F)'!H130</f>
        <v>0</v>
      </c>
      <c r="G23" s="1114"/>
      <c r="H23" s="371"/>
      <c r="I23" s="1114"/>
      <c r="J23" s="371"/>
      <c r="K23" s="372"/>
      <c r="L23" s="1122">
        <f t="shared" si="0"/>
        <v>0</v>
      </c>
      <c r="M23" s="1114"/>
      <c r="N23" s="1120"/>
      <c r="R23" s="368"/>
      <c r="T23" s="368"/>
      <c r="U23" s="368"/>
      <c r="V23" s="368"/>
      <c r="W23" s="368"/>
    </row>
    <row r="24" spans="1:23" ht="18">
      <c r="A24" s="440"/>
      <c r="B24" s="1046" t="s">
        <v>941</v>
      </c>
      <c r="C24" s="1090"/>
      <c r="D24" s="1103"/>
      <c r="E24" s="1103"/>
      <c r="F24" s="1113">
        <f>+'FORM-10 (A-F)'!H131</f>
        <v>0</v>
      </c>
      <c r="G24" s="1114"/>
      <c r="H24" s="371"/>
      <c r="I24" s="1114"/>
      <c r="J24" s="371"/>
      <c r="K24" s="372"/>
      <c r="L24" s="1122">
        <f t="shared" si="0"/>
        <v>0</v>
      </c>
      <c r="M24" s="1114"/>
      <c r="N24" s="1120"/>
      <c r="R24" s="368"/>
      <c r="T24" s="368"/>
      <c r="U24" s="368"/>
      <c r="V24" s="368"/>
      <c r="W24" s="368"/>
    </row>
    <row r="25" spans="1:23" ht="18">
      <c r="A25" s="440"/>
      <c r="B25" s="1046" t="s">
        <v>1149</v>
      </c>
      <c r="C25" s="1090"/>
      <c r="D25" s="1103"/>
      <c r="E25" s="1103"/>
      <c r="F25" s="1113">
        <f>+'FORM-10 (A-F)'!H132</f>
        <v>0</v>
      </c>
      <c r="G25" s="1114"/>
      <c r="H25" s="371"/>
      <c r="I25" s="1114"/>
      <c r="J25" s="371"/>
      <c r="K25" s="372"/>
      <c r="L25" s="1122"/>
      <c r="M25" s="1114"/>
      <c r="N25" s="1120"/>
      <c r="R25" s="368"/>
      <c r="T25" s="368"/>
      <c r="U25" s="368"/>
      <c r="V25" s="368"/>
      <c r="W25" s="368"/>
    </row>
    <row r="26" spans="1:23" ht="18">
      <c r="A26" s="440"/>
      <c r="B26" s="1124" t="s">
        <v>1627</v>
      </c>
      <c r="C26" s="1090"/>
      <c r="D26" s="1103"/>
      <c r="E26" s="1103"/>
      <c r="F26" s="1113">
        <f>+'FORM-10 (A-F)'!H135</f>
        <v>0</v>
      </c>
      <c r="G26" s="1114"/>
      <c r="H26" s="371"/>
      <c r="I26" s="1114"/>
      <c r="J26" s="371"/>
      <c r="K26" s="372"/>
      <c r="L26" s="1122">
        <f t="shared" si="0"/>
        <v>0</v>
      </c>
      <c r="M26" s="1114"/>
      <c r="N26" s="1120"/>
      <c r="R26" s="368"/>
      <c r="T26" s="368"/>
      <c r="U26" s="368"/>
      <c r="V26" s="368"/>
      <c r="W26" s="368"/>
    </row>
    <row r="27" spans="1:23" ht="18">
      <c r="A27" s="440"/>
      <c r="B27" s="1124" t="s">
        <v>1627</v>
      </c>
      <c r="C27" s="1123"/>
      <c r="D27" s="1090"/>
      <c r="E27" s="1090"/>
      <c r="F27" s="1113">
        <f>+'FORM-10 (A-F)'!H136</f>
        <v>0</v>
      </c>
      <c r="G27" s="1114"/>
      <c r="H27" s="371"/>
      <c r="I27" s="1114"/>
      <c r="J27" s="371"/>
      <c r="K27" s="372"/>
      <c r="L27" s="1122">
        <f t="shared" si="0"/>
        <v>0</v>
      </c>
      <c r="M27" s="1114"/>
      <c r="N27" s="1120"/>
      <c r="R27" s="368"/>
      <c r="T27" s="368"/>
      <c r="U27" s="368"/>
      <c r="V27" s="368"/>
      <c r="W27" s="368"/>
    </row>
    <row r="28" spans="1:23" ht="15">
      <c r="A28" s="440"/>
      <c r="B28" s="1090"/>
      <c r="C28" s="1090"/>
      <c r="D28" s="1103"/>
      <c r="E28" s="1103"/>
      <c r="F28" s="1118"/>
      <c r="G28" s="1114"/>
      <c r="H28" s="1119"/>
      <c r="I28" s="1114"/>
      <c r="J28" s="1114"/>
      <c r="K28" s="1119"/>
      <c r="L28" s="1114"/>
      <c r="M28" s="1114"/>
      <c r="N28" s="1120"/>
      <c r="Q28" s="1125"/>
      <c r="R28" s="375"/>
      <c r="T28" s="375"/>
      <c r="U28" s="375"/>
      <c r="V28" s="375"/>
      <c r="W28" s="375"/>
    </row>
    <row r="29" spans="1:23" ht="18">
      <c r="A29" s="440"/>
      <c r="B29" s="1046" t="s">
        <v>942</v>
      </c>
      <c r="C29" s="1090"/>
      <c r="D29" s="1103"/>
      <c r="E29" s="1103"/>
      <c r="F29" s="1121"/>
      <c r="G29" s="1114"/>
      <c r="H29" s="1119"/>
      <c r="I29" s="1114"/>
      <c r="J29" s="1119"/>
      <c r="K29" s="1119"/>
      <c r="L29" s="1114"/>
      <c r="M29" s="1114"/>
      <c r="N29" s="1120"/>
      <c r="Q29" s="1125"/>
      <c r="R29" s="376"/>
      <c r="T29" s="376"/>
      <c r="U29" s="376"/>
      <c r="V29" s="376"/>
      <c r="W29" s="376"/>
    </row>
    <row r="30" spans="1:254" ht="18">
      <c r="A30" s="440"/>
      <c r="B30" s="1046" t="s">
        <v>943</v>
      </c>
      <c r="C30" s="1103"/>
      <c r="D30" s="1051"/>
      <c r="E30" s="1103"/>
      <c r="F30" s="1113">
        <f>+'FORM-10 (A-F)'!CNTRCTFE</f>
        <v>0</v>
      </c>
      <c r="G30" s="1114"/>
      <c r="H30" s="371"/>
      <c r="I30" s="1114"/>
      <c r="J30" s="371"/>
      <c r="K30" s="372"/>
      <c r="L30" s="1122">
        <f>F30-H30-J30</f>
        <v>0</v>
      </c>
      <c r="M30" s="1114"/>
      <c r="N30" s="1120"/>
      <c r="Q30" s="370"/>
      <c r="R30" s="375"/>
      <c r="S30" s="370"/>
      <c r="T30" s="375"/>
      <c r="U30" s="375"/>
      <c r="V30" s="375"/>
      <c r="W30" s="375"/>
      <c r="X30" s="370"/>
      <c r="Y30" s="370"/>
      <c r="Z30" s="370"/>
      <c r="AA30" s="370"/>
      <c r="AB30" s="370"/>
      <c r="AC30" s="370"/>
      <c r="AD30" s="370"/>
      <c r="AE30" s="370"/>
      <c r="AF30" s="370"/>
      <c r="AG30" s="370"/>
      <c r="AH30" s="370"/>
      <c r="AI30" s="370"/>
      <c r="AJ30" s="370"/>
      <c r="AK30" s="370"/>
      <c r="AL30" s="370"/>
      <c r="AM30" s="370"/>
      <c r="AN30" s="370"/>
      <c r="AO30" s="370"/>
      <c r="AP30" s="370"/>
      <c r="AQ30" s="370"/>
      <c r="AR30" s="370"/>
      <c r="AS30" s="370"/>
      <c r="AT30" s="370"/>
      <c r="AU30" s="370"/>
      <c r="AV30" s="370"/>
      <c r="AW30" s="370"/>
      <c r="AX30" s="370"/>
      <c r="AY30" s="370"/>
      <c r="AZ30" s="370"/>
      <c r="BA30" s="370"/>
      <c r="BB30" s="370"/>
      <c r="BC30" s="370"/>
      <c r="BD30" s="370"/>
      <c r="BE30" s="370"/>
      <c r="BF30" s="370"/>
      <c r="BG30" s="370"/>
      <c r="BH30" s="370"/>
      <c r="BI30" s="370"/>
      <c r="BJ30" s="370"/>
      <c r="BK30" s="370"/>
      <c r="BL30" s="370"/>
      <c r="BM30" s="370"/>
      <c r="BN30" s="370"/>
      <c r="BO30" s="370"/>
      <c r="BP30" s="370"/>
      <c r="BQ30" s="370"/>
      <c r="BR30" s="370"/>
      <c r="BS30" s="370"/>
      <c r="BT30" s="370"/>
      <c r="BU30" s="370"/>
      <c r="BV30" s="370"/>
      <c r="BW30" s="370"/>
      <c r="BX30" s="370"/>
      <c r="BY30" s="370"/>
      <c r="BZ30" s="370"/>
      <c r="CA30" s="370"/>
      <c r="CB30" s="370"/>
      <c r="CC30" s="370"/>
      <c r="CD30" s="370"/>
      <c r="CE30" s="370"/>
      <c r="CF30" s="370"/>
      <c r="CG30" s="370"/>
      <c r="CH30" s="370"/>
      <c r="CI30" s="370"/>
      <c r="CJ30" s="370"/>
      <c r="CK30" s="370"/>
      <c r="CL30" s="370"/>
      <c r="CM30" s="370"/>
      <c r="CN30" s="370"/>
      <c r="CO30" s="370"/>
      <c r="CP30" s="370"/>
      <c r="CQ30" s="370"/>
      <c r="CR30" s="370"/>
      <c r="CS30" s="370"/>
      <c r="CT30" s="370"/>
      <c r="CU30" s="370"/>
      <c r="CV30" s="370"/>
      <c r="CW30" s="370"/>
      <c r="CX30" s="370"/>
      <c r="CY30" s="370"/>
      <c r="CZ30" s="370"/>
      <c r="DA30" s="370"/>
      <c r="DB30" s="370"/>
      <c r="DC30" s="370"/>
      <c r="DD30" s="370"/>
      <c r="DE30" s="370"/>
      <c r="DF30" s="370"/>
      <c r="DG30" s="370"/>
      <c r="DH30" s="370"/>
      <c r="DI30" s="370"/>
      <c r="DJ30" s="370"/>
      <c r="DK30" s="370"/>
      <c r="DL30" s="370"/>
      <c r="DM30" s="370"/>
      <c r="DN30" s="370"/>
      <c r="DO30" s="370"/>
      <c r="DP30" s="370"/>
      <c r="DQ30" s="370"/>
      <c r="DR30" s="370"/>
      <c r="DS30" s="370"/>
      <c r="DT30" s="370"/>
      <c r="DU30" s="370"/>
      <c r="DV30" s="370"/>
      <c r="DW30" s="370"/>
      <c r="DX30" s="370"/>
      <c r="DY30" s="370"/>
      <c r="DZ30" s="370"/>
      <c r="EA30" s="370"/>
      <c r="EB30" s="370"/>
      <c r="EC30" s="370"/>
      <c r="ED30" s="370"/>
      <c r="EE30" s="370"/>
      <c r="EF30" s="370"/>
      <c r="EG30" s="370"/>
      <c r="EH30" s="370"/>
      <c r="EI30" s="370"/>
      <c r="EJ30" s="370"/>
      <c r="EK30" s="370"/>
      <c r="EL30" s="370"/>
      <c r="EM30" s="370"/>
      <c r="EN30" s="370"/>
      <c r="EO30" s="370"/>
      <c r="EP30" s="370"/>
      <c r="EQ30" s="370"/>
      <c r="ER30" s="370"/>
      <c r="ES30" s="370"/>
      <c r="ET30" s="370"/>
      <c r="EU30" s="370"/>
      <c r="EV30" s="370"/>
      <c r="EW30" s="370"/>
      <c r="EX30" s="370"/>
      <c r="EY30" s="370"/>
      <c r="EZ30" s="370"/>
      <c r="FA30" s="370"/>
      <c r="FB30" s="370"/>
      <c r="FC30" s="370"/>
      <c r="FD30" s="370"/>
      <c r="FE30" s="370"/>
      <c r="FF30" s="370"/>
      <c r="FG30" s="370"/>
      <c r="FH30" s="370"/>
      <c r="FI30" s="370"/>
      <c r="FJ30" s="370"/>
      <c r="FK30" s="370"/>
      <c r="FL30" s="370"/>
      <c r="FM30" s="370"/>
      <c r="FN30" s="370"/>
      <c r="FO30" s="370"/>
      <c r="FP30" s="370"/>
      <c r="FQ30" s="370"/>
      <c r="FR30" s="370"/>
      <c r="FS30" s="370"/>
      <c r="FT30" s="370"/>
      <c r="FU30" s="370"/>
      <c r="FV30" s="370"/>
      <c r="FW30" s="370"/>
      <c r="FX30" s="370"/>
      <c r="FY30" s="370"/>
      <c r="FZ30" s="370"/>
      <c r="GA30" s="370"/>
      <c r="GB30" s="370"/>
      <c r="GC30" s="370"/>
      <c r="GD30" s="370"/>
      <c r="GE30" s="370"/>
      <c r="GF30" s="370"/>
      <c r="GG30" s="370"/>
      <c r="GH30" s="370"/>
      <c r="GI30" s="370"/>
      <c r="GJ30" s="370"/>
      <c r="GK30" s="370"/>
      <c r="GL30" s="370"/>
      <c r="GM30" s="370"/>
      <c r="GN30" s="370"/>
      <c r="GO30" s="370"/>
      <c r="GP30" s="370"/>
      <c r="GQ30" s="370"/>
      <c r="GR30" s="370"/>
      <c r="GS30" s="370"/>
      <c r="GT30" s="370"/>
      <c r="GU30" s="370"/>
      <c r="GV30" s="370"/>
      <c r="GW30" s="370"/>
      <c r="GX30" s="370"/>
      <c r="GY30" s="370"/>
      <c r="GZ30" s="370"/>
      <c r="HA30" s="370"/>
      <c r="HB30" s="370"/>
      <c r="HC30" s="370"/>
      <c r="HD30" s="370"/>
      <c r="HE30" s="370"/>
      <c r="HF30" s="370"/>
      <c r="HG30" s="370"/>
      <c r="HH30" s="370"/>
      <c r="HI30" s="370"/>
      <c r="HJ30" s="370"/>
      <c r="HK30" s="370"/>
      <c r="HL30" s="370"/>
      <c r="HM30" s="370"/>
      <c r="HN30" s="370"/>
      <c r="HO30" s="370"/>
      <c r="HP30" s="370"/>
      <c r="HQ30" s="370"/>
      <c r="HR30" s="370"/>
      <c r="HS30" s="370"/>
      <c r="HT30" s="370"/>
      <c r="HU30" s="370"/>
      <c r="HV30" s="370"/>
      <c r="HW30" s="370"/>
      <c r="HX30" s="370"/>
      <c r="HY30" s="370"/>
      <c r="HZ30" s="370"/>
      <c r="IA30" s="370"/>
      <c r="IB30" s="370"/>
      <c r="IC30" s="370"/>
      <c r="ID30" s="370"/>
      <c r="IE30" s="370"/>
      <c r="IF30" s="370"/>
      <c r="IG30" s="370"/>
      <c r="IH30" s="370"/>
      <c r="II30" s="370"/>
      <c r="IJ30" s="370"/>
      <c r="IK30" s="370"/>
      <c r="IL30" s="370"/>
      <c r="IM30" s="370"/>
      <c r="IN30" s="370"/>
      <c r="IO30" s="370"/>
      <c r="IP30" s="370"/>
      <c r="IQ30" s="370"/>
      <c r="IR30" s="370"/>
      <c r="IS30" s="370"/>
      <c r="IT30" s="370"/>
    </row>
    <row r="31" spans="1:23" ht="18">
      <c r="A31" s="440"/>
      <c r="B31" s="1046" t="s">
        <v>944</v>
      </c>
      <c r="C31" s="1090"/>
      <c r="D31" s="1103"/>
      <c r="E31" s="1103"/>
      <c r="F31" s="1113">
        <f>+'FORM-10 (A-F)'!H133</f>
        <v>0</v>
      </c>
      <c r="G31" s="1114"/>
      <c r="H31" s="371"/>
      <c r="I31" s="1114"/>
      <c r="J31" s="371"/>
      <c r="K31" s="372"/>
      <c r="L31" s="1122">
        <f>F31-H31-J31</f>
        <v>0</v>
      </c>
      <c r="M31" s="1114"/>
      <c r="N31" s="1120"/>
      <c r="R31" s="368"/>
      <c r="T31" s="368"/>
      <c r="U31" s="368"/>
      <c r="V31" s="368"/>
      <c r="W31" s="368"/>
    </row>
    <row r="32" spans="1:23" ht="18">
      <c r="A32" s="440"/>
      <c r="B32" s="1046"/>
      <c r="C32" s="1090"/>
      <c r="D32" s="1103"/>
      <c r="E32" s="1103"/>
      <c r="F32" s="1126"/>
      <c r="G32" s="1070"/>
      <c r="H32" s="1070"/>
      <c r="I32" s="1070"/>
      <c r="J32" s="1070"/>
      <c r="K32" s="1070"/>
      <c r="L32" s="1127"/>
      <c r="M32" s="1114"/>
      <c r="N32" s="1120"/>
      <c r="R32" s="368"/>
      <c r="T32" s="368"/>
      <c r="U32" s="368"/>
      <c r="V32" s="368"/>
      <c r="W32" s="368"/>
    </row>
    <row r="33" spans="1:23" ht="18">
      <c r="A33" s="440"/>
      <c r="B33" s="1046" t="s">
        <v>945</v>
      </c>
      <c r="C33" s="1090"/>
      <c r="D33" s="1103"/>
      <c r="E33" s="1103"/>
      <c r="F33" s="1121"/>
      <c r="G33" s="1070"/>
      <c r="H33" s="1119"/>
      <c r="I33" s="1070"/>
      <c r="J33" s="1119"/>
      <c r="K33" s="1070"/>
      <c r="L33" s="1127"/>
      <c r="M33" s="1070"/>
      <c r="N33" s="1070"/>
      <c r="Q33" s="864"/>
      <c r="R33" s="368"/>
      <c r="T33" s="368"/>
      <c r="U33" s="368"/>
      <c r="V33" s="368"/>
      <c r="W33" s="368"/>
    </row>
    <row r="34" spans="1:23" ht="18">
      <c r="A34" s="440"/>
      <c r="B34" s="857" t="s">
        <v>946</v>
      </c>
      <c r="C34" s="1128"/>
      <c r="D34" s="377">
        <f>IF(SUM(F18:F31)&lt;&gt;0,F34/SUM(F18:F31),"")</f>
      </c>
      <c r="E34" s="1103"/>
      <c r="F34" s="1113">
        <f>+'FORM-10 (A-F)'!H142</f>
        <v>0</v>
      </c>
      <c r="G34" s="1114"/>
      <c r="H34" s="371"/>
      <c r="I34" s="1114"/>
      <c r="J34" s="371"/>
      <c r="K34" s="372"/>
      <c r="L34" s="1122">
        <f>F34-H34-J34</f>
        <v>0</v>
      </c>
      <c r="M34" s="1114"/>
      <c r="N34" s="372"/>
      <c r="R34" s="368"/>
      <c r="T34" s="368"/>
      <c r="U34" s="368"/>
      <c r="V34" s="368"/>
      <c r="W34" s="368"/>
    </row>
    <row r="35" spans="1:23" ht="18">
      <c r="A35" s="440"/>
      <c r="B35" s="857" t="s">
        <v>947</v>
      </c>
      <c r="C35" s="1128"/>
      <c r="D35" s="377">
        <f>IF(SUM(F38:F61)&lt;&gt;0,F35/SUM(F38:F61),"")</f>
      </c>
      <c r="E35" s="1103"/>
      <c r="F35" s="1113">
        <f>+'FORM-10 (A-F)'!H143</f>
        <v>0</v>
      </c>
      <c r="G35" s="1114"/>
      <c r="H35" s="371"/>
      <c r="I35" s="1114"/>
      <c r="J35" s="371"/>
      <c r="K35" s="372"/>
      <c r="L35" s="1122">
        <f>F35-H35-J35</f>
        <v>0</v>
      </c>
      <c r="M35" s="1114"/>
      <c r="N35" s="1120"/>
      <c r="Q35" s="864"/>
      <c r="R35" s="368"/>
      <c r="T35" s="368"/>
      <c r="U35" s="368"/>
      <c r="V35" s="368"/>
      <c r="W35" s="368"/>
    </row>
    <row r="36" spans="1:23" ht="15">
      <c r="A36" s="440"/>
      <c r="B36" s="1090"/>
      <c r="C36" s="1090"/>
      <c r="D36" s="1103"/>
      <c r="E36" s="1103"/>
      <c r="F36" s="1121"/>
      <c r="G36" s="1114"/>
      <c r="H36" s="1119"/>
      <c r="I36" s="1114"/>
      <c r="J36" s="1119"/>
      <c r="K36" s="372"/>
      <c r="L36" s="1114"/>
      <c r="M36" s="1114"/>
      <c r="N36" s="1120"/>
      <c r="R36" s="368"/>
      <c r="T36" s="368"/>
      <c r="U36" s="368"/>
      <c r="V36" s="368"/>
      <c r="W36" s="368"/>
    </row>
    <row r="37" spans="1:23" ht="18">
      <c r="A37" s="440"/>
      <c r="B37" s="1046" t="s">
        <v>948</v>
      </c>
      <c r="C37" s="1090"/>
      <c r="D37" s="1103"/>
      <c r="E37" s="1103"/>
      <c r="F37" s="1121"/>
      <c r="G37" s="1114"/>
      <c r="H37" s="1119"/>
      <c r="I37" s="1114"/>
      <c r="J37" s="1119"/>
      <c r="K37" s="372"/>
      <c r="L37" s="1114"/>
      <c r="M37" s="1114"/>
      <c r="N37" s="1120"/>
      <c r="R37" s="368"/>
      <c r="T37" s="368"/>
      <c r="U37" s="368"/>
      <c r="V37" s="368"/>
      <c r="W37" s="368"/>
    </row>
    <row r="38" spans="1:23" ht="18">
      <c r="A38" s="440"/>
      <c r="B38" s="1046" t="s">
        <v>949</v>
      </c>
      <c r="C38" s="1090"/>
      <c r="D38" s="1103"/>
      <c r="E38" s="1103"/>
      <c r="F38" s="1113">
        <f>+'FORM-10 (A-F)'!H145</f>
        <v>0</v>
      </c>
      <c r="G38" s="1114"/>
      <c r="H38" s="371"/>
      <c r="I38" s="1114"/>
      <c r="J38" s="371"/>
      <c r="K38" s="372"/>
      <c r="L38" s="374">
        <f>F38-H38-J38-N38</f>
        <v>0</v>
      </c>
      <c r="M38" s="1114"/>
      <c r="N38" s="371"/>
      <c r="R38" s="368"/>
      <c r="T38" s="368"/>
      <c r="U38" s="368"/>
      <c r="V38" s="368"/>
      <c r="W38" s="368"/>
    </row>
    <row r="39" spans="1:23" ht="18">
      <c r="A39" s="440"/>
      <c r="B39" s="1046" t="s">
        <v>950</v>
      </c>
      <c r="C39" s="1090"/>
      <c r="D39" s="1103"/>
      <c r="E39" s="1103"/>
      <c r="F39" s="1113">
        <f>+'FORM-10 (A-F)'!H146</f>
        <v>0</v>
      </c>
      <c r="G39" s="1114"/>
      <c r="H39" s="371"/>
      <c r="I39" s="1114"/>
      <c r="J39" s="371"/>
      <c r="K39" s="372"/>
      <c r="L39" s="1122">
        <f aca="true" t="shared" si="1" ref="L39:L61">F39-H39-J39</f>
        <v>0</v>
      </c>
      <c r="M39" s="1114"/>
      <c r="N39" s="1120"/>
      <c r="R39" s="368"/>
      <c r="T39" s="368"/>
      <c r="U39" s="368"/>
      <c r="V39" s="368"/>
      <c r="W39" s="368"/>
    </row>
    <row r="40" spans="1:23" ht="18">
      <c r="A40" s="440"/>
      <c r="B40" s="1046" t="s">
        <v>1591</v>
      </c>
      <c r="C40" s="1090"/>
      <c r="D40" s="1103"/>
      <c r="E40" s="1103"/>
      <c r="F40" s="1113">
        <f>+'FORM-10 (A-F)'!H147</f>
        <v>0</v>
      </c>
      <c r="G40" s="1114"/>
      <c r="H40" s="371"/>
      <c r="I40" s="1114"/>
      <c r="J40" s="371"/>
      <c r="K40" s="372"/>
      <c r="L40" s="1122">
        <f t="shared" si="1"/>
        <v>0</v>
      </c>
      <c r="M40" s="1114"/>
      <c r="N40" s="1120"/>
      <c r="R40" s="368"/>
      <c r="T40" s="368"/>
      <c r="U40" s="368"/>
      <c r="V40" s="368"/>
      <c r="W40" s="368"/>
    </row>
    <row r="41" spans="1:23" ht="18">
      <c r="A41" s="440"/>
      <c r="B41" s="1046" t="s">
        <v>951</v>
      </c>
      <c r="C41" s="1090"/>
      <c r="D41" s="1103"/>
      <c r="E41" s="1103"/>
      <c r="F41" s="1113">
        <f>+'FORM-10 (A-F)'!H148</f>
        <v>0</v>
      </c>
      <c r="G41" s="1114"/>
      <c r="H41" s="371"/>
      <c r="I41" s="1114"/>
      <c r="J41" s="371"/>
      <c r="K41" s="372"/>
      <c r="L41" s="1122"/>
      <c r="M41" s="1114"/>
      <c r="N41" s="1120"/>
      <c r="R41" s="368"/>
      <c r="T41" s="368"/>
      <c r="U41" s="368"/>
      <c r="V41" s="368"/>
      <c r="W41" s="368"/>
    </row>
    <row r="42" spans="1:23" ht="18">
      <c r="A42" s="440"/>
      <c r="B42" s="1046" t="s">
        <v>952</v>
      </c>
      <c r="C42" s="1090"/>
      <c r="D42" s="1103"/>
      <c r="E42" s="1103"/>
      <c r="F42" s="1113">
        <f>+'FORM-10 (A-F)'!H149</f>
        <v>0</v>
      </c>
      <c r="G42" s="1114"/>
      <c r="H42" s="371"/>
      <c r="I42" s="1114"/>
      <c r="J42" s="371"/>
      <c r="K42" s="372"/>
      <c r="L42" s="1122">
        <f t="shared" si="1"/>
        <v>0</v>
      </c>
      <c r="M42" s="1114"/>
      <c r="N42" s="1120"/>
      <c r="R42" s="368"/>
      <c r="T42" s="368"/>
      <c r="U42" s="368"/>
      <c r="V42" s="368"/>
      <c r="W42" s="368"/>
    </row>
    <row r="43" spans="1:23" ht="18">
      <c r="A43" s="440"/>
      <c r="B43" s="1046" t="s">
        <v>953</v>
      </c>
      <c r="C43" s="1090"/>
      <c r="D43" s="1103"/>
      <c r="E43" s="1103"/>
      <c r="F43" s="1113">
        <f>'FORM-10 (A-F)'!H150</f>
        <v>0</v>
      </c>
      <c r="G43" s="1114"/>
      <c r="H43" s="371"/>
      <c r="I43" s="1114"/>
      <c r="J43" s="371"/>
      <c r="K43" s="372"/>
      <c r="L43" s="1122">
        <f t="shared" si="1"/>
        <v>0</v>
      </c>
      <c r="M43" s="1114"/>
      <c r="N43" s="1120"/>
      <c r="R43" s="368"/>
      <c r="T43" s="368"/>
      <c r="U43" s="368"/>
      <c r="V43" s="368"/>
      <c r="W43" s="368"/>
    </row>
    <row r="44" spans="1:23" ht="18">
      <c r="A44" s="440"/>
      <c r="B44" s="1046" t="s">
        <v>954</v>
      </c>
      <c r="C44" s="1090"/>
      <c r="D44" s="1103"/>
      <c r="E44" s="1103"/>
      <c r="F44" s="1113">
        <f>'FORM-10 (A-F)'!H151</f>
        <v>0</v>
      </c>
      <c r="G44" s="1114"/>
      <c r="H44" s="371"/>
      <c r="I44" s="1114"/>
      <c r="J44" s="371"/>
      <c r="K44" s="372"/>
      <c r="L44" s="1122">
        <f t="shared" si="1"/>
        <v>0</v>
      </c>
      <c r="M44" s="1114"/>
      <c r="N44" s="1120"/>
      <c r="R44" s="368"/>
      <c r="T44" s="368"/>
      <c r="U44" s="368"/>
      <c r="V44" s="368"/>
      <c r="W44" s="368"/>
    </row>
    <row r="45" spans="1:23" ht="18">
      <c r="A45" s="440"/>
      <c r="B45" s="1046" t="s">
        <v>1592</v>
      </c>
      <c r="C45" s="1090"/>
      <c r="D45" s="1103"/>
      <c r="E45" s="1103"/>
      <c r="F45" s="1113">
        <f>'FORM-10 (A-F)'!H152</f>
        <v>0</v>
      </c>
      <c r="G45" s="1114"/>
      <c r="H45" s="371"/>
      <c r="I45" s="1114"/>
      <c r="J45" s="371"/>
      <c r="K45" s="372"/>
      <c r="L45" s="1122">
        <f t="shared" si="1"/>
        <v>0</v>
      </c>
      <c r="M45" s="1114"/>
      <c r="N45" s="1120"/>
      <c r="R45" s="368"/>
      <c r="T45" s="368"/>
      <c r="U45" s="368"/>
      <c r="V45" s="368"/>
      <c r="W45" s="368"/>
    </row>
    <row r="46" spans="1:23" ht="18">
      <c r="A46" s="440"/>
      <c r="B46" s="1046" t="s">
        <v>1576</v>
      </c>
      <c r="C46" s="1090"/>
      <c r="D46" s="1103"/>
      <c r="E46" s="1103"/>
      <c r="F46" s="1113">
        <f>'FORM-10 (A-F)'!H153</f>
        <v>0</v>
      </c>
      <c r="G46" s="1114"/>
      <c r="H46" s="371"/>
      <c r="I46" s="1114"/>
      <c r="J46" s="371"/>
      <c r="K46" s="372"/>
      <c r="L46" s="1122">
        <f t="shared" si="1"/>
        <v>0</v>
      </c>
      <c r="M46" s="1114"/>
      <c r="N46" s="1120"/>
      <c r="R46" s="368"/>
      <c r="T46" s="368"/>
      <c r="U46" s="368"/>
      <c r="V46" s="368"/>
      <c r="W46" s="368"/>
    </row>
    <row r="47" spans="1:23" ht="18">
      <c r="A47" s="440"/>
      <c r="B47" s="1046" t="s">
        <v>955</v>
      </c>
      <c r="C47" s="1090"/>
      <c r="D47" s="1103"/>
      <c r="E47" s="1103"/>
      <c r="F47" s="1113">
        <f>'FORM-10 (A-F)'!H154</f>
        <v>0</v>
      </c>
      <c r="G47" s="1114"/>
      <c r="H47" s="371"/>
      <c r="I47" s="1114"/>
      <c r="J47" s="371"/>
      <c r="K47" s="372"/>
      <c r="L47" s="1122">
        <f t="shared" si="1"/>
        <v>0</v>
      </c>
      <c r="M47" s="1114"/>
      <c r="N47" s="371"/>
      <c r="Q47" s="864"/>
      <c r="R47" s="368"/>
      <c r="T47" s="368"/>
      <c r="U47" s="368"/>
      <c r="V47" s="368"/>
      <c r="W47" s="368"/>
    </row>
    <row r="48" spans="1:23" ht="18">
      <c r="A48" s="440"/>
      <c r="B48" s="1046" t="s">
        <v>956</v>
      </c>
      <c r="C48" s="1090"/>
      <c r="D48" s="1103"/>
      <c r="E48" s="1103"/>
      <c r="F48" s="1113">
        <f>'FORM-10 (A-F)'!H155</f>
        <v>0</v>
      </c>
      <c r="G48" s="1114"/>
      <c r="H48" s="371"/>
      <c r="I48" s="1114"/>
      <c r="J48" s="371"/>
      <c r="K48" s="372"/>
      <c r="L48" s="1122">
        <f>F48-H48-J48</f>
        <v>0</v>
      </c>
      <c r="M48" s="1114"/>
      <c r="N48" s="371"/>
      <c r="R48" s="368"/>
      <c r="T48" s="368"/>
      <c r="U48" s="368"/>
      <c r="V48" s="368"/>
      <c r="W48" s="368"/>
    </row>
    <row r="49" spans="1:23" ht="18">
      <c r="A49" s="440"/>
      <c r="B49" s="1046" t="s">
        <v>1628</v>
      </c>
      <c r="C49" s="1090"/>
      <c r="D49" s="1103"/>
      <c r="E49" s="1103"/>
      <c r="F49" s="1113">
        <f>'FORM-10 (A-F)'!H156</f>
        <v>0</v>
      </c>
      <c r="G49" s="1114"/>
      <c r="H49" s="371"/>
      <c r="I49" s="1114"/>
      <c r="J49" s="371"/>
      <c r="K49" s="372"/>
      <c r="L49" s="1122">
        <f t="shared" si="1"/>
        <v>0</v>
      </c>
      <c r="M49" s="1114"/>
      <c r="N49" s="371"/>
      <c r="R49" s="368"/>
      <c r="T49" s="368"/>
      <c r="U49" s="368"/>
      <c r="V49" s="368"/>
      <c r="W49" s="368"/>
    </row>
    <row r="50" spans="1:23" ht="15">
      <c r="A50" s="440"/>
      <c r="B50" s="1090"/>
      <c r="C50" s="1090"/>
      <c r="D50" s="1103"/>
      <c r="E50" s="1103"/>
      <c r="F50" s="1119">
        <f>'FORM-10 (A-F)'!H156</f>
        <v>0</v>
      </c>
      <c r="G50" s="1114"/>
      <c r="H50" s="1119"/>
      <c r="I50" s="1114"/>
      <c r="J50" s="1119"/>
      <c r="K50" s="1119"/>
      <c r="L50" s="1397"/>
      <c r="M50" s="1114"/>
      <c r="N50" s="1129"/>
      <c r="Q50" s="1125"/>
      <c r="R50" s="375"/>
      <c r="T50" s="375"/>
      <c r="U50" s="375"/>
      <c r="V50" s="375"/>
      <c r="W50" s="375"/>
    </row>
    <row r="51" spans="1:23" ht="18">
      <c r="A51" s="440"/>
      <c r="B51" s="1046" t="s">
        <v>957</v>
      </c>
      <c r="C51" s="1090"/>
      <c r="D51" s="1103"/>
      <c r="E51" s="1103"/>
      <c r="F51" s="1119"/>
      <c r="G51" s="1114"/>
      <c r="H51" s="1119"/>
      <c r="I51" s="1114"/>
      <c r="J51" s="1119"/>
      <c r="K51" s="1119"/>
      <c r="L51" s="1397"/>
      <c r="M51" s="1114"/>
      <c r="N51" s="1129"/>
      <c r="Q51" s="1130"/>
      <c r="R51" s="375"/>
      <c r="T51" s="375"/>
      <c r="U51" s="375"/>
      <c r="V51" s="375"/>
      <c r="W51" s="375"/>
    </row>
    <row r="52" spans="1:23" ht="18">
      <c r="A52" s="440"/>
      <c r="B52" s="1046" t="s">
        <v>958</v>
      </c>
      <c r="C52" s="1090"/>
      <c r="D52" s="1103"/>
      <c r="E52" s="1103"/>
      <c r="F52" s="1113">
        <f>'FORM-10 (A-F)'!H164+'FORM-10 (A-F)'!F226</f>
        <v>0</v>
      </c>
      <c r="G52" s="1114"/>
      <c r="H52" s="371"/>
      <c r="I52" s="1114"/>
      <c r="J52" s="371"/>
      <c r="K52" s="372"/>
      <c r="L52" s="1122">
        <f>F52-H52-J52</f>
        <v>0</v>
      </c>
      <c r="M52" s="1114"/>
      <c r="N52" s="371"/>
      <c r="R52" s="368"/>
      <c r="T52" s="368"/>
      <c r="U52" s="368"/>
      <c r="V52" s="368"/>
      <c r="W52" s="368"/>
    </row>
    <row r="53" spans="1:23" ht="18">
      <c r="A53" s="440"/>
      <c r="B53" s="1046" t="s">
        <v>959</v>
      </c>
      <c r="C53" s="1090"/>
      <c r="D53" s="1103"/>
      <c r="E53" s="1103"/>
      <c r="F53" s="588">
        <f>'FORM-10 (A-F)'!H165</f>
        <v>0</v>
      </c>
      <c r="G53" s="1114"/>
      <c r="H53" s="371"/>
      <c r="I53" s="1114"/>
      <c r="J53" s="371"/>
      <c r="K53" s="372"/>
      <c r="L53" s="1122">
        <f t="shared" si="1"/>
        <v>0</v>
      </c>
      <c r="M53" s="1114"/>
      <c r="N53" s="371"/>
      <c r="Q53" s="864"/>
      <c r="R53" s="368"/>
      <c r="T53" s="368"/>
      <c r="U53" s="368"/>
      <c r="V53" s="368"/>
      <c r="W53" s="368"/>
    </row>
    <row r="54" spans="1:23" ht="18">
      <c r="A54" s="440"/>
      <c r="B54" s="1046" t="s">
        <v>960</v>
      </c>
      <c r="C54" s="1090"/>
      <c r="D54" s="1103"/>
      <c r="E54" s="1103"/>
      <c r="F54" s="1113">
        <f>'FORM-10 (A-F)'!H166</f>
        <v>0</v>
      </c>
      <c r="G54" s="1114"/>
      <c r="H54" s="371"/>
      <c r="I54" s="1114"/>
      <c r="J54" s="371"/>
      <c r="K54" s="372"/>
      <c r="L54" s="1122">
        <f t="shared" si="1"/>
        <v>0</v>
      </c>
      <c r="M54" s="1114"/>
      <c r="N54" s="371"/>
      <c r="R54" s="368"/>
      <c r="T54" s="368"/>
      <c r="U54" s="368"/>
      <c r="V54" s="368"/>
      <c r="W54" s="368"/>
    </row>
    <row r="55" spans="1:23" ht="18">
      <c r="A55" s="440"/>
      <c r="B55" s="1046" t="s">
        <v>961</v>
      </c>
      <c r="C55" s="1090"/>
      <c r="D55" s="1103"/>
      <c r="E55" s="1103"/>
      <c r="F55" s="1113">
        <f>'FORM-10 (A-F)'!H167</f>
        <v>0</v>
      </c>
      <c r="G55" s="1114"/>
      <c r="H55" s="371"/>
      <c r="I55" s="1114"/>
      <c r="J55" s="371"/>
      <c r="K55" s="372"/>
      <c r="L55" s="1122">
        <f t="shared" si="1"/>
        <v>0</v>
      </c>
      <c r="M55" s="1114"/>
      <c r="N55" s="371"/>
      <c r="R55" s="368"/>
      <c r="T55" s="368"/>
      <c r="U55" s="368"/>
      <c r="V55" s="368"/>
      <c r="W55" s="368"/>
    </row>
    <row r="56" spans="1:23" ht="18">
      <c r="A56" s="440"/>
      <c r="B56" s="1046" t="s">
        <v>962</v>
      </c>
      <c r="C56" s="1090"/>
      <c r="D56" s="1103"/>
      <c r="E56" s="1103"/>
      <c r="F56" s="1113">
        <f>'FORM-10 (A-F)'!H177</f>
        <v>0</v>
      </c>
      <c r="G56" s="1114"/>
      <c r="H56" s="371"/>
      <c r="I56" s="1114"/>
      <c r="J56" s="371"/>
      <c r="K56" s="372"/>
      <c r="L56" s="1122">
        <f t="shared" si="1"/>
        <v>0</v>
      </c>
      <c r="M56" s="1114"/>
      <c r="N56" s="371"/>
      <c r="R56" s="368"/>
      <c r="T56" s="368"/>
      <c r="U56" s="368"/>
      <c r="V56" s="368"/>
      <c r="W56" s="368"/>
    </row>
    <row r="57" spans="1:23" ht="18">
      <c r="A57" s="440"/>
      <c r="B57" s="1046" t="s">
        <v>1629</v>
      </c>
      <c r="C57" s="1090"/>
      <c r="D57" s="1103"/>
      <c r="E57" s="1103"/>
      <c r="F57" s="1113">
        <f>'FORM-10 (A-F)'!H168+'FORM-10 (A-F)'!H169+'FORM-10 (A-F)'!H170+'FORM-10 (A-F)'!H171</f>
        <v>0</v>
      </c>
      <c r="G57" s="1114"/>
      <c r="H57" s="371"/>
      <c r="I57" s="1114"/>
      <c r="J57" s="371"/>
      <c r="K57" s="372"/>
      <c r="L57" s="1122">
        <f t="shared" si="1"/>
        <v>0</v>
      </c>
      <c r="M57" s="1114"/>
      <c r="N57" s="1129"/>
      <c r="R57" s="368"/>
      <c r="T57" s="368"/>
      <c r="U57" s="368"/>
      <c r="V57" s="368"/>
      <c r="W57" s="368"/>
    </row>
    <row r="58" spans="1:23" ht="18">
      <c r="A58" s="440"/>
      <c r="B58" s="1046" t="s">
        <v>965</v>
      </c>
      <c r="C58" s="1090"/>
      <c r="D58" s="1103"/>
      <c r="E58" s="1103"/>
      <c r="F58" s="1113">
        <f>'FORM-10 (A-F)'!H172</f>
        <v>0</v>
      </c>
      <c r="G58" s="1114"/>
      <c r="H58" s="371"/>
      <c r="I58" s="1114"/>
      <c r="J58" s="371"/>
      <c r="K58" s="372"/>
      <c r="L58" s="1122">
        <f t="shared" si="1"/>
        <v>0</v>
      </c>
      <c r="M58" s="1114"/>
      <c r="N58" s="1129"/>
      <c r="R58" s="368"/>
      <c r="T58" s="368"/>
      <c r="U58" s="368"/>
      <c r="V58" s="368"/>
      <c r="W58" s="368"/>
    </row>
    <row r="59" spans="1:23" ht="18">
      <c r="A59" s="440"/>
      <c r="B59" s="1046" t="s">
        <v>966</v>
      </c>
      <c r="C59" s="1090"/>
      <c r="D59" s="1103"/>
      <c r="E59" s="1103"/>
      <c r="F59" s="1113">
        <f>'FORM-10 (A-F)'!H173+'FORM-10 (A-F)'!J211</f>
        <v>0</v>
      </c>
      <c r="G59" s="1114"/>
      <c r="H59" s="588">
        <f>F59</f>
        <v>0</v>
      </c>
      <c r="I59" s="1114"/>
      <c r="J59" s="371"/>
      <c r="K59" s="372"/>
      <c r="L59" s="1122">
        <f t="shared" si="1"/>
        <v>0</v>
      </c>
      <c r="M59" s="1114"/>
      <c r="N59" s="371"/>
      <c r="R59" s="368"/>
      <c r="T59" s="368"/>
      <c r="U59" s="368"/>
      <c r="V59" s="368"/>
      <c r="W59" s="368"/>
    </row>
    <row r="60" spans="1:23" ht="18">
      <c r="A60" s="440"/>
      <c r="B60" s="1046" t="s">
        <v>1554</v>
      </c>
      <c r="C60" s="1090"/>
      <c r="D60" s="1103"/>
      <c r="E60" s="1103"/>
      <c r="F60" s="1113">
        <f>'FORM-10 (A-F)'!H174+'FORM-10 (A-F)'!H175+'FORM-10 (A-F)'!J209+'FORM-10 (A-F)'!J210</f>
        <v>0</v>
      </c>
      <c r="G60" s="1114"/>
      <c r="H60" s="588">
        <f>+F60</f>
        <v>0</v>
      </c>
      <c r="I60" s="1114"/>
      <c r="J60" s="371"/>
      <c r="K60" s="372"/>
      <c r="L60" s="1122">
        <f t="shared" si="1"/>
        <v>0</v>
      </c>
      <c r="M60" s="1114"/>
      <c r="N60" s="371"/>
      <c r="R60" s="368"/>
      <c r="T60" s="368"/>
      <c r="U60" s="368"/>
      <c r="V60" s="368"/>
      <c r="W60" s="368"/>
    </row>
    <row r="61" spans="1:23" ht="18">
      <c r="A61" s="440"/>
      <c r="B61" s="1046" t="s">
        <v>1630</v>
      </c>
      <c r="C61" s="1123"/>
      <c r="D61" s="1090"/>
      <c r="E61" s="1090"/>
      <c r="F61" s="1113">
        <f>'FORM-10 (A-F)'!H176</f>
        <v>0</v>
      </c>
      <c r="G61" s="1114"/>
      <c r="H61" s="371"/>
      <c r="I61" s="1114"/>
      <c r="J61" s="371"/>
      <c r="K61" s="372"/>
      <c r="L61" s="1122">
        <f t="shared" si="1"/>
        <v>0</v>
      </c>
      <c r="M61" s="1114"/>
      <c r="N61" s="1120"/>
      <c r="R61" s="368"/>
      <c r="T61" s="368"/>
      <c r="U61" s="368"/>
      <c r="V61" s="368"/>
      <c r="W61" s="368"/>
    </row>
    <row r="62" ht="12.75">
      <c r="A62" s="440"/>
    </row>
    <row r="63" spans="1:23" ht="21" thickBot="1">
      <c r="A63" s="440"/>
      <c r="B63" s="1092" t="s">
        <v>967</v>
      </c>
      <c r="C63" s="1131"/>
      <c r="D63" s="1132"/>
      <c r="E63" s="1103"/>
      <c r="F63" s="1133">
        <f>SUM(F13:F62)</f>
        <v>0</v>
      </c>
      <c r="G63" s="1114"/>
      <c r="H63" s="1133">
        <f>SUM(H13:H61)</f>
        <v>0</v>
      </c>
      <c r="I63" s="1134"/>
      <c r="J63" s="1133">
        <f>SUM(J13:J61)</f>
        <v>0</v>
      </c>
      <c r="K63" s="1134"/>
      <c r="L63" s="1133">
        <f>SUM(L13:L61)</f>
        <v>0</v>
      </c>
      <c r="M63" s="1114"/>
      <c r="N63" s="1133">
        <f>SUM(N13:N61)</f>
        <v>0</v>
      </c>
      <c r="R63" s="368"/>
      <c r="T63" s="368"/>
      <c r="U63" s="368"/>
      <c r="V63" s="368"/>
      <c r="W63" s="368"/>
    </row>
    <row r="64" spans="1:23" ht="15.75" thickTop="1">
      <c r="A64" s="440"/>
      <c r="B64" s="1090"/>
      <c r="C64" s="1090"/>
      <c r="D64" s="1103"/>
      <c r="E64" s="1103"/>
      <c r="F64" s="1119"/>
      <c r="G64" s="1114"/>
      <c r="H64" s="1114"/>
      <c r="I64" s="1114"/>
      <c r="J64" s="1114"/>
      <c r="K64" s="1119"/>
      <c r="L64" s="1114"/>
      <c r="M64" s="1114"/>
      <c r="N64" s="1114"/>
      <c r="R64" s="368"/>
      <c r="T64" s="368"/>
      <c r="U64" s="368"/>
      <c r="V64" s="368"/>
      <c r="W64" s="368"/>
    </row>
    <row r="65" spans="1:14" ht="18">
      <c r="A65" s="440"/>
      <c r="B65" s="1135" t="s">
        <v>1416</v>
      </c>
      <c r="C65" s="1136"/>
      <c r="D65" s="874">
        <f>IF(F65&gt;0,L65/(F63-F13),"")</f>
      </c>
      <c r="E65" s="1103"/>
      <c r="F65" s="1392">
        <f>'FORM-10 (A-F)'!H138</f>
        <v>0</v>
      </c>
      <c r="G65" s="372"/>
      <c r="H65" s="378"/>
      <c r="I65" s="1120"/>
      <c r="J65" s="378"/>
      <c r="L65" s="374">
        <f>F65-H65-J65</f>
        <v>0</v>
      </c>
      <c r="M65" s="377"/>
      <c r="N65" s="1137"/>
    </row>
    <row r="66" spans="1:14" ht="18">
      <c r="A66" s="440"/>
      <c r="B66" s="1135" t="s">
        <v>1417</v>
      </c>
      <c r="C66" s="1136"/>
      <c r="D66" s="874">
        <f>IF(F13&gt;0,F66/F13,"")</f>
      </c>
      <c r="E66" s="1103"/>
      <c r="F66" s="1392">
        <f>IF(F13&gt;0,(F13*0.04),0)</f>
        <v>0</v>
      </c>
      <c r="G66" s="372"/>
      <c r="H66" s="1138"/>
      <c r="I66" s="1120"/>
      <c r="J66" s="1138"/>
      <c r="L66" s="374"/>
      <c r="M66" s="377"/>
      <c r="N66" s="1395">
        <f>F66</f>
        <v>0</v>
      </c>
    </row>
    <row r="67" spans="1:23" ht="18">
      <c r="A67" s="440"/>
      <c r="B67" s="1046" t="s">
        <v>968</v>
      </c>
      <c r="C67" s="1090"/>
      <c r="D67" s="1103"/>
      <c r="E67" s="1103"/>
      <c r="F67" s="588">
        <f>+'FORM-10 (A-F)'!SQFT_ACR</f>
        <v>0</v>
      </c>
      <c r="G67" s="1114"/>
      <c r="H67" s="379">
        <f aca="true" t="shared" si="2" ref="H67:H73">F67</f>
        <v>0</v>
      </c>
      <c r="I67" s="1114"/>
      <c r="J67" s="1139" t="s">
        <v>592</v>
      </c>
      <c r="K67" s="372"/>
      <c r="L67" s="1139" t="s">
        <v>592</v>
      </c>
      <c r="M67" s="1114"/>
      <c r="N67" s="1114"/>
      <c r="R67" s="368"/>
      <c r="T67" s="368"/>
      <c r="U67" s="368"/>
      <c r="V67" s="368"/>
      <c r="W67" s="368"/>
    </row>
    <row r="68" spans="1:22" ht="18">
      <c r="A68" s="440"/>
      <c r="B68" s="1046" t="s">
        <v>969</v>
      </c>
      <c r="C68" s="1090"/>
      <c r="D68" s="1103"/>
      <c r="E68" s="1103"/>
      <c r="F68" s="371"/>
      <c r="G68" s="1114"/>
      <c r="H68" s="379">
        <f t="shared" si="2"/>
        <v>0</v>
      </c>
      <c r="I68" s="1114"/>
      <c r="J68" s="1139" t="s">
        <v>592</v>
      </c>
      <c r="K68" s="372"/>
      <c r="L68" s="1139" t="s">
        <v>592</v>
      </c>
      <c r="M68" s="1114"/>
      <c r="N68" s="1114"/>
      <c r="T68" s="370"/>
      <c r="U68" s="370"/>
      <c r="V68" s="370"/>
    </row>
    <row r="69" spans="1:22" ht="18">
      <c r="A69" s="440"/>
      <c r="B69" s="1046" t="s">
        <v>970</v>
      </c>
      <c r="C69" s="1090"/>
      <c r="D69" s="1103"/>
      <c r="E69" s="1103"/>
      <c r="F69" s="371"/>
      <c r="G69" s="1114"/>
      <c r="H69" s="379">
        <f t="shared" si="2"/>
        <v>0</v>
      </c>
      <c r="I69" s="1114"/>
      <c r="J69" s="1139" t="s">
        <v>592</v>
      </c>
      <c r="K69" s="372"/>
      <c r="L69" s="1139" t="s">
        <v>592</v>
      </c>
      <c r="M69" s="1114"/>
      <c r="N69" s="1114"/>
      <c r="T69" s="370"/>
      <c r="U69" s="370"/>
      <c r="V69" s="370"/>
    </row>
    <row r="70" spans="1:14" ht="18">
      <c r="A70" s="440"/>
      <c r="B70" s="1046" t="s">
        <v>971</v>
      </c>
      <c r="C70" s="1090"/>
      <c r="D70" s="1103"/>
      <c r="E70" s="1103"/>
      <c r="F70" s="588">
        <f>'FORM-10 (A-F)'!J180+'FORM-10 (A-F)'!J181</f>
        <v>0</v>
      </c>
      <c r="G70" s="1114"/>
      <c r="H70" s="379">
        <f t="shared" si="2"/>
        <v>0</v>
      </c>
      <c r="I70" s="1114"/>
      <c r="J70" s="1139" t="s">
        <v>592</v>
      </c>
      <c r="K70" s="372"/>
      <c r="L70" s="1139" t="s">
        <v>592</v>
      </c>
      <c r="M70" s="1114"/>
      <c r="N70" s="1114"/>
    </row>
    <row r="71" spans="1:252" ht="21">
      <c r="A71" s="440"/>
      <c r="B71" s="1046" t="s">
        <v>972</v>
      </c>
      <c r="C71" s="857" t="s">
        <v>973</v>
      </c>
      <c r="D71" s="1103"/>
      <c r="E71" s="1103"/>
      <c r="F71" s="588">
        <f>+'FORM-10 (A-F)'!J179</f>
        <v>0</v>
      </c>
      <c r="G71" s="1134"/>
      <c r="H71" s="379">
        <f t="shared" si="2"/>
        <v>0</v>
      </c>
      <c r="I71" s="1134"/>
      <c r="J71" s="1139" t="s">
        <v>592</v>
      </c>
      <c r="K71" s="1140"/>
      <c r="L71" s="1139" t="s">
        <v>592</v>
      </c>
      <c r="M71" s="1134"/>
      <c r="N71" s="1120"/>
      <c r="O71" s="370"/>
      <c r="P71" s="370"/>
      <c r="Q71" s="370"/>
      <c r="R71" s="370"/>
      <c r="S71" s="370"/>
      <c r="T71" s="370"/>
      <c r="U71" s="370"/>
      <c r="V71" s="370"/>
      <c r="W71" s="370"/>
      <c r="X71" s="370"/>
      <c r="Y71" s="370"/>
      <c r="Z71" s="370"/>
      <c r="AB71" s="370"/>
      <c r="AC71" s="370"/>
      <c r="AD71" s="370"/>
      <c r="AE71" s="370"/>
      <c r="AF71" s="370"/>
      <c r="AG71" s="370"/>
      <c r="AH71" s="370"/>
      <c r="AI71" s="370"/>
      <c r="AJ71" s="370"/>
      <c r="AK71" s="370"/>
      <c r="AL71" s="370"/>
      <c r="AM71" s="370"/>
      <c r="AN71" s="370"/>
      <c r="AO71" s="370"/>
      <c r="AP71" s="370"/>
      <c r="AQ71" s="370"/>
      <c r="AR71" s="370"/>
      <c r="AS71" s="370"/>
      <c r="AT71" s="370"/>
      <c r="AU71" s="370"/>
      <c r="AV71" s="370"/>
      <c r="AW71" s="370"/>
      <c r="AX71" s="370"/>
      <c r="AY71" s="370"/>
      <c r="AZ71" s="370"/>
      <c r="BA71" s="370"/>
      <c r="BB71" s="370"/>
      <c r="BC71" s="370"/>
      <c r="BD71" s="370"/>
      <c r="BE71" s="370"/>
      <c r="BF71" s="370"/>
      <c r="BG71" s="370"/>
      <c r="BH71" s="370"/>
      <c r="BI71" s="370"/>
      <c r="BJ71" s="370"/>
      <c r="BK71" s="370"/>
      <c r="BL71" s="370"/>
      <c r="BM71" s="370"/>
      <c r="BN71" s="370"/>
      <c r="BO71" s="370"/>
      <c r="BP71" s="370"/>
      <c r="BQ71" s="370"/>
      <c r="BR71" s="370"/>
      <c r="BS71" s="370"/>
      <c r="BT71" s="370"/>
      <c r="BU71" s="370"/>
      <c r="BV71" s="370"/>
      <c r="BW71" s="370"/>
      <c r="BX71" s="370"/>
      <c r="BY71" s="370"/>
      <c r="BZ71" s="370"/>
      <c r="CA71" s="370"/>
      <c r="CB71" s="370"/>
      <c r="CC71" s="370"/>
      <c r="CD71" s="370"/>
      <c r="CE71" s="370"/>
      <c r="CF71" s="370"/>
      <c r="CG71" s="370"/>
      <c r="CH71" s="370"/>
      <c r="CI71" s="370"/>
      <c r="CJ71" s="370"/>
      <c r="CK71" s="370"/>
      <c r="CL71" s="370"/>
      <c r="CM71" s="370"/>
      <c r="CN71" s="370"/>
      <c r="CO71" s="370"/>
      <c r="CP71" s="370"/>
      <c r="CQ71" s="370"/>
      <c r="CR71" s="370"/>
      <c r="CS71" s="370"/>
      <c r="CT71" s="370"/>
      <c r="CU71" s="370"/>
      <c r="CV71" s="370"/>
      <c r="CW71" s="370"/>
      <c r="CX71" s="370"/>
      <c r="CY71" s="370"/>
      <c r="CZ71" s="370"/>
      <c r="DA71" s="370"/>
      <c r="DB71" s="370"/>
      <c r="DC71" s="370"/>
      <c r="DD71" s="370"/>
      <c r="DE71" s="370"/>
      <c r="DF71" s="370"/>
      <c r="DG71" s="370"/>
      <c r="DH71" s="370"/>
      <c r="DI71" s="370"/>
      <c r="DJ71" s="370"/>
      <c r="DK71" s="370"/>
      <c r="DL71" s="370"/>
      <c r="DM71" s="370"/>
      <c r="DN71" s="370"/>
      <c r="DO71" s="370"/>
      <c r="DP71" s="370"/>
      <c r="DQ71" s="370"/>
      <c r="DR71" s="370"/>
      <c r="DS71" s="370"/>
      <c r="DT71" s="370"/>
      <c r="DU71" s="370"/>
      <c r="DV71" s="370"/>
      <c r="DW71" s="370"/>
      <c r="DX71" s="370"/>
      <c r="DY71" s="370"/>
      <c r="DZ71" s="370"/>
      <c r="EA71" s="370"/>
      <c r="EB71" s="370"/>
      <c r="EC71" s="370"/>
      <c r="ED71" s="370"/>
      <c r="EE71" s="370"/>
      <c r="EF71" s="370"/>
      <c r="EG71" s="370"/>
      <c r="EH71" s="370"/>
      <c r="EI71" s="370"/>
      <c r="EJ71" s="370"/>
      <c r="EK71" s="370"/>
      <c r="EL71" s="370"/>
      <c r="EM71" s="370"/>
      <c r="EN71" s="370"/>
      <c r="EO71" s="370"/>
      <c r="EP71" s="370"/>
      <c r="EQ71" s="370"/>
      <c r="ER71" s="370"/>
      <c r="ES71" s="370"/>
      <c r="ET71" s="370"/>
      <c r="EU71" s="370"/>
      <c r="EV71" s="370"/>
      <c r="EW71" s="370"/>
      <c r="EX71" s="370"/>
      <c r="EY71" s="370"/>
      <c r="EZ71" s="370"/>
      <c r="FA71" s="370"/>
      <c r="FB71" s="370"/>
      <c r="FC71" s="370"/>
      <c r="FD71" s="370"/>
      <c r="FE71" s="370"/>
      <c r="FF71" s="370"/>
      <c r="FG71" s="370"/>
      <c r="FH71" s="370"/>
      <c r="FI71" s="370"/>
      <c r="FJ71" s="370"/>
      <c r="FK71" s="370"/>
      <c r="FL71" s="370"/>
      <c r="FM71" s="370"/>
      <c r="FN71" s="370"/>
      <c r="FO71" s="370"/>
      <c r="FP71" s="370"/>
      <c r="FQ71" s="370"/>
      <c r="FR71" s="370"/>
      <c r="FS71" s="370"/>
      <c r="FT71" s="370"/>
      <c r="FU71" s="370"/>
      <c r="FV71" s="370"/>
      <c r="FW71" s="370"/>
      <c r="FX71" s="370"/>
      <c r="FY71" s="370"/>
      <c r="FZ71" s="370"/>
      <c r="GA71" s="370"/>
      <c r="GB71" s="370"/>
      <c r="GC71" s="370"/>
      <c r="GD71" s="370"/>
      <c r="GE71" s="370"/>
      <c r="GF71" s="370"/>
      <c r="GG71" s="370"/>
      <c r="GH71" s="370"/>
      <c r="GI71" s="370"/>
      <c r="GJ71" s="370"/>
      <c r="GK71" s="370"/>
      <c r="GL71" s="370"/>
      <c r="GM71" s="370"/>
      <c r="GN71" s="370"/>
      <c r="GO71" s="370"/>
      <c r="GP71" s="370"/>
      <c r="GQ71" s="370"/>
      <c r="GR71" s="370"/>
      <c r="GS71" s="370"/>
      <c r="GT71" s="370"/>
      <c r="GU71" s="370"/>
      <c r="GV71" s="370"/>
      <c r="GW71" s="370"/>
      <c r="GX71" s="370"/>
      <c r="GY71" s="370"/>
      <c r="GZ71" s="370"/>
      <c r="HA71" s="370"/>
      <c r="HB71" s="370"/>
      <c r="HC71" s="370"/>
      <c r="HD71" s="370"/>
      <c r="HE71" s="370"/>
      <c r="HF71" s="370"/>
      <c r="HG71" s="370"/>
      <c r="HH71" s="370"/>
      <c r="HI71" s="370"/>
      <c r="HJ71" s="370"/>
      <c r="HK71" s="370"/>
      <c r="HL71" s="370"/>
      <c r="HM71" s="370"/>
      <c r="HN71" s="370"/>
      <c r="HO71" s="370"/>
      <c r="HP71" s="370"/>
      <c r="HQ71" s="370"/>
      <c r="HR71" s="370"/>
      <c r="HS71" s="370"/>
      <c r="HT71" s="370"/>
      <c r="HU71" s="370"/>
      <c r="HV71" s="370"/>
      <c r="HW71" s="370"/>
      <c r="HX71" s="370"/>
      <c r="HY71" s="370"/>
      <c r="HZ71" s="370"/>
      <c r="IA71" s="370"/>
      <c r="IB71" s="370"/>
      <c r="IC71" s="370"/>
      <c r="ID71" s="370"/>
      <c r="IE71" s="370"/>
      <c r="IF71" s="370"/>
      <c r="IG71" s="370"/>
      <c r="IH71" s="370"/>
      <c r="II71" s="370"/>
      <c r="IJ71" s="370"/>
      <c r="IK71" s="370"/>
      <c r="IL71" s="370"/>
      <c r="IM71" s="370"/>
      <c r="IN71" s="370"/>
      <c r="IO71" s="370"/>
      <c r="IP71" s="370"/>
      <c r="IQ71" s="370"/>
      <c r="IR71" s="370"/>
    </row>
    <row r="72" spans="1:252" ht="21">
      <c r="A72" s="440"/>
      <c r="B72" s="1046"/>
      <c r="C72" s="857" t="s">
        <v>833</v>
      </c>
      <c r="D72" s="1103"/>
      <c r="E72" s="1103"/>
      <c r="F72" s="588">
        <f>+'FORM-10 (A-F)'!J187</f>
        <v>0</v>
      </c>
      <c r="G72" s="1134"/>
      <c r="H72" s="379">
        <f t="shared" si="2"/>
        <v>0</v>
      </c>
      <c r="I72" s="1134"/>
      <c r="J72" s="1139" t="s">
        <v>592</v>
      </c>
      <c r="K72" s="1140"/>
      <c r="L72" s="1139" t="s">
        <v>592</v>
      </c>
      <c r="M72" s="1134"/>
      <c r="N72" s="1120"/>
      <c r="O72" s="370"/>
      <c r="P72" s="370"/>
      <c r="Q72" s="370"/>
      <c r="R72" s="370"/>
      <c r="S72" s="370"/>
      <c r="T72" s="370"/>
      <c r="U72" s="370"/>
      <c r="V72" s="370"/>
      <c r="W72" s="370"/>
      <c r="X72" s="370"/>
      <c r="Y72" s="370"/>
      <c r="Z72" s="370"/>
      <c r="AB72" s="370"/>
      <c r="AC72" s="370"/>
      <c r="AD72" s="370"/>
      <c r="AE72" s="370"/>
      <c r="AF72" s="370"/>
      <c r="AG72" s="370"/>
      <c r="AH72" s="370"/>
      <c r="AI72" s="370"/>
      <c r="AJ72" s="370"/>
      <c r="AK72" s="370"/>
      <c r="AL72" s="370"/>
      <c r="AM72" s="370"/>
      <c r="AN72" s="370"/>
      <c r="AO72" s="370"/>
      <c r="AP72" s="370"/>
      <c r="AQ72" s="370"/>
      <c r="AR72" s="370"/>
      <c r="AS72" s="370"/>
      <c r="AT72" s="370"/>
      <c r="AU72" s="370"/>
      <c r="AV72" s="370"/>
      <c r="AW72" s="370"/>
      <c r="AX72" s="370"/>
      <c r="AY72" s="370"/>
      <c r="AZ72" s="370"/>
      <c r="BA72" s="370"/>
      <c r="BB72" s="370"/>
      <c r="BC72" s="370"/>
      <c r="BD72" s="370"/>
      <c r="BE72" s="370"/>
      <c r="BF72" s="370"/>
      <c r="BG72" s="370"/>
      <c r="BH72" s="370"/>
      <c r="BI72" s="370"/>
      <c r="BJ72" s="370"/>
      <c r="BK72" s="370"/>
      <c r="BL72" s="370"/>
      <c r="BM72" s="370"/>
      <c r="BN72" s="370"/>
      <c r="BO72" s="370"/>
      <c r="BP72" s="370"/>
      <c r="BQ72" s="370"/>
      <c r="BR72" s="370"/>
      <c r="BS72" s="370"/>
      <c r="BT72" s="370"/>
      <c r="BU72" s="370"/>
      <c r="BV72" s="370"/>
      <c r="BW72" s="370"/>
      <c r="BX72" s="370"/>
      <c r="BY72" s="370"/>
      <c r="BZ72" s="370"/>
      <c r="CA72" s="370"/>
      <c r="CB72" s="370"/>
      <c r="CC72" s="370"/>
      <c r="CD72" s="370"/>
      <c r="CE72" s="370"/>
      <c r="CF72" s="370"/>
      <c r="CG72" s="370"/>
      <c r="CH72" s="370"/>
      <c r="CI72" s="370"/>
      <c r="CJ72" s="370"/>
      <c r="CK72" s="370"/>
      <c r="CL72" s="370"/>
      <c r="CM72" s="370"/>
      <c r="CN72" s="370"/>
      <c r="CO72" s="370"/>
      <c r="CP72" s="370"/>
      <c r="CQ72" s="370"/>
      <c r="CR72" s="370"/>
      <c r="CS72" s="370"/>
      <c r="CT72" s="370"/>
      <c r="CU72" s="370"/>
      <c r="CV72" s="370"/>
      <c r="CW72" s="370"/>
      <c r="CX72" s="370"/>
      <c r="CY72" s="370"/>
      <c r="CZ72" s="370"/>
      <c r="DA72" s="370"/>
      <c r="DB72" s="370"/>
      <c r="DC72" s="370"/>
      <c r="DD72" s="370"/>
      <c r="DE72" s="370"/>
      <c r="DF72" s="370"/>
      <c r="DG72" s="370"/>
      <c r="DH72" s="370"/>
      <c r="DI72" s="370"/>
      <c r="DJ72" s="370"/>
      <c r="DK72" s="370"/>
      <c r="DL72" s="370"/>
      <c r="DM72" s="370"/>
      <c r="DN72" s="370"/>
      <c r="DO72" s="370"/>
      <c r="DP72" s="370"/>
      <c r="DQ72" s="370"/>
      <c r="DR72" s="370"/>
      <c r="DS72" s="370"/>
      <c r="DT72" s="370"/>
      <c r="DU72" s="370"/>
      <c r="DV72" s="370"/>
      <c r="DW72" s="370"/>
      <c r="DX72" s="370"/>
      <c r="DY72" s="370"/>
      <c r="DZ72" s="370"/>
      <c r="EA72" s="370"/>
      <c r="EB72" s="370"/>
      <c r="EC72" s="370"/>
      <c r="ED72" s="370"/>
      <c r="EE72" s="370"/>
      <c r="EF72" s="370"/>
      <c r="EG72" s="370"/>
      <c r="EH72" s="370"/>
      <c r="EI72" s="370"/>
      <c r="EJ72" s="370"/>
      <c r="EK72" s="370"/>
      <c r="EL72" s="370"/>
      <c r="EM72" s="370"/>
      <c r="EN72" s="370"/>
      <c r="EO72" s="370"/>
      <c r="EP72" s="370"/>
      <c r="EQ72" s="370"/>
      <c r="ER72" s="370"/>
      <c r="ES72" s="370"/>
      <c r="ET72" s="370"/>
      <c r="EU72" s="370"/>
      <c r="EV72" s="370"/>
      <c r="EW72" s="370"/>
      <c r="EX72" s="370"/>
      <c r="EY72" s="370"/>
      <c r="EZ72" s="370"/>
      <c r="FA72" s="370"/>
      <c r="FB72" s="370"/>
      <c r="FC72" s="370"/>
      <c r="FD72" s="370"/>
      <c r="FE72" s="370"/>
      <c r="FF72" s="370"/>
      <c r="FG72" s="370"/>
      <c r="FH72" s="370"/>
      <c r="FI72" s="370"/>
      <c r="FJ72" s="370"/>
      <c r="FK72" s="370"/>
      <c r="FL72" s="370"/>
      <c r="FM72" s="370"/>
      <c r="FN72" s="370"/>
      <c r="FO72" s="370"/>
      <c r="FP72" s="370"/>
      <c r="FQ72" s="370"/>
      <c r="FR72" s="370"/>
      <c r="FS72" s="370"/>
      <c r="FT72" s="370"/>
      <c r="FU72" s="370"/>
      <c r="FV72" s="370"/>
      <c r="FW72" s="370"/>
      <c r="FX72" s="370"/>
      <c r="FY72" s="370"/>
      <c r="FZ72" s="370"/>
      <c r="GA72" s="370"/>
      <c r="GB72" s="370"/>
      <c r="GC72" s="370"/>
      <c r="GD72" s="370"/>
      <c r="GE72" s="370"/>
      <c r="GF72" s="370"/>
      <c r="GG72" s="370"/>
      <c r="GH72" s="370"/>
      <c r="GI72" s="370"/>
      <c r="GJ72" s="370"/>
      <c r="GK72" s="370"/>
      <c r="GL72" s="370"/>
      <c r="GM72" s="370"/>
      <c r="GN72" s="370"/>
      <c r="GO72" s="370"/>
      <c r="GP72" s="370"/>
      <c r="GQ72" s="370"/>
      <c r="GR72" s="370"/>
      <c r="GS72" s="370"/>
      <c r="GT72" s="370"/>
      <c r="GU72" s="370"/>
      <c r="GV72" s="370"/>
      <c r="GW72" s="370"/>
      <c r="GX72" s="370"/>
      <c r="GY72" s="370"/>
      <c r="GZ72" s="370"/>
      <c r="HA72" s="370"/>
      <c r="HB72" s="370"/>
      <c r="HC72" s="370"/>
      <c r="HD72" s="370"/>
      <c r="HE72" s="370"/>
      <c r="HF72" s="370"/>
      <c r="HG72" s="370"/>
      <c r="HH72" s="370"/>
      <c r="HI72" s="370"/>
      <c r="HJ72" s="370"/>
      <c r="HK72" s="370"/>
      <c r="HL72" s="370"/>
      <c r="HM72" s="370"/>
      <c r="HN72" s="370"/>
      <c r="HO72" s="370"/>
      <c r="HP72" s="370"/>
      <c r="HQ72" s="370"/>
      <c r="HR72" s="370"/>
      <c r="HS72" s="370"/>
      <c r="HT72" s="370"/>
      <c r="HU72" s="370"/>
      <c r="HV72" s="370"/>
      <c r="HW72" s="370"/>
      <c r="HX72" s="370"/>
      <c r="HY72" s="370"/>
      <c r="HZ72" s="370"/>
      <c r="IA72" s="370"/>
      <c r="IB72" s="370"/>
      <c r="IC72" s="370"/>
      <c r="ID72" s="370"/>
      <c r="IE72" s="370"/>
      <c r="IF72" s="370"/>
      <c r="IG72" s="370"/>
      <c r="IH72" s="370"/>
      <c r="II72" s="370"/>
      <c r="IJ72" s="370"/>
      <c r="IK72" s="370"/>
      <c r="IL72" s="370"/>
      <c r="IM72" s="370"/>
      <c r="IN72" s="370"/>
      <c r="IO72" s="370"/>
      <c r="IP72" s="370"/>
      <c r="IQ72" s="370"/>
      <c r="IR72" s="370"/>
    </row>
    <row r="73" spans="1:14" ht="21">
      <c r="A73" s="440"/>
      <c r="B73" s="1046"/>
      <c r="C73" s="857" t="s">
        <v>974</v>
      </c>
      <c r="D73" s="1103"/>
      <c r="E73" s="1103"/>
      <c r="F73" s="588">
        <f>+'FORM-10 (A-F)'!J188</f>
        <v>0</v>
      </c>
      <c r="G73" s="1134"/>
      <c r="H73" s="379">
        <f t="shared" si="2"/>
        <v>0</v>
      </c>
      <c r="I73" s="1134"/>
      <c r="J73" s="1139" t="s">
        <v>592</v>
      </c>
      <c r="K73" s="1140"/>
      <c r="L73" s="1139" t="s">
        <v>592</v>
      </c>
      <c r="M73" s="1134"/>
      <c r="N73" s="1120"/>
    </row>
    <row r="74" spans="1:14" ht="21">
      <c r="A74" s="440"/>
      <c r="B74" s="1046"/>
      <c r="C74" s="1046" t="s">
        <v>1555</v>
      </c>
      <c r="D74" s="1103"/>
      <c r="E74" s="1103"/>
      <c r="F74" s="588">
        <f>'FORM-10 (A-F)'!J185+'FORM-10 (A-F)'!J183</f>
        <v>0</v>
      </c>
      <c r="G74" s="1134"/>
      <c r="H74" s="379">
        <f>F74</f>
        <v>0</v>
      </c>
      <c r="I74" s="1134"/>
      <c r="J74" s="1139" t="s">
        <v>592</v>
      </c>
      <c r="K74" s="1140"/>
      <c r="L74" s="1139" t="s">
        <v>592</v>
      </c>
      <c r="M74" s="1134"/>
      <c r="N74" s="1120"/>
    </row>
    <row r="75" spans="1:14" ht="21">
      <c r="A75" s="440"/>
      <c r="B75" s="1046"/>
      <c r="C75" s="1046" t="s">
        <v>975</v>
      </c>
      <c r="D75" s="1103"/>
      <c r="E75" s="1103"/>
      <c r="F75" s="588">
        <f>+'FORM-10 (A-F)'!J184</f>
        <v>0</v>
      </c>
      <c r="G75" s="1134"/>
      <c r="H75" s="379">
        <f>F75</f>
        <v>0</v>
      </c>
      <c r="I75" s="1134"/>
      <c r="J75" s="1139" t="s">
        <v>592</v>
      </c>
      <c r="K75" s="1140"/>
      <c r="L75" s="1139" t="s">
        <v>592</v>
      </c>
      <c r="M75" s="1134"/>
      <c r="N75" s="1120"/>
    </row>
    <row r="76" spans="1:16" ht="18">
      <c r="A76" s="440"/>
      <c r="B76" s="1046"/>
      <c r="C76" s="1046" t="s">
        <v>1601</v>
      </c>
      <c r="D76" s="1123"/>
      <c r="E76" s="1141"/>
      <c r="F76" s="1393">
        <f>'FORM-10 (A-F)'!J190</f>
        <v>0</v>
      </c>
      <c r="G76" s="1142"/>
      <c r="H76" s="379">
        <f>F76</f>
        <v>0</v>
      </c>
      <c r="I76" s="1142"/>
      <c r="J76" s="1143" t="s">
        <v>592</v>
      </c>
      <c r="K76" s="1142"/>
      <c r="L76" s="1144" t="s">
        <v>592</v>
      </c>
      <c r="M76" s="1145"/>
      <c r="N76" s="1114"/>
      <c r="O76" s="1120"/>
      <c r="P76" s="370"/>
    </row>
    <row r="77" spans="1:17" ht="21" thickBot="1">
      <c r="A77" s="440"/>
      <c r="B77" s="1092" t="s">
        <v>976</v>
      </c>
      <c r="C77" s="1090"/>
      <c r="D77" s="1103"/>
      <c r="E77" s="1103"/>
      <c r="F77" s="1415">
        <f>'FORM-10 (A-F)'!J190</f>
        <v>0</v>
      </c>
      <c r="G77" s="1147"/>
      <c r="H77" s="1146">
        <f>SUM(H63:H76)</f>
        <v>0</v>
      </c>
      <c r="I77" s="1148"/>
      <c r="J77" s="1146">
        <f>SUM(J63:J76)</f>
        <v>0</v>
      </c>
      <c r="K77" s="1148"/>
      <c r="L77" s="1146">
        <f>SUM(L63:L76)</f>
        <v>0</v>
      </c>
      <c r="M77" s="1134"/>
      <c r="N77" s="1146">
        <f>SUM(N63:N76)</f>
        <v>0</v>
      </c>
      <c r="Q77" s="1125"/>
    </row>
    <row r="78" spans="1:17" ht="18" thickTop="1">
      <c r="A78" s="440"/>
      <c r="B78" s="1090"/>
      <c r="C78" s="1090"/>
      <c r="D78" s="1149"/>
      <c r="E78" s="1103"/>
      <c r="F78" s="380"/>
      <c r="G78" s="380"/>
      <c r="H78" s="380"/>
      <c r="I78" s="380"/>
      <c r="J78" s="380"/>
      <c r="K78" s="380"/>
      <c r="L78" s="1150"/>
      <c r="M78" s="1150"/>
      <c r="N78" s="1151"/>
      <c r="Q78" s="1125"/>
    </row>
    <row r="79" spans="1:17" ht="20.25">
      <c r="A79" s="440"/>
      <c r="B79" s="1103"/>
      <c r="C79" s="1090"/>
      <c r="D79" s="1090"/>
      <c r="E79" s="1090"/>
      <c r="F79" s="380"/>
      <c r="G79" s="380"/>
      <c r="H79" s="380"/>
      <c r="I79" s="380"/>
      <c r="J79" s="1152" t="s">
        <v>977</v>
      </c>
      <c r="K79" s="380"/>
      <c r="L79" s="1153">
        <f>IF(OR(EligBasisLimits!C12="Y",EligBasisLimits!C12="YES",EligBasisLimits!C12="y",EligBasisLimits!C12="yes",EligBasisLimits!C14="YES",EligBasisLimits!C14="Y",EligBasisLimits!C14="y",EligBasisLimits!C14="yes"),"NOT APPLICABLE",EligBasisLimits!I30)</f>
        <v>0</v>
      </c>
      <c r="M79" s="1154"/>
      <c r="N79" s="363"/>
      <c r="Q79" s="1125"/>
    </row>
    <row r="80" spans="1:17" ht="21" thickBot="1">
      <c r="A80" s="440"/>
      <c r="B80" s="1090"/>
      <c r="C80" s="1090"/>
      <c r="D80" s="1090"/>
      <c r="E80" s="1090"/>
      <c r="F80" s="380"/>
      <c r="G80" s="1155" t="s">
        <v>1174</v>
      </c>
      <c r="H80" s="1156">
        <f>+NOI!J51</f>
        <v>0</v>
      </c>
      <c r="I80" s="380"/>
      <c r="J80" s="380"/>
      <c r="K80" s="380"/>
      <c r="L80" s="1157"/>
      <c r="M80" s="1154"/>
      <c r="N80" s="363"/>
      <c r="Q80" s="1125"/>
    </row>
    <row r="81" spans="1:14" ht="21" thickTop="1">
      <c r="A81" s="440"/>
      <c r="B81" s="1158"/>
      <c r="C81" s="1159"/>
      <c r="D81" s="1159"/>
      <c r="E81" s="1159"/>
      <c r="F81" s="1160"/>
      <c r="G81" s="1160"/>
      <c r="H81" s="1161"/>
      <c r="I81" s="1162"/>
      <c r="J81" s="1152" t="s">
        <v>978</v>
      </c>
      <c r="K81" s="380"/>
      <c r="L81" s="1163">
        <f>IF(L79="NOT APPLICABLE",L77,MIN(L77,L79))</f>
        <v>0</v>
      </c>
      <c r="M81" s="1154"/>
      <c r="N81" s="1152"/>
    </row>
    <row r="82" spans="1:14" ht="24">
      <c r="A82" s="440"/>
      <c r="B82" s="1164"/>
      <c r="C82" s="1165" t="s">
        <v>1136</v>
      </c>
      <c r="D82" s="1050"/>
      <c r="E82" s="1050"/>
      <c r="F82" s="1154"/>
      <c r="G82" s="1166"/>
      <c r="H82" s="1167"/>
      <c r="I82" s="1162"/>
      <c r="J82" s="380"/>
      <c r="K82" s="380"/>
      <c r="L82" s="1157"/>
      <c r="M82" s="1154"/>
      <c r="N82" s="1152"/>
    </row>
    <row r="83" spans="1:14" ht="20.25">
      <c r="A83" s="440"/>
      <c r="B83" s="1164"/>
      <c r="C83" s="1090"/>
      <c r="D83" s="1090"/>
      <c r="E83" s="1090"/>
      <c r="F83" s="363"/>
      <c r="G83" s="363"/>
      <c r="H83" s="1168"/>
      <c r="I83" s="1169" t="s">
        <v>904</v>
      </c>
      <c r="J83" s="1152" t="s">
        <v>979</v>
      </c>
      <c r="K83" s="380"/>
      <c r="L83" s="1170">
        <f>IF(OR(I4="Y",I5="Y",I6="Y"),130%,100%)</f>
        <v>1</v>
      </c>
      <c r="N83" s="1154"/>
    </row>
    <row r="84" spans="1:14" ht="20.25">
      <c r="A84" s="440"/>
      <c r="B84" s="1171" t="s">
        <v>980</v>
      </c>
      <c r="C84" s="1090"/>
      <c r="D84" s="1169" t="s">
        <v>981</v>
      </c>
      <c r="E84" s="1169"/>
      <c r="F84" s="1151" t="s">
        <v>982</v>
      </c>
      <c r="G84" s="1047"/>
      <c r="H84" s="1172" t="s">
        <v>983</v>
      </c>
      <c r="I84" s="1162"/>
      <c r="J84" s="380"/>
      <c r="K84" s="380"/>
      <c r="L84" s="1157"/>
      <c r="M84" s="1154"/>
      <c r="N84" s="1173"/>
    </row>
    <row r="85" spans="1:14" ht="20.25">
      <c r="A85" s="440"/>
      <c r="B85" s="442"/>
      <c r="C85" s="440"/>
      <c r="D85" s="1169" t="s">
        <v>984</v>
      </c>
      <c r="E85" s="1169"/>
      <c r="F85" s="1151"/>
      <c r="G85" s="440"/>
      <c r="H85" s="443"/>
      <c r="I85" s="1169" t="s">
        <v>985</v>
      </c>
      <c r="J85" s="1152" t="s">
        <v>986</v>
      </c>
      <c r="K85" s="380"/>
      <c r="L85" s="1153">
        <f>INT(L81*L83)</f>
        <v>0</v>
      </c>
      <c r="M85" s="1154"/>
      <c r="N85" s="1152"/>
    </row>
    <row r="86" spans="1:14" ht="20.25">
      <c r="A86" s="440"/>
      <c r="B86" s="1585" t="s">
        <v>1556</v>
      </c>
      <c r="C86" s="1586"/>
      <c r="D86" s="1174"/>
      <c r="E86" s="1175"/>
      <c r="F86" s="1176"/>
      <c r="G86" s="380"/>
      <c r="H86" s="1177"/>
      <c r="I86" s="1162"/>
      <c r="J86" s="380"/>
      <c r="K86" s="380"/>
      <c r="L86" s="1178"/>
      <c r="M86" s="1154"/>
      <c r="N86" s="1152"/>
    </row>
    <row r="87" spans="1:14" ht="20.25">
      <c r="A87" s="440"/>
      <c r="B87" s="1006"/>
      <c r="C87" s="1179"/>
      <c r="D87" s="858"/>
      <c r="E87" s="429"/>
      <c r="F87" s="1180"/>
      <c r="G87" s="363"/>
      <c r="H87" s="1181"/>
      <c r="I87" s="1169" t="s">
        <v>904</v>
      </c>
      <c r="J87" s="1152" t="s">
        <v>987</v>
      </c>
      <c r="K87" s="380"/>
      <c r="L87" s="382">
        <v>1</v>
      </c>
      <c r="M87" s="1154"/>
      <c r="N87" s="1182">
        <f>L87</f>
        <v>1</v>
      </c>
    </row>
    <row r="88" spans="1:14" ht="20.25">
      <c r="A88" s="440"/>
      <c r="B88" s="1580"/>
      <c r="C88" s="1587"/>
      <c r="D88" s="381"/>
      <c r="E88" s="429"/>
      <c r="F88" s="1180"/>
      <c r="G88" s="380"/>
      <c r="H88" s="1181"/>
      <c r="I88" s="1162"/>
      <c r="J88" s="380"/>
      <c r="K88" s="380"/>
      <c r="L88" s="1157"/>
      <c r="M88" s="1154"/>
      <c r="N88" s="1152"/>
    </row>
    <row r="89" spans="1:14" ht="20.25">
      <c r="A89" s="440"/>
      <c r="B89" s="1580"/>
      <c r="C89" s="1587"/>
      <c r="D89" s="381"/>
      <c r="E89" s="429"/>
      <c r="F89" s="1180"/>
      <c r="G89" s="380"/>
      <c r="H89" s="1181"/>
      <c r="I89" s="1169" t="s">
        <v>985</v>
      </c>
      <c r="J89" s="1152" t="s">
        <v>988</v>
      </c>
      <c r="K89" s="380"/>
      <c r="L89" s="1153">
        <f>INT(L85*L87)</f>
        <v>0</v>
      </c>
      <c r="M89" s="1154"/>
      <c r="N89" s="1153">
        <f>INT(N87*N77)</f>
        <v>0</v>
      </c>
    </row>
    <row r="90" spans="1:14" ht="20.25">
      <c r="A90" s="440"/>
      <c r="B90" s="1513"/>
      <c r="C90" s="1514"/>
      <c r="D90" s="381"/>
      <c r="E90" s="429"/>
      <c r="F90" s="1180"/>
      <c r="G90" s="380"/>
      <c r="H90" s="1181"/>
      <c r="I90" s="1169"/>
      <c r="J90" s="1152"/>
      <c r="K90" s="380"/>
      <c r="L90" s="1515"/>
      <c r="M90" s="1154"/>
      <c r="N90" s="1515"/>
    </row>
    <row r="91" spans="1:17" ht="20.25">
      <c r="A91" s="440"/>
      <c r="B91" s="1580" t="s">
        <v>1418</v>
      </c>
      <c r="C91" s="1581"/>
      <c r="D91" s="381"/>
      <c r="E91" s="429"/>
      <c r="F91" s="1180"/>
      <c r="G91" s="380"/>
      <c r="H91" s="1177">
        <f>MAX(IF(OR(I8="Y",I7="Y"),F65-((F63-F13)*0.13),F65-((F63-F13)*0.08)),0)</f>
        <v>0</v>
      </c>
      <c r="I91" s="1162"/>
      <c r="J91" s="380"/>
      <c r="K91" s="380"/>
      <c r="L91" s="1178"/>
      <c r="M91" s="1154"/>
      <c r="N91" s="1173"/>
      <c r="Q91" s="1125"/>
    </row>
    <row r="92" spans="1:17" ht="20.25">
      <c r="A92" s="440"/>
      <c r="B92" s="1580" t="s">
        <v>1557</v>
      </c>
      <c r="C92" s="1581"/>
      <c r="D92" s="381"/>
      <c r="E92" s="429"/>
      <c r="F92" s="1180"/>
      <c r="G92" s="363"/>
      <c r="H92" s="1177">
        <f>F66/2</f>
        <v>0</v>
      </c>
      <c r="I92" s="1169" t="s">
        <v>904</v>
      </c>
      <c r="J92" s="1152" t="s">
        <v>989</v>
      </c>
      <c r="K92" s="380"/>
      <c r="L92" s="383">
        <v>0.09</v>
      </c>
      <c r="M92" s="1183"/>
      <c r="N92" s="383">
        <v>0.04</v>
      </c>
      <c r="Q92" s="1125"/>
    </row>
    <row r="93" spans="1:17" ht="21">
      <c r="A93" s="440"/>
      <c r="B93" s="442"/>
      <c r="C93" s="440"/>
      <c r="D93" s="440"/>
      <c r="E93" s="440"/>
      <c r="F93" s="440"/>
      <c r="G93" s="440"/>
      <c r="H93" s="1184"/>
      <c r="I93" s="1162"/>
      <c r="J93" s="380"/>
      <c r="K93" s="380"/>
      <c r="L93" s="1157"/>
      <c r="M93" s="1154"/>
      <c r="N93" s="1152"/>
      <c r="Q93" s="1125"/>
    </row>
    <row r="94" spans="1:17" ht="21" thickBot="1">
      <c r="A94" s="440"/>
      <c r="B94" s="1171" t="s">
        <v>1138</v>
      </c>
      <c r="C94" s="1090"/>
      <c r="D94" s="440"/>
      <c r="E94" s="440"/>
      <c r="F94" s="440"/>
      <c r="G94" s="440"/>
      <c r="H94" s="1185">
        <f>+F77-SUM(H86:H92)</f>
        <v>0</v>
      </c>
      <c r="I94" s="1166"/>
      <c r="J94" s="1152" t="s">
        <v>990</v>
      </c>
      <c r="K94" s="380"/>
      <c r="L94" s="1157"/>
      <c r="M94" s="1154"/>
      <c r="N94" s="1152"/>
      <c r="Q94" s="1125"/>
    </row>
    <row r="95" spans="1:17" ht="21" thickTop="1">
      <c r="A95" s="440"/>
      <c r="B95" s="442"/>
      <c r="C95" s="440"/>
      <c r="D95" s="440"/>
      <c r="E95" s="440"/>
      <c r="F95" s="440"/>
      <c r="G95" s="440"/>
      <c r="H95" s="384"/>
      <c r="I95" s="1166" t="s">
        <v>985</v>
      </c>
      <c r="J95" s="1152" t="s">
        <v>991</v>
      </c>
      <c r="K95" s="380"/>
      <c r="L95" s="1153">
        <f>INT(L89*L92)</f>
        <v>0</v>
      </c>
      <c r="M95" s="1154"/>
      <c r="N95" s="1153">
        <f>INT(N89*N92)</f>
        <v>0</v>
      </c>
      <c r="Q95" s="1125"/>
    </row>
    <row r="96" spans="1:14" ht="20.25">
      <c r="A96" s="440"/>
      <c r="B96" s="1171" t="s">
        <v>992</v>
      </c>
      <c r="C96" s="440"/>
      <c r="D96" s="1582"/>
      <c r="E96" s="1582"/>
      <c r="F96" s="1582"/>
      <c r="G96" s="440"/>
      <c r="H96" s="1186"/>
      <c r="I96" s="380"/>
      <c r="J96" s="380"/>
      <c r="K96" s="380"/>
      <c r="L96" s="1154"/>
      <c r="M96" s="1154"/>
      <c r="N96" s="1154"/>
    </row>
    <row r="97" spans="1:14" ht="25.5" thickBot="1">
      <c r="A97" s="440"/>
      <c r="B97" s="1171" t="s">
        <v>993</v>
      </c>
      <c r="C97" s="440"/>
      <c r="D97" s="1187"/>
      <c r="E97" s="385"/>
      <c r="F97" s="1188"/>
      <c r="G97" s="363"/>
      <c r="H97" s="384"/>
      <c r="I97" s="380"/>
      <c r="J97" s="1189" t="s">
        <v>1137</v>
      </c>
      <c r="K97" s="380"/>
      <c r="L97" s="1154"/>
      <c r="M97" s="1190">
        <f>L95+N95</f>
        <v>0</v>
      </c>
      <c r="N97" s="1154"/>
    </row>
    <row r="98" spans="1:84" ht="21" thickTop="1">
      <c r="A98" s="440"/>
      <c r="B98" s="1171" t="s">
        <v>994</v>
      </c>
      <c r="C98" s="440"/>
      <c r="D98" s="1191"/>
      <c r="E98" s="385"/>
      <c r="F98" s="1192"/>
      <c r="G98" s="440"/>
      <c r="H98" s="1186"/>
      <c r="I98" s="380"/>
      <c r="J98" s="380"/>
      <c r="K98" s="363"/>
      <c r="L98" s="380"/>
      <c r="M98" s="380"/>
      <c r="N98" s="380"/>
      <c r="Q98" s="370"/>
      <c r="R98" s="370"/>
      <c r="S98" s="370"/>
      <c r="T98" s="370"/>
      <c r="U98" s="370"/>
      <c r="V98" s="370"/>
      <c r="W98" s="370"/>
      <c r="BP98" s="370"/>
      <c r="BQ98" s="370"/>
      <c r="BR98" s="370"/>
      <c r="BS98" s="370"/>
      <c r="BT98" s="370"/>
      <c r="BU98" s="370"/>
      <c r="BV98" s="370"/>
      <c r="BW98" s="370"/>
      <c r="BX98" s="370"/>
      <c r="BY98" s="370"/>
      <c r="BZ98" s="370"/>
      <c r="CA98" s="370"/>
      <c r="CB98" s="370"/>
      <c r="CC98" s="370"/>
      <c r="CD98" s="370"/>
      <c r="CE98" s="370"/>
      <c r="CF98" s="370"/>
    </row>
    <row r="99" spans="1:14" ht="12.75">
      <c r="A99" s="440"/>
      <c r="B99" s="442"/>
      <c r="C99" s="440"/>
      <c r="D99" s="440"/>
      <c r="E99" s="440"/>
      <c r="F99" s="440"/>
      <c r="G99" s="440"/>
      <c r="H99" s="1186"/>
      <c r="I99" s="380"/>
      <c r="J99" s="380"/>
      <c r="K99" s="363"/>
      <c r="L99" s="363"/>
      <c r="M99" s="386"/>
      <c r="N99" s="380"/>
    </row>
    <row r="100" spans="1:14" ht="13.5" thickBot="1">
      <c r="A100" s="440"/>
      <c r="B100" s="442"/>
      <c r="C100" s="440"/>
      <c r="D100" s="440"/>
      <c r="E100" s="440"/>
      <c r="F100" s="440"/>
      <c r="G100" s="440"/>
      <c r="H100" s="384"/>
      <c r="I100" s="380"/>
      <c r="J100" s="380"/>
      <c r="K100" s="380"/>
      <c r="L100" s="380"/>
      <c r="M100" s="380"/>
      <c r="N100" s="380"/>
    </row>
    <row r="101" spans="2:14" ht="25.5" thickBot="1" thickTop="1">
      <c r="B101" s="1171" t="s">
        <v>1139</v>
      </c>
      <c r="C101" s="1090"/>
      <c r="D101" s="440"/>
      <c r="E101" s="440"/>
      <c r="F101" s="440"/>
      <c r="G101" s="440"/>
      <c r="H101" s="387">
        <f>IF(OR(D97=0,D97="",D98=0,D98=""),"",+H94/10/D98/D97)</f>
      </c>
      <c r="I101" s="380"/>
      <c r="J101" s="1193" t="str">
        <f>IF(OR(EligBasisLimits!C14="Y",EligBasisLimits!C14="YES",EligBasisLimits!C14="y",EligBasisLimits!C14="yes"),"Aggregate Basis Test","Carryover Test")</f>
        <v>Carryover Test</v>
      </c>
      <c r="K101" s="1194"/>
      <c r="L101" s="1195" t="e">
        <f>IF(J101="Carryover Test",INT(0.101*Carryover!G77),INT(0.501*SUM(Breakdown!F63:F67)))</f>
        <v>#VALUE!</v>
      </c>
      <c r="M101" s="362"/>
      <c r="N101" s="362"/>
    </row>
    <row r="102" spans="2:16" ht="21" thickTop="1">
      <c r="B102" s="1171"/>
      <c r="D102" s="362"/>
      <c r="E102" s="362"/>
      <c r="F102" s="362"/>
      <c r="G102" s="362"/>
      <c r="H102" s="1196"/>
      <c r="I102" s="380"/>
      <c r="J102" s="1197" t="s">
        <v>1558</v>
      </c>
      <c r="K102" s="380"/>
      <c r="L102" s="1396">
        <f>IF(OR(EligBasisLimits!$C$16=0,EligBasisLimits!$C$16=""),"",+(Breakdown!F77-H91-H92-F71-F72-F73-F74-F75-F76-H19-J19-L103)/EligBasisLimits!$C$16)</f>
      </c>
      <c r="M102" s="862" t="s">
        <v>1559</v>
      </c>
      <c r="N102" s="863"/>
      <c r="O102" s="864"/>
      <c r="P102" s="864"/>
    </row>
    <row r="103" spans="2:14" ht="20.25">
      <c r="B103" s="1171">
        <f>IF(OR(H101="",H101=0,H101&lt;M97),"","Funding Gap")</f>
      </c>
      <c r="D103" s="362"/>
      <c r="E103" s="362"/>
      <c r="F103" s="362"/>
      <c r="G103" s="362"/>
      <c r="H103" s="388">
        <f>IF(B103="Funding Gap",(H101-M97)*10*D97*D98,"")</f>
      </c>
      <c r="I103" s="380"/>
      <c r="J103" s="1197" t="s">
        <v>1560</v>
      </c>
      <c r="K103" s="380"/>
      <c r="L103" s="1396" t="e">
        <f>(IF(ISBLANK(F21),"0",(MIN(10000*EligBasisLimits!C16,F21,400000))))</f>
        <v>#VALUE!</v>
      </c>
      <c r="M103" s="362"/>
      <c r="N103" s="362"/>
    </row>
    <row r="104" spans="2:14" ht="21" thickBot="1">
      <c r="B104" s="389"/>
      <c r="C104" s="390"/>
      <c r="D104" s="390"/>
      <c r="E104" s="390"/>
      <c r="F104" s="391"/>
      <c r="G104" s="391"/>
      <c r="H104" s="392"/>
      <c r="J104" s="1198" t="s">
        <v>995</v>
      </c>
      <c r="K104" s="1199"/>
      <c r="L104" s="1200">
        <f>IF(OR(EligBasisLimits!$C$16=0,EligBasisLimits!$C$16=""),"",SUM(F18:F34)/EligBasisLimits!$C$16)</f>
      </c>
      <c r="N104" s="395"/>
    </row>
    <row r="105" spans="7:14" ht="8.25" customHeight="1" thickTop="1">
      <c r="G105" s="394"/>
      <c r="H105" s="394"/>
      <c r="J105" s="395"/>
      <c r="N105" s="395"/>
    </row>
    <row r="106" spans="7:10" ht="12.75">
      <c r="G106" s="394"/>
      <c r="H106" s="394"/>
      <c r="J106" s="395"/>
    </row>
    <row r="107" spans="7:10" ht="12.75">
      <c r="G107" s="394"/>
      <c r="H107" s="394"/>
      <c r="J107" s="395"/>
    </row>
    <row r="108" spans="7:10" ht="12.75">
      <c r="G108" s="394"/>
      <c r="H108" s="394"/>
      <c r="J108" s="395"/>
    </row>
    <row r="109" ht="12.75">
      <c r="J109" s="395"/>
    </row>
    <row r="110" spans="7:10" ht="12.75">
      <c r="G110" s="394"/>
      <c r="H110" s="394"/>
      <c r="J110" s="395"/>
    </row>
    <row r="111" spans="7:8" ht="12.75">
      <c r="G111" s="394"/>
      <c r="H111" s="394"/>
    </row>
    <row r="112" spans="7:8" ht="12.75">
      <c r="G112" s="394"/>
      <c r="H112" s="394"/>
    </row>
    <row r="113" spans="7:8" ht="12.75">
      <c r="G113" s="394"/>
      <c r="H113" s="394"/>
    </row>
    <row r="114" spans="7:8" ht="12.75">
      <c r="G114" s="394"/>
      <c r="H114" s="394"/>
    </row>
    <row r="115" spans="7:15" ht="12.75">
      <c r="G115" s="394"/>
      <c r="H115" s="394"/>
      <c r="O115" s="370"/>
    </row>
    <row r="116" spans="7:15" ht="12.75">
      <c r="G116" s="394"/>
      <c r="H116" s="394"/>
      <c r="O116" s="370"/>
    </row>
    <row r="117" spans="7:15" ht="12.75">
      <c r="G117" s="394"/>
      <c r="H117" s="394"/>
      <c r="M117" s="393"/>
      <c r="O117" s="370"/>
    </row>
    <row r="118" spans="7:15" ht="12.75">
      <c r="G118" s="394"/>
      <c r="H118" s="394"/>
      <c r="M118" s="393"/>
      <c r="O118" s="370"/>
    </row>
    <row r="119" spans="7:15" ht="12.75">
      <c r="G119" s="394"/>
      <c r="H119" s="394"/>
      <c r="M119" s="393"/>
      <c r="O119" s="370"/>
    </row>
    <row r="120" spans="7:15" ht="12.75">
      <c r="G120" s="394"/>
      <c r="H120" s="394"/>
      <c r="M120" s="393"/>
      <c r="O120" s="370"/>
    </row>
    <row r="121" spans="13:15" ht="12.75">
      <c r="M121" s="393"/>
      <c r="O121" s="370"/>
    </row>
    <row r="122" spans="7:8" ht="12.75">
      <c r="G122" s="394"/>
      <c r="H122" s="394"/>
    </row>
    <row r="123" ht="12.75">
      <c r="M123" s="393"/>
    </row>
    <row r="124" spans="7:8" ht="12.75">
      <c r="G124" s="394"/>
      <c r="H124" s="394"/>
    </row>
    <row r="125" spans="7:8" ht="12.75">
      <c r="G125" s="394"/>
      <c r="H125" s="394"/>
    </row>
    <row r="126" spans="7:8" ht="12.75">
      <c r="G126" s="394"/>
      <c r="H126" s="394"/>
    </row>
    <row r="127" spans="7:8" ht="12.75">
      <c r="G127" s="394"/>
      <c r="H127" s="394"/>
    </row>
    <row r="128" spans="7:8" ht="12.75">
      <c r="G128" s="394"/>
      <c r="H128" s="394"/>
    </row>
    <row r="129" spans="7:15" ht="12.75">
      <c r="G129" s="394"/>
      <c r="H129" s="394"/>
      <c r="O129" s="370"/>
    </row>
    <row r="130" spans="4:15" ht="12.75">
      <c r="D130" s="370"/>
      <c r="E130" s="370"/>
      <c r="M130" s="393"/>
      <c r="O130" s="370"/>
    </row>
    <row r="131" spans="4:15" ht="12.75">
      <c r="D131" s="370"/>
      <c r="E131" s="370"/>
      <c r="M131" s="393"/>
      <c r="O131" s="370"/>
    </row>
    <row r="132" spans="4:15" ht="12.75">
      <c r="D132" s="370"/>
      <c r="E132" s="370"/>
      <c r="M132" s="393"/>
      <c r="O132" s="370"/>
    </row>
    <row r="133" spans="4:15" ht="12.75">
      <c r="D133" s="370"/>
      <c r="E133" s="370"/>
      <c r="M133" s="393"/>
      <c r="O133" s="370"/>
    </row>
    <row r="134" spans="4:15" ht="12.75">
      <c r="D134" s="370"/>
      <c r="E134" s="370"/>
      <c r="M134" s="393"/>
      <c r="O134" s="370"/>
    </row>
    <row r="135" spans="4:15" ht="12.75">
      <c r="D135" s="370"/>
      <c r="E135" s="370"/>
      <c r="M135" s="393"/>
      <c r="O135" s="370"/>
    </row>
    <row r="136" spans="7:8" ht="12.75">
      <c r="G136" s="394"/>
      <c r="H136" s="394"/>
    </row>
    <row r="137" spans="4:15" ht="12.75">
      <c r="D137" s="370"/>
      <c r="E137" s="370"/>
      <c r="M137" s="393"/>
      <c r="O137" s="370"/>
    </row>
    <row r="138" spans="4:15" ht="12.75">
      <c r="D138" s="370"/>
      <c r="E138" s="370"/>
      <c r="M138" s="393"/>
      <c r="O138" s="370"/>
    </row>
    <row r="139" spans="4:15" ht="12.75">
      <c r="D139" s="370"/>
      <c r="E139" s="370"/>
      <c r="M139" s="393"/>
      <c r="O139" s="370"/>
    </row>
  </sheetData>
  <sheetProtection password="EE60" sheet="1"/>
  <mergeCells count="9">
    <mergeCell ref="B91:C91"/>
    <mergeCell ref="B92:C92"/>
    <mergeCell ref="D96:F96"/>
    <mergeCell ref="C5:D5"/>
    <mergeCell ref="C6:D6"/>
    <mergeCell ref="C7:D7"/>
    <mergeCell ref="B86:C86"/>
    <mergeCell ref="B88:C88"/>
    <mergeCell ref="B89:C89"/>
  </mergeCells>
  <printOptions horizontalCentered="1" verticalCentered="1"/>
  <pageMargins left="0.25" right="0.25" top="0.5" bottom="0.25" header="0.25" footer="0.25"/>
  <pageSetup fitToHeight="1" fitToWidth="1" horizontalDpi="600" verticalDpi="600" orientation="portrait" paperSize="5" scale="41" r:id="rId1"/>
  <headerFooter alignWithMargins="0">
    <oddHeader>&amp;L&amp;16&amp;YUnified Application for Housing Production Programs&amp;R&amp;16&amp;Yrevised - &amp;D</oddHeader>
  </headerFooter>
</worksheet>
</file>

<file path=xl/worksheets/sheet5.xml><?xml version="1.0" encoding="utf-8"?>
<worksheet xmlns="http://schemas.openxmlformats.org/spreadsheetml/2006/main" xmlns:r="http://schemas.openxmlformats.org/officeDocument/2006/relationships">
  <sheetPr codeName="Sheet2"/>
  <dimension ref="A1:J85"/>
  <sheetViews>
    <sheetView zoomScalePageLayoutView="0" workbookViewId="0" topLeftCell="A1">
      <selection activeCell="C6" sqref="C6"/>
    </sheetView>
  </sheetViews>
  <sheetFormatPr defaultColWidth="8.88671875" defaultRowHeight="15"/>
  <cols>
    <col min="1" max="1" width="8.88671875" style="478" customWidth="1"/>
    <col min="2" max="2" width="7.10546875" style="478" customWidth="1"/>
    <col min="3" max="3" width="12.4453125" style="478" customWidth="1"/>
    <col min="4" max="4" width="11.77734375" style="478" customWidth="1"/>
    <col min="5" max="5" width="2.21484375" style="478" customWidth="1"/>
    <col min="6" max="6" width="12.77734375" style="478" customWidth="1"/>
    <col min="7" max="7" width="5.10546875" style="478" customWidth="1"/>
    <col min="8" max="8" width="10.99609375" style="478" customWidth="1"/>
    <col min="9" max="9" width="4.3359375" style="0" customWidth="1"/>
    <col min="10" max="10" width="11.10546875" style="0" customWidth="1"/>
  </cols>
  <sheetData>
    <row r="1" spans="1:8" ht="15">
      <c r="A1" s="510"/>
      <c r="B1" s="510"/>
      <c r="D1" s="511" t="s">
        <v>686</v>
      </c>
      <c r="E1" s="512"/>
      <c r="F1" s="513"/>
      <c r="G1" s="510"/>
      <c r="H1" s="510"/>
    </row>
    <row r="2" spans="1:8" ht="15">
      <c r="A2" s="510"/>
      <c r="B2" s="510"/>
      <c r="C2" s="510"/>
      <c r="D2" s="510"/>
      <c r="E2" s="510"/>
      <c r="F2" s="510"/>
      <c r="G2" s="510"/>
      <c r="H2" s="510"/>
    </row>
    <row r="3" spans="1:8" ht="15">
      <c r="A3" s="510"/>
      <c r="B3" s="510"/>
      <c r="C3" s="510"/>
      <c r="D3" s="510"/>
      <c r="E3" s="510"/>
      <c r="F3" s="510"/>
      <c r="G3" s="590" t="s">
        <v>615</v>
      </c>
      <c r="H3" s="510">
        <f>'FORM-10 (A-F)'!HMFA</f>
        <v>0</v>
      </c>
    </row>
    <row r="4" spans="1:8" ht="15.75" thickBot="1">
      <c r="A4" s="514" t="s">
        <v>918</v>
      </c>
      <c r="B4" s="510"/>
      <c r="C4" s="515">
        <f>'FORM-10 (A-F)'!DEV_NAME</f>
        <v>0</v>
      </c>
      <c r="D4" s="516"/>
      <c r="E4" s="516"/>
      <c r="F4" s="517" t="s">
        <v>687</v>
      </c>
      <c r="G4" s="510"/>
      <c r="H4" s="518">
        <f>'FORM-10 (A-F)'!J215</f>
        <v>0</v>
      </c>
    </row>
    <row r="5" spans="1:8" ht="15.75" thickTop="1">
      <c r="A5" s="510"/>
      <c r="B5" s="510"/>
      <c r="C5" s="510"/>
      <c r="D5" s="510"/>
      <c r="E5" s="510"/>
      <c r="F5" s="510"/>
      <c r="G5" s="510"/>
      <c r="H5" s="510"/>
    </row>
    <row r="6" spans="1:8" ht="15.75" thickBot="1">
      <c r="A6" s="514" t="s">
        <v>688</v>
      </c>
      <c r="B6" s="510"/>
      <c r="C6" s="986">
        <f>'FORM-10 (A-F)'!C29</f>
        <v>0</v>
      </c>
      <c r="D6" s="510"/>
      <c r="E6" s="510"/>
      <c r="F6" s="514" t="s">
        <v>689</v>
      </c>
      <c r="G6" s="510"/>
      <c r="H6" s="519">
        <f>'FORM-10 (A-F)'!NETRNTAR</f>
        <v>0</v>
      </c>
    </row>
    <row r="7" spans="1:8" ht="15.75" thickTop="1">
      <c r="A7" s="520"/>
      <c r="B7" s="510"/>
      <c r="C7" s="521"/>
      <c r="D7" s="510"/>
      <c r="E7" s="510"/>
      <c r="F7" s="510"/>
      <c r="G7" s="510"/>
      <c r="H7" s="510"/>
    </row>
    <row r="8" spans="1:8" ht="15.75" thickBot="1">
      <c r="A8" s="510" t="s">
        <v>690</v>
      </c>
      <c r="B8" s="510"/>
      <c r="C8" s="510"/>
      <c r="D8" s="522">
        <f>'FORM-10 (A-F)'!J123</f>
        <v>0</v>
      </c>
      <c r="E8" s="510"/>
      <c r="F8" s="510"/>
      <c r="G8" s="510"/>
      <c r="H8" s="510"/>
    </row>
    <row r="9" spans="1:8" ht="16.5" thickBot="1" thickTop="1">
      <c r="A9" s="510" t="s">
        <v>691</v>
      </c>
      <c r="B9" s="510"/>
      <c r="C9" s="510"/>
      <c r="D9" s="522">
        <f>CONSTR</f>
        <v>0</v>
      </c>
      <c r="E9" s="510"/>
      <c r="F9" s="510"/>
      <c r="G9" s="510"/>
      <c r="H9" s="510"/>
    </row>
    <row r="10" spans="1:8" ht="16.5" thickBot="1" thickTop="1">
      <c r="A10" s="510" t="s">
        <v>692</v>
      </c>
      <c r="B10" s="510"/>
      <c r="C10" s="510"/>
      <c r="D10" s="522">
        <f>'FORM-10 (A-F)'!J156</f>
        <v>0</v>
      </c>
      <c r="E10" s="510"/>
      <c r="F10" s="510"/>
      <c r="G10" s="510"/>
      <c r="H10" s="510"/>
    </row>
    <row r="11" spans="1:8" ht="16.5" thickBot="1" thickTop="1">
      <c r="A11" s="510" t="s">
        <v>693</v>
      </c>
      <c r="B11" s="510"/>
      <c r="C11" s="510"/>
      <c r="D11" s="522">
        <f>'FORM-10 (A-F)'!J140</f>
        <v>0</v>
      </c>
      <c r="E11" s="510"/>
      <c r="F11" s="510"/>
      <c r="G11" s="510"/>
      <c r="H11" s="510"/>
    </row>
    <row r="12" spans="1:8" ht="15.75" thickTop="1">
      <c r="A12" s="510"/>
      <c r="B12" s="510"/>
      <c r="C12" s="510"/>
      <c r="D12" s="510"/>
      <c r="E12" s="510"/>
      <c r="F12" s="510"/>
      <c r="G12" s="590" t="s">
        <v>685</v>
      </c>
      <c r="H12" s="523">
        <f>'FORM-10 (A-F)'!G8</f>
        <v>0</v>
      </c>
    </row>
    <row r="13" spans="1:10" ht="15">
      <c r="A13" s="511" t="s">
        <v>694</v>
      </c>
      <c r="B13" s="510"/>
      <c r="C13" s="510"/>
      <c r="D13" s="510"/>
      <c r="E13" s="510"/>
      <c r="F13" s="510"/>
      <c r="G13" s="510"/>
      <c r="H13" s="510"/>
      <c r="J13" t="s">
        <v>1399</v>
      </c>
    </row>
    <row r="14" spans="1:10" ht="15">
      <c r="A14" s="510"/>
      <c r="B14" s="510"/>
      <c r="C14" s="510"/>
      <c r="D14" s="510"/>
      <c r="E14" s="510"/>
      <c r="F14" s="510"/>
      <c r="G14" s="510"/>
      <c r="H14" s="510"/>
      <c r="J14" t="s">
        <v>1400</v>
      </c>
    </row>
    <row r="15" spans="1:10" ht="15">
      <c r="A15" s="510" t="s">
        <v>695</v>
      </c>
      <c r="B15" s="510"/>
      <c r="C15" s="510"/>
      <c r="D15" s="524">
        <f>D8</f>
        <v>0</v>
      </c>
      <c r="E15" s="525"/>
      <c r="F15" s="526">
        <f aca="true" t="shared" si="0" ref="F15:F21">IF($D15&lt;&gt;0,(D15/$C$6),0)</f>
        <v>0</v>
      </c>
      <c r="G15" s="527" t="s">
        <v>696</v>
      </c>
      <c r="H15" s="526">
        <f aca="true" t="shared" si="1" ref="H15:H21">IF($D15&lt;&gt;0,($D15/$H$6),0)</f>
        <v>0</v>
      </c>
      <c r="I15" s="527" t="s">
        <v>697</v>
      </c>
      <c r="J15" s="850">
        <f>IF($H$4&lt;&gt;0,D15/$H$4,0)</f>
        <v>0</v>
      </c>
    </row>
    <row r="16" spans="1:10" ht="15">
      <c r="A16" s="841" t="s">
        <v>1387</v>
      </c>
      <c r="B16" s="510"/>
      <c r="C16" s="510"/>
      <c r="D16" s="524">
        <f>D9</f>
        <v>0</v>
      </c>
      <c r="E16" s="525"/>
      <c r="F16" s="526">
        <f t="shared" si="0"/>
        <v>0</v>
      </c>
      <c r="G16" s="527" t="s">
        <v>696</v>
      </c>
      <c r="H16" s="526">
        <f t="shared" si="1"/>
        <v>0</v>
      </c>
      <c r="I16" s="527" t="s">
        <v>697</v>
      </c>
      <c r="J16" s="850">
        <f aca="true" t="shared" si="2" ref="J16:J21">IF($H$4&lt;&gt;0,D16/$H$4,0)</f>
        <v>0</v>
      </c>
    </row>
    <row r="17" spans="1:10" ht="15">
      <c r="A17" s="841" t="s">
        <v>1388</v>
      </c>
      <c r="B17" s="510"/>
      <c r="C17" s="510"/>
      <c r="D17" s="524">
        <f>'FORM-10 (A-F)'!J143</f>
        <v>0</v>
      </c>
      <c r="E17" s="525"/>
      <c r="F17" s="526">
        <f t="shared" si="0"/>
        <v>0</v>
      </c>
      <c r="G17" s="527" t="s">
        <v>696</v>
      </c>
      <c r="H17" s="526">
        <f t="shared" si="1"/>
        <v>0</v>
      </c>
      <c r="I17" s="527" t="s">
        <v>697</v>
      </c>
      <c r="J17" s="850">
        <f t="shared" si="2"/>
        <v>0</v>
      </c>
    </row>
    <row r="18" spans="1:10" ht="15">
      <c r="A18" s="510" t="s">
        <v>698</v>
      </c>
      <c r="B18" s="510"/>
      <c r="C18" s="510"/>
      <c r="D18" s="984">
        <f>D11</f>
        <v>0</v>
      </c>
      <c r="E18" s="525"/>
      <c r="F18" s="526">
        <f t="shared" si="0"/>
        <v>0</v>
      </c>
      <c r="G18" s="527" t="s">
        <v>696</v>
      </c>
      <c r="H18" s="526">
        <f t="shared" si="1"/>
        <v>0</v>
      </c>
      <c r="I18" s="527" t="s">
        <v>697</v>
      </c>
      <c r="J18" s="850">
        <f t="shared" si="2"/>
        <v>0</v>
      </c>
    </row>
    <row r="19" spans="1:10" ht="15">
      <c r="A19" s="510" t="s">
        <v>692</v>
      </c>
      <c r="B19" s="510"/>
      <c r="C19" s="510"/>
      <c r="D19" s="524">
        <f>D10</f>
        <v>0</v>
      </c>
      <c r="E19" s="525"/>
      <c r="F19" s="526">
        <f t="shared" si="0"/>
        <v>0</v>
      </c>
      <c r="G19" s="527" t="s">
        <v>696</v>
      </c>
      <c r="H19" s="526">
        <f t="shared" si="1"/>
        <v>0</v>
      </c>
      <c r="I19" s="527" t="s">
        <v>697</v>
      </c>
      <c r="J19" s="850">
        <f t="shared" si="2"/>
        <v>0</v>
      </c>
    </row>
    <row r="20" spans="1:10" ht="15">
      <c r="A20" s="841" t="s">
        <v>1390</v>
      </c>
      <c r="B20" s="510"/>
      <c r="C20" s="510"/>
      <c r="D20" s="524">
        <f>'FORM-10 (A-F)'!J177</f>
        <v>0</v>
      </c>
      <c r="E20" s="525"/>
      <c r="F20" s="526">
        <f t="shared" si="0"/>
        <v>0</v>
      </c>
      <c r="G20" s="527" t="s">
        <v>696</v>
      </c>
      <c r="H20" s="526">
        <f t="shared" si="1"/>
        <v>0</v>
      </c>
      <c r="I20" s="527" t="s">
        <v>697</v>
      </c>
      <c r="J20" s="850">
        <f t="shared" si="2"/>
        <v>0</v>
      </c>
    </row>
    <row r="21" spans="1:10" ht="15">
      <c r="A21" s="842" t="s">
        <v>1389</v>
      </c>
      <c r="B21" s="528"/>
      <c r="C21" s="510"/>
      <c r="D21" s="529">
        <f>H4-SUM(D15:D20)</f>
        <v>0</v>
      </c>
      <c r="E21" s="525"/>
      <c r="F21" s="526">
        <f t="shared" si="0"/>
        <v>0</v>
      </c>
      <c r="G21" s="527" t="s">
        <v>696</v>
      </c>
      <c r="H21" s="526">
        <f t="shared" si="1"/>
        <v>0</v>
      </c>
      <c r="I21" s="527" t="s">
        <v>697</v>
      </c>
      <c r="J21" s="850">
        <f t="shared" si="2"/>
        <v>0</v>
      </c>
    </row>
    <row r="22" ht="15">
      <c r="J22" s="850"/>
    </row>
    <row r="23" spans="1:10" ht="15">
      <c r="A23" s="514" t="s">
        <v>699</v>
      </c>
      <c r="B23" s="510"/>
      <c r="C23" s="510"/>
      <c r="D23" s="530">
        <f>SUM(D15:D21)</f>
        <v>0</v>
      </c>
      <c r="E23" s="525"/>
      <c r="F23" s="526">
        <f>IF($D23&lt;&gt;0,(D23/$C$6),0)</f>
        <v>0</v>
      </c>
      <c r="G23" s="527" t="s">
        <v>696</v>
      </c>
      <c r="H23" s="526">
        <f>IF($D23&lt;&gt;0,($D23/$H$6),0)</f>
        <v>0</v>
      </c>
      <c r="I23" s="527" t="s">
        <v>697</v>
      </c>
      <c r="J23" s="850">
        <f>SUM(J15:J21)</f>
        <v>0</v>
      </c>
    </row>
    <row r="24" spans="1:8" ht="15">
      <c r="A24" s="510"/>
      <c r="B24" s="510"/>
      <c r="C24" s="510"/>
      <c r="D24" s="510"/>
      <c r="E24" s="510"/>
      <c r="F24" s="510"/>
      <c r="G24" s="510"/>
      <c r="H24" s="510"/>
    </row>
    <row r="25" spans="1:8" ht="15">
      <c r="A25" s="531" t="s">
        <v>700</v>
      </c>
      <c r="B25" s="531"/>
      <c r="C25" s="531"/>
      <c r="D25" s="510"/>
      <c r="E25" s="510"/>
      <c r="F25" s="532"/>
      <c r="G25" s="510"/>
      <c r="H25" s="510"/>
    </row>
    <row r="26" spans="1:8" ht="15">
      <c r="A26" s="533" t="s">
        <v>701</v>
      </c>
      <c r="B26" s="531"/>
      <c r="C26" s="531"/>
      <c r="D26" s="510"/>
      <c r="E26" s="510"/>
      <c r="F26" s="532"/>
      <c r="G26" s="510"/>
      <c r="H26" s="510"/>
    </row>
    <row r="27" spans="1:8" ht="15">
      <c r="A27" s="591" t="s">
        <v>616</v>
      </c>
      <c r="B27" s="534"/>
      <c r="C27" s="510"/>
      <c r="D27" s="535">
        <f>'FORM-10 (A-F)'!FUNDA_AMT</f>
        <v>0</v>
      </c>
      <c r="E27" s="510"/>
      <c r="F27" s="526">
        <f>IF(D27&lt;&gt;0,(D27/$C$6),0)</f>
        <v>0</v>
      </c>
      <c r="G27" s="527" t="s">
        <v>696</v>
      </c>
      <c r="H27" s="510"/>
    </row>
    <row r="28" spans="1:8" ht="15">
      <c r="A28" s="591" t="s">
        <v>1152</v>
      </c>
      <c r="B28" s="534"/>
      <c r="C28" s="510"/>
      <c r="D28" s="535">
        <f>'FORM-10 (A-F)'!F227</f>
        <v>0</v>
      </c>
      <c r="E28" s="510"/>
      <c r="F28" s="526">
        <f aca="true" t="shared" si="3" ref="F28:F37">IF(D28&lt;&gt;0,(D28/$C$6),0)</f>
        <v>0</v>
      </c>
      <c r="G28" s="527" t="s">
        <v>696</v>
      </c>
      <c r="H28" s="510"/>
    </row>
    <row r="29" spans="1:8" ht="15">
      <c r="A29" s="978" t="s">
        <v>1529</v>
      </c>
      <c r="B29" s="534"/>
      <c r="C29" s="510"/>
      <c r="D29" s="535">
        <f>'FORM-10 (A-F)'!F110</f>
        <v>0</v>
      </c>
      <c r="E29" s="510"/>
      <c r="F29" s="526">
        <f t="shared" si="3"/>
        <v>0</v>
      </c>
      <c r="G29" s="527" t="s">
        <v>696</v>
      </c>
      <c r="H29" s="510"/>
    </row>
    <row r="30" spans="1:8" ht="15">
      <c r="A30" s="982" t="s">
        <v>1530</v>
      </c>
      <c r="B30" s="534"/>
      <c r="C30" s="510"/>
      <c r="D30" s="535">
        <f>'FORM-10 (A-F)'!FUNDE_AMT</f>
        <v>0</v>
      </c>
      <c r="E30" s="510"/>
      <c r="F30" s="526">
        <f t="shared" si="3"/>
        <v>0</v>
      </c>
      <c r="G30" s="527" t="s">
        <v>696</v>
      </c>
      <c r="H30" s="510"/>
    </row>
    <row r="31" spans="1:8" ht="15">
      <c r="A31" s="592"/>
      <c r="B31" s="534"/>
      <c r="C31" s="510"/>
      <c r="D31" s="535"/>
      <c r="E31" s="510"/>
      <c r="F31" s="526">
        <f t="shared" si="3"/>
        <v>0</v>
      </c>
      <c r="G31" s="527" t="s">
        <v>696</v>
      </c>
      <c r="H31" s="510"/>
    </row>
    <row r="32" spans="1:8" ht="15">
      <c r="A32" s="591" t="s">
        <v>617</v>
      </c>
      <c r="B32" s="534"/>
      <c r="C32" s="510"/>
      <c r="D32" s="535"/>
      <c r="E32" s="510"/>
      <c r="F32" s="526">
        <f t="shared" si="3"/>
        <v>0</v>
      </c>
      <c r="G32" s="527" t="s">
        <v>696</v>
      </c>
      <c r="H32" s="510"/>
    </row>
    <row r="33" spans="1:8" ht="15">
      <c r="A33" s="591" t="s">
        <v>702</v>
      </c>
      <c r="B33" s="534"/>
      <c r="C33" s="510"/>
      <c r="D33" s="535">
        <f>'FORM-10 (A-F)'!FUNDC_AMT+'FORM-10 (A-F)'!J198+'FORM-10 (A-F)'!J199</f>
        <v>0</v>
      </c>
      <c r="E33" s="510"/>
      <c r="F33" s="526">
        <f t="shared" si="3"/>
        <v>0</v>
      </c>
      <c r="G33" s="527" t="s">
        <v>696</v>
      </c>
      <c r="H33" s="510"/>
    </row>
    <row r="34" spans="1:8" ht="15">
      <c r="A34" s="591" t="s">
        <v>618</v>
      </c>
      <c r="B34" s="534"/>
      <c r="C34" s="510"/>
      <c r="D34" s="535"/>
      <c r="E34" s="510"/>
      <c r="F34" s="526">
        <f t="shared" si="3"/>
        <v>0</v>
      </c>
      <c r="G34" s="527" t="s">
        <v>696</v>
      </c>
      <c r="H34" s="510"/>
    </row>
    <row r="35" spans="1:8" ht="15">
      <c r="A35" s="591" t="s">
        <v>1153</v>
      </c>
      <c r="B35" s="534"/>
      <c r="C35" s="510"/>
      <c r="D35" s="535">
        <f>'FORM-10 (A-F)'!F144</f>
        <v>0</v>
      </c>
      <c r="E35" s="510"/>
      <c r="F35" s="526">
        <f t="shared" si="3"/>
        <v>0</v>
      </c>
      <c r="G35" s="527" t="s">
        <v>696</v>
      </c>
      <c r="H35" s="510"/>
    </row>
    <row r="36" spans="1:8" ht="15">
      <c r="A36" s="591" t="s">
        <v>619</v>
      </c>
      <c r="B36" s="534"/>
      <c r="C36" s="510"/>
      <c r="D36" s="535"/>
      <c r="E36" s="510"/>
      <c r="F36" s="526">
        <f t="shared" si="3"/>
        <v>0</v>
      </c>
      <c r="G36" s="527" t="s">
        <v>696</v>
      </c>
      <c r="H36" s="510"/>
    </row>
    <row r="37" spans="1:8" ht="15">
      <c r="A37" s="535"/>
      <c r="B37" s="535"/>
      <c r="C37" s="510"/>
      <c r="D37" s="535"/>
      <c r="E37" s="510"/>
      <c r="F37" s="526">
        <f t="shared" si="3"/>
        <v>0</v>
      </c>
      <c r="G37" s="527" t="s">
        <v>696</v>
      </c>
      <c r="H37" s="510"/>
    </row>
    <row r="38" spans="1:8" ht="15">
      <c r="A38" s="510" t="s">
        <v>620</v>
      </c>
      <c r="B38" s="510"/>
      <c r="C38" s="510"/>
      <c r="D38" s="536">
        <f>SUM(D27:D37)</f>
        <v>0</v>
      </c>
      <c r="E38" s="510"/>
      <c r="F38" s="525"/>
      <c r="G38" s="510"/>
      <c r="H38" s="510"/>
    </row>
    <row r="39" spans="1:8" ht="15">
      <c r="A39" s="510"/>
      <c r="B39" s="510"/>
      <c r="C39" s="510"/>
      <c r="D39" s="537"/>
      <c r="E39" s="510"/>
      <c r="F39" s="538"/>
      <c r="G39" s="510"/>
      <c r="H39" s="510"/>
    </row>
    <row r="40" spans="1:8" ht="15">
      <c r="A40" s="510"/>
      <c r="B40" s="510"/>
      <c r="C40" s="510" t="s">
        <v>1045</v>
      </c>
      <c r="D40" s="539">
        <f>D23-D38</f>
        <v>0</v>
      </c>
      <c r="E40" s="510"/>
      <c r="F40" s="526">
        <f aca="true" t="shared" si="4" ref="F40:F48">IF(D40&lt;&gt;0,(D40/$C$6),0)</f>
        <v>0</v>
      </c>
      <c r="G40" s="527" t="s">
        <v>696</v>
      </c>
      <c r="H40" s="510"/>
    </row>
    <row r="41" spans="1:8" ht="15">
      <c r="A41" s="510"/>
      <c r="B41" s="510"/>
      <c r="C41" s="510"/>
      <c r="D41" s="539"/>
      <c r="E41" s="510"/>
      <c r="F41" s="526"/>
      <c r="G41" s="527"/>
      <c r="H41" s="510"/>
    </row>
    <row r="42" spans="2:8" ht="15">
      <c r="B42" s="510"/>
      <c r="C42" s="510"/>
      <c r="D42" s="539"/>
      <c r="E42" s="510"/>
      <c r="F42" s="526"/>
      <c r="G42" s="527"/>
      <c r="H42" s="510"/>
    </row>
    <row r="43" spans="1:8" ht="15">
      <c r="A43" s="540" t="s">
        <v>706</v>
      </c>
      <c r="B43" s="510"/>
      <c r="C43" s="510"/>
      <c r="D43" s="539"/>
      <c r="E43" s="510"/>
      <c r="F43" s="526"/>
      <c r="G43" s="527"/>
      <c r="H43" s="510"/>
    </row>
    <row r="44" spans="1:8" ht="15">
      <c r="A44" s="511" t="s">
        <v>707</v>
      </c>
      <c r="B44" s="510"/>
      <c r="C44" s="510"/>
      <c r="D44" s="537"/>
      <c r="E44" s="510"/>
      <c r="F44" s="526"/>
      <c r="G44" s="527"/>
      <c r="H44" s="510"/>
    </row>
    <row r="45" spans="1:8" ht="15">
      <c r="A45" s="591" t="s">
        <v>621</v>
      </c>
      <c r="B45" s="541"/>
      <c r="C45" s="541"/>
      <c r="D45" s="979">
        <f>'FORM-10 (A-F)'!F225</f>
        <v>0</v>
      </c>
      <c r="E45" s="510"/>
      <c r="F45" s="526">
        <f t="shared" si="4"/>
        <v>0</v>
      </c>
      <c r="G45" s="527" t="s">
        <v>696</v>
      </c>
      <c r="H45" s="510"/>
    </row>
    <row r="46" spans="1:8" ht="15">
      <c r="A46" s="591" t="s">
        <v>622</v>
      </c>
      <c r="B46" s="541"/>
      <c r="C46" s="541"/>
      <c r="D46" s="535">
        <f>'FORM-10 (A-F)'!F226</f>
        <v>0</v>
      </c>
      <c r="E46" s="510"/>
      <c r="F46" s="526">
        <f t="shared" si="4"/>
        <v>0</v>
      </c>
      <c r="G46" s="527" t="s">
        <v>696</v>
      </c>
      <c r="H46" s="510"/>
    </row>
    <row r="47" spans="1:8" ht="15">
      <c r="A47" s="593"/>
      <c r="B47" s="541"/>
      <c r="C47" s="541"/>
      <c r="D47" s="542"/>
      <c r="E47" s="510"/>
      <c r="F47" s="526">
        <f t="shared" si="4"/>
        <v>0</v>
      </c>
      <c r="G47" s="527" t="s">
        <v>696</v>
      </c>
      <c r="H47" s="510"/>
    </row>
    <row r="48" spans="1:8" ht="15">
      <c r="A48" s="591" t="s">
        <v>623</v>
      </c>
      <c r="B48" s="541"/>
      <c r="C48" s="541"/>
      <c r="D48" s="539">
        <f>SUM(D45:D46)</f>
        <v>0</v>
      </c>
      <c r="E48" s="510"/>
      <c r="F48" s="526">
        <f t="shared" si="4"/>
        <v>0</v>
      </c>
      <c r="G48" s="527" t="s">
        <v>696</v>
      </c>
      <c r="H48" s="510"/>
    </row>
    <row r="49" spans="1:8" ht="15">
      <c r="A49" s="593"/>
      <c r="B49" s="594"/>
      <c r="C49" s="594"/>
      <c r="D49" s="594"/>
      <c r="E49" s="595"/>
      <c r="F49" s="596"/>
      <c r="G49" s="597"/>
      <c r="H49" s="510"/>
    </row>
    <row r="50" spans="1:8" ht="15" hidden="1">
      <c r="A50" s="591" t="s">
        <v>624</v>
      </c>
      <c r="B50" s="510"/>
      <c r="C50" s="510"/>
      <c r="D50" s="543">
        <f>SUM(D38:D49)</f>
        <v>0</v>
      </c>
      <c r="E50" s="510"/>
      <c r="F50" s="510"/>
      <c r="G50" s="510"/>
      <c r="H50" s="510"/>
    </row>
    <row r="51" spans="1:9" ht="15">
      <c r="A51" s="591" t="s">
        <v>624</v>
      </c>
      <c r="B51" s="594"/>
      <c r="C51" s="598"/>
      <c r="D51" s="594"/>
      <c r="F51" s="599"/>
      <c r="G51" s="510"/>
      <c r="H51" s="510"/>
      <c r="I51" s="544"/>
    </row>
    <row r="52" spans="1:9" ht="15">
      <c r="A52" s="981" t="s">
        <v>1530</v>
      </c>
      <c r="B52" s="542"/>
      <c r="C52" s="598"/>
      <c r="D52" s="980">
        <f>'FORM-10 (A-F)'!H225</f>
        <v>0</v>
      </c>
      <c r="F52" s="526">
        <f>IF(D52&lt;&gt;0,(D52/$C$6),0)</f>
        <v>0</v>
      </c>
      <c r="G52" s="545"/>
      <c r="H52" s="545"/>
      <c r="I52" s="546"/>
    </row>
    <row r="53" spans="1:9" ht="15">
      <c r="A53" s="981" t="s">
        <v>1531</v>
      </c>
      <c r="B53" s="542"/>
      <c r="C53" s="598"/>
      <c r="D53" s="535">
        <f>'FORM-10 (A-F)'!H224+'FORM-10 (A-F)'!H226</f>
        <v>0</v>
      </c>
      <c r="F53" s="526">
        <f>IF(D53&lt;&gt;0,(D53/$C$6),0)</f>
        <v>0</v>
      </c>
      <c r="G53" s="545"/>
      <c r="H53" s="545"/>
      <c r="I53" s="546"/>
    </row>
    <row r="54" spans="1:9" ht="15">
      <c r="A54" s="542"/>
      <c r="B54" s="542"/>
      <c r="C54" s="598"/>
      <c r="D54" s="542"/>
      <c r="F54" s="526">
        <f>IF(D54&lt;&gt;0,(D54/$C$6),0)</f>
        <v>0</v>
      </c>
      <c r="G54" s="510"/>
      <c r="H54" s="547"/>
      <c r="I54" s="544"/>
    </row>
    <row r="55" spans="1:9" ht="15">
      <c r="A55" s="600"/>
      <c r="D55" s="601"/>
      <c r="G55" s="510"/>
      <c r="H55" s="548"/>
      <c r="I55" s="544"/>
    </row>
    <row r="56" spans="1:9" ht="15">
      <c r="A56" s="602" t="s">
        <v>625</v>
      </c>
      <c r="D56" s="607">
        <f>SUM(D52:D54)</f>
        <v>0</v>
      </c>
      <c r="F56" s="526">
        <f>IF(D56&lt;&gt;0,(D56/$C$6),0)</f>
        <v>0</v>
      </c>
      <c r="G56" s="510"/>
      <c r="H56" s="549"/>
      <c r="I56" s="544"/>
    </row>
    <row r="57" spans="1:9" ht="15">
      <c r="A57" s="510"/>
      <c r="B57" s="549"/>
      <c r="C57" s="549"/>
      <c r="D57" s="550"/>
      <c r="E57" s="510"/>
      <c r="F57" s="551"/>
      <c r="G57" s="510"/>
      <c r="H57" s="549"/>
      <c r="I57" s="544"/>
    </row>
    <row r="58" spans="1:9" ht="15">
      <c r="A58" s="510"/>
      <c r="B58" s="549"/>
      <c r="C58" s="549"/>
      <c r="D58" s="550"/>
      <c r="E58" s="510"/>
      <c r="F58" s="551"/>
      <c r="G58" s="510"/>
      <c r="H58" s="549"/>
      <c r="I58" s="544"/>
    </row>
    <row r="59" spans="1:9" ht="15">
      <c r="A59" s="510"/>
      <c r="B59" s="549"/>
      <c r="C59" s="549"/>
      <c r="D59" s="550"/>
      <c r="E59" s="510"/>
      <c r="F59" s="551"/>
      <c r="G59" s="510"/>
      <c r="H59" s="549"/>
      <c r="I59" s="544"/>
    </row>
    <row r="60" spans="1:9" ht="15">
      <c r="A60" s="510"/>
      <c r="B60" s="549"/>
      <c r="C60" s="549"/>
      <c r="D60" s="550"/>
      <c r="E60" s="510"/>
      <c r="F60" s="551"/>
      <c r="G60" s="510"/>
      <c r="H60" s="549"/>
      <c r="I60" s="544"/>
    </row>
    <row r="61" spans="1:9" ht="15">
      <c r="A61" s="510"/>
      <c r="B61" s="549"/>
      <c r="C61" s="549"/>
      <c r="D61" s="550"/>
      <c r="E61" s="510"/>
      <c r="F61" s="551"/>
      <c r="G61" s="510"/>
      <c r="H61" s="549"/>
      <c r="I61" s="544"/>
    </row>
    <row r="62" spans="1:9" ht="15">
      <c r="A62" s="510"/>
      <c r="B62" s="549"/>
      <c r="C62" s="549"/>
      <c r="D62" s="550"/>
      <c r="E62" s="510"/>
      <c r="F62" s="551"/>
      <c r="G62" s="510"/>
      <c r="H62" s="549"/>
      <c r="I62" s="544"/>
    </row>
    <row r="63" spans="2:8" ht="15">
      <c r="B63" s="549"/>
      <c r="C63" s="549"/>
      <c r="D63" s="550"/>
      <c r="E63" s="510"/>
      <c r="F63" s="551"/>
      <c r="G63" s="510"/>
      <c r="H63" s="549"/>
    </row>
    <row r="64" spans="2:8" ht="15">
      <c r="B64" s="549"/>
      <c r="C64" s="549"/>
      <c r="D64" s="550"/>
      <c r="E64" s="510"/>
      <c r="F64" s="551"/>
      <c r="G64" s="510"/>
      <c r="H64" s="549"/>
    </row>
    <row r="65" spans="2:8" ht="15">
      <c r="B65" s="549"/>
      <c r="C65" s="549"/>
      <c r="D65" s="550"/>
      <c r="E65" s="510"/>
      <c r="F65" s="551"/>
      <c r="G65" s="510"/>
      <c r="H65" s="549"/>
    </row>
    <row r="66" spans="2:8" ht="15">
      <c r="B66" s="549"/>
      <c r="C66" s="549"/>
      <c r="D66" s="550"/>
      <c r="E66" s="510"/>
      <c r="F66" s="551"/>
      <c r="G66" s="510"/>
      <c r="H66" s="549"/>
    </row>
    <row r="67" spans="2:8" ht="15">
      <c r="B67" s="549"/>
      <c r="C67" s="549"/>
      <c r="D67" s="550"/>
      <c r="E67" s="510"/>
      <c r="F67" s="551"/>
      <c r="G67" s="510"/>
      <c r="H67" s="549"/>
    </row>
    <row r="68" spans="2:8" ht="15">
      <c r="B68" s="549"/>
      <c r="C68" s="549"/>
      <c r="D68" s="550"/>
      <c r="E68" s="510"/>
      <c r="F68" s="551"/>
      <c r="G68" s="510"/>
      <c r="H68" s="549"/>
    </row>
    <row r="69" spans="2:8" ht="15">
      <c r="B69" s="549"/>
      <c r="C69" s="549"/>
      <c r="D69" s="550"/>
      <c r="E69" s="510"/>
      <c r="F69" s="551"/>
      <c r="G69" s="510"/>
      <c r="H69" s="549"/>
    </row>
    <row r="70" spans="2:8" ht="15">
      <c r="B70" s="549"/>
      <c r="C70" s="549"/>
      <c r="D70" s="550"/>
      <c r="E70" s="510"/>
      <c r="F70" s="551"/>
      <c r="G70" s="510"/>
      <c r="H70" s="549"/>
    </row>
    <row r="71" spans="2:8" ht="15">
      <c r="B71" s="549"/>
      <c r="C71" s="549"/>
      <c r="D71" s="550"/>
      <c r="E71" s="510"/>
      <c r="F71" s="551"/>
      <c r="G71" s="510"/>
      <c r="H71" s="549"/>
    </row>
    <row r="72" spans="2:8" ht="15">
      <c r="B72" s="549"/>
      <c r="C72" s="549"/>
      <c r="D72" s="550"/>
      <c r="E72" s="510"/>
      <c r="F72" s="551"/>
      <c r="G72" s="510"/>
      <c r="H72" s="549"/>
    </row>
    <row r="73" spans="2:8" ht="15">
      <c r="B73" s="549"/>
      <c r="C73" s="549"/>
      <c r="D73" s="550"/>
      <c r="E73" s="510"/>
      <c r="F73" s="551"/>
      <c r="G73" s="510"/>
      <c r="H73" s="549"/>
    </row>
    <row r="74" spans="2:8" ht="15">
      <c r="B74" s="549"/>
      <c r="C74" s="549"/>
      <c r="D74" s="550"/>
      <c r="E74" s="510"/>
      <c r="F74" s="551"/>
      <c r="G74" s="510"/>
      <c r="H74" s="549"/>
    </row>
    <row r="75" spans="2:8" ht="15">
      <c r="B75" s="549"/>
      <c r="C75" s="549"/>
      <c r="D75" s="550"/>
      <c r="E75" s="510"/>
      <c r="F75" s="551"/>
      <c r="G75" s="510"/>
      <c r="H75" s="549"/>
    </row>
    <row r="76" spans="2:8" ht="15">
      <c r="B76" s="549"/>
      <c r="C76" s="549"/>
      <c r="D76" s="550"/>
      <c r="E76" s="510"/>
      <c r="F76" s="551"/>
      <c r="G76" s="510"/>
      <c r="H76" s="549"/>
    </row>
    <row r="77" spans="1:2" ht="15">
      <c r="A77" s="510"/>
      <c r="B77" s="549"/>
    </row>
    <row r="78" spans="1:9" ht="15">
      <c r="A78" s="510"/>
      <c r="B78" s="510"/>
      <c r="C78" s="510"/>
      <c r="D78" s="510"/>
      <c r="E78" s="510"/>
      <c r="F78" s="510"/>
      <c r="G78" s="510"/>
      <c r="H78" s="510"/>
      <c r="I78" s="544"/>
    </row>
    <row r="79" spans="1:9" ht="15">
      <c r="A79" s="510"/>
      <c r="B79" s="510"/>
      <c r="C79" s="510"/>
      <c r="D79" s="510"/>
      <c r="E79" s="510"/>
      <c r="F79" s="510"/>
      <c r="G79" s="510"/>
      <c r="H79" s="510"/>
      <c r="I79" s="544"/>
    </row>
    <row r="80" spans="1:9" ht="15">
      <c r="A80" s="511"/>
      <c r="B80" s="510"/>
      <c r="C80" s="510"/>
      <c r="D80" s="510"/>
      <c r="E80" s="510"/>
      <c r="F80" s="510"/>
      <c r="G80" s="510"/>
      <c r="H80" s="510"/>
      <c r="I80" s="544"/>
    </row>
    <row r="81" spans="1:9" ht="15">
      <c r="A81" s="510"/>
      <c r="B81" s="510"/>
      <c r="C81" s="510"/>
      <c r="D81" s="510"/>
      <c r="E81" s="510"/>
      <c r="F81" s="510"/>
      <c r="G81" s="510"/>
      <c r="H81" s="510"/>
      <c r="I81" s="544"/>
    </row>
    <row r="82" spans="1:9" ht="15">
      <c r="A82" s="510"/>
      <c r="B82" s="510"/>
      <c r="C82" s="510"/>
      <c r="D82" s="510"/>
      <c r="E82" s="510"/>
      <c r="F82" s="510"/>
      <c r="G82" s="510"/>
      <c r="H82" s="510"/>
      <c r="I82" s="544"/>
    </row>
    <row r="83" spans="1:9" ht="15">
      <c r="A83" s="510"/>
      <c r="B83" s="510"/>
      <c r="C83" s="510"/>
      <c r="D83" s="510"/>
      <c r="E83" s="510"/>
      <c r="F83" s="510"/>
      <c r="G83" s="510"/>
      <c r="H83" s="510"/>
      <c r="I83" s="544"/>
    </row>
    <row r="84" spans="1:9" ht="15">
      <c r="A84" s="510"/>
      <c r="B84" s="510"/>
      <c r="C84" s="510"/>
      <c r="D84" s="510"/>
      <c r="E84" s="510"/>
      <c r="F84" s="510"/>
      <c r="G84" s="510"/>
      <c r="H84" s="510"/>
      <c r="I84" s="544"/>
    </row>
    <row r="85" spans="1:9" ht="15">
      <c r="A85" s="510"/>
      <c r="B85" s="510"/>
      <c r="C85" s="510"/>
      <c r="D85" s="510"/>
      <c r="E85" s="510"/>
      <c r="F85" s="510"/>
      <c r="G85" s="510"/>
      <c r="H85" s="510"/>
      <c r="I85" s="544"/>
    </row>
  </sheetData>
  <sheetProtection/>
  <printOptions/>
  <pageMargins left="0.75" right="0.75" top="1" bottom="1" header="0.5" footer="0.5"/>
  <pageSetup horizontalDpi="600" verticalDpi="600" orientation="portrait" scale="79" r:id="rId1"/>
  <ignoredErrors>
    <ignoredError sqref="D17" formula="1"/>
  </ignoredErrors>
</worksheet>
</file>

<file path=xl/worksheets/sheet6.xml><?xml version="1.0" encoding="utf-8"?>
<worksheet xmlns="http://schemas.openxmlformats.org/spreadsheetml/2006/main" xmlns:r="http://schemas.openxmlformats.org/officeDocument/2006/relationships">
  <sheetPr codeName="Sheet4">
    <pageSetUpPr fitToPage="1"/>
  </sheetPr>
  <dimension ref="A1:AG83"/>
  <sheetViews>
    <sheetView zoomScale="75" zoomScaleNormal="75" zoomScaleSheetLayoutView="50" workbookViewId="0" topLeftCell="A1">
      <selection activeCell="A8" sqref="A8"/>
    </sheetView>
  </sheetViews>
  <sheetFormatPr defaultColWidth="8.88671875" defaultRowHeight="15"/>
  <cols>
    <col min="1" max="1" width="18.10546875" style="0" customWidth="1"/>
    <col min="2" max="2" width="13.6640625" style="0" customWidth="1"/>
    <col min="3" max="3" width="12.5546875" style="0" customWidth="1"/>
    <col min="4" max="4" width="13.5546875" style="0" customWidth="1"/>
    <col min="5" max="5" width="14.21484375" style="0" customWidth="1"/>
    <col min="6" max="6" width="15.4453125" style="0" customWidth="1"/>
    <col min="7" max="7" width="16.88671875" style="0" customWidth="1"/>
    <col min="8" max="8" width="15.4453125" style="0" customWidth="1"/>
    <col min="9" max="9" width="15.21484375" style="0" customWidth="1"/>
    <col min="10" max="10" width="15.3359375" style="0" customWidth="1"/>
    <col min="11" max="11" width="13.6640625" style="0" customWidth="1"/>
    <col min="12" max="12" width="15.3359375" style="0" customWidth="1"/>
    <col min="13" max="13" width="14.4453125" style="0" customWidth="1"/>
    <col min="14" max="14" width="16.99609375" style="0" customWidth="1"/>
    <col min="15" max="15" width="14.88671875" style="0" customWidth="1"/>
    <col min="16" max="16" width="17.88671875" style="0" customWidth="1"/>
    <col min="17" max="17" width="14.6640625" style="0" customWidth="1"/>
    <col min="18" max="18" width="15.77734375" style="0" customWidth="1"/>
    <col min="19" max="19" width="15.5546875" style="0" customWidth="1"/>
    <col min="20" max="20" width="16.10546875" style="0" customWidth="1"/>
    <col min="21" max="21" width="15.88671875" style="0" customWidth="1"/>
    <col min="22" max="22" width="15.5546875" style="0" customWidth="1"/>
    <col min="23" max="23" width="15.88671875" style="0" customWidth="1"/>
    <col min="24" max="24" width="16.10546875" style="0" customWidth="1"/>
    <col min="25" max="26" width="15.99609375" style="0" customWidth="1"/>
    <col min="27" max="27" width="15.5546875" style="0" customWidth="1"/>
    <col min="28" max="28" width="16.10546875" style="0" customWidth="1"/>
    <col min="29" max="29" width="15.88671875" style="0" customWidth="1"/>
    <col min="30" max="30" width="15.99609375" style="0" customWidth="1"/>
    <col min="31" max="31" width="16.4453125" style="0" customWidth="1"/>
    <col min="32" max="32" width="16.3359375" style="0" customWidth="1"/>
    <col min="33" max="33" width="15.6640625" style="0" customWidth="1"/>
  </cols>
  <sheetData>
    <row r="1" spans="1:25" ht="17.25">
      <c r="A1" s="140" t="s">
        <v>758</v>
      </c>
      <c r="B1" s="240">
        <f>'FORM-10 (A-F)'!C12</f>
        <v>0</v>
      </c>
      <c r="C1" s="141"/>
      <c r="D1" s="141"/>
      <c r="E1" s="141"/>
      <c r="F1" s="142"/>
      <c r="G1" s="143" t="s">
        <v>759</v>
      </c>
      <c r="H1" s="143"/>
      <c r="I1" s="358">
        <v>0.03</v>
      </c>
      <c r="J1" s="142"/>
      <c r="K1" s="144" t="s">
        <v>760</v>
      </c>
      <c r="L1" s="145"/>
      <c r="M1" s="146"/>
      <c r="N1" s="244">
        <f>'FORM-10 (A-F)'!J216</f>
        <v>0</v>
      </c>
      <c r="O1" s="142"/>
      <c r="P1" s="190" t="s">
        <v>596</v>
      </c>
      <c r="Q1" s="146"/>
      <c r="R1" s="708"/>
      <c r="S1" s="142"/>
      <c r="T1" s="142"/>
      <c r="V1" s="140" t="s">
        <v>758</v>
      </c>
      <c r="W1" s="240">
        <f>B1</f>
        <v>0</v>
      </c>
      <c r="X1" s="141"/>
      <c r="Y1" s="141"/>
    </row>
    <row r="2" spans="1:25" ht="17.25">
      <c r="A2" s="140" t="s">
        <v>761</v>
      </c>
      <c r="B2" s="240">
        <f>'FORM-10 (A-F)'!G7</f>
        <v>0</v>
      </c>
      <c r="C2" s="147"/>
      <c r="D2" s="147"/>
      <c r="E2" s="148"/>
      <c r="F2" s="142"/>
      <c r="G2" s="143" t="s">
        <v>762</v>
      </c>
      <c r="H2" s="143"/>
      <c r="I2" s="357">
        <v>0.04</v>
      </c>
      <c r="J2" s="149"/>
      <c r="K2" s="150" t="s">
        <v>763</v>
      </c>
      <c r="L2" s="142"/>
      <c r="M2" s="142"/>
      <c r="N2" s="287">
        <f>'FORM-10 (A-F)'!C322</f>
        <v>0</v>
      </c>
      <c r="O2" s="142"/>
      <c r="P2" s="151" t="s">
        <v>763</v>
      </c>
      <c r="Q2" s="710"/>
      <c r="R2" s="711">
        <f>(Q2/12)/100</f>
        <v>0</v>
      </c>
      <c r="S2" s="142"/>
      <c r="T2" s="142"/>
      <c r="V2" s="140" t="s">
        <v>761</v>
      </c>
      <c r="W2" s="240">
        <f>B2</f>
        <v>0</v>
      </c>
      <c r="X2" s="147"/>
      <c r="Y2" s="147"/>
    </row>
    <row r="3" spans="1:25" ht="17.25">
      <c r="A3" s="140" t="s">
        <v>764</v>
      </c>
      <c r="B3" s="240">
        <f>'FORM-10 (A-F)'!G9</f>
        <v>0</v>
      </c>
      <c r="C3" s="152"/>
      <c r="D3" s="152"/>
      <c r="E3" s="152"/>
      <c r="F3" s="142"/>
      <c r="G3" s="143" t="s">
        <v>765</v>
      </c>
      <c r="H3" s="153"/>
      <c r="I3" s="285">
        <f>'FORM-10 (A-F)'!D417</f>
        <v>0</v>
      </c>
      <c r="J3" s="243">
        <f>'FORM-10 (A-F)'!F417</f>
        <v>0</v>
      </c>
      <c r="K3" s="150" t="s">
        <v>766</v>
      </c>
      <c r="L3" s="142"/>
      <c r="M3" s="142"/>
      <c r="N3" s="245">
        <f>'FORM-10 (A-F)'!C323</f>
        <v>0</v>
      </c>
      <c r="O3" s="142"/>
      <c r="P3" s="151" t="s">
        <v>884</v>
      </c>
      <c r="Q3" s="707"/>
      <c r="R3" s="712">
        <f>Q3*12</f>
        <v>0</v>
      </c>
      <c r="S3" s="142"/>
      <c r="T3" s="142"/>
      <c r="V3" s="140" t="s">
        <v>764</v>
      </c>
      <c r="W3" s="240">
        <f>B3</f>
        <v>0</v>
      </c>
      <c r="X3" s="152"/>
      <c r="Y3" s="152"/>
    </row>
    <row r="4" spans="1:25" ht="17.25">
      <c r="A4" s="140" t="s">
        <v>767</v>
      </c>
      <c r="B4" s="241">
        <f>'FORM-10 (A-F)'!G8</f>
        <v>0</v>
      </c>
      <c r="C4" s="154"/>
      <c r="D4" s="154"/>
      <c r="E4" s="154"/>
      <c r="F4" s="155"/>
      <c r="G4" s="143" t="s">
        <v>768</v>
      </c>
      <c r="H4" s="143"/>
      <c r="I4" s="324"/>
      <c r="J4" s="142"/>
      <c r="K4" s="150" t="s">
        <v>769</v>
      </c>
      <c r="L4" s="142"/>
      <c r="M4" s="149"/>
      <c r="N4" s="246">
        <f>'FORM-10 (A-F)'!F451</f>
        <v>0</v>
      </c>
      <c r="O4" s="142"/>
      <c r="P4" s="151" t="s">
        <v>769</v>
      </c>
      <c r="Q4" s="142"/>
      <c r="R4" s="709">
        <f>IF(R1&lt;&gt;0,PMT(R2,R3,-R1)*12,0)</f>
        <v>0</v>
      </c>
      <c r="S4" s="142"/>
      <c r="T4" s="142"/>
      <c r="V4" s="140" t="s">
        <v>767</v>
      </c>
      <c r="W4" s="241">
        <f>B4</f>
        <v>0</v>
      </c>
      <c r="X4" s="337"/>
      <c r="Y4" s="337"/>
    </row>
    <row r="5" spans="1:20" ht="17.25">
      <c r="A5" s="157" t="s">
        <v>770</v>
      </c>
      <c r="B5" s="158" t="s">
        <v>770</v>
      </c>
      <c r="C5" s="158" t="s">
        <v>771</v>
      </c>
      <c r="D5" s="328" t="s">
        <v>851</v>
      </c>
      <c r="E5" s="158" t="s">
        <v>772</v>
      </c>
      <c r="F5" s="159"/>
      <c r="G5" s="160" t="s">
        <v>773</v>
      </c>
      <c r="H5" s="161"/>
      <c r="I5" s="286">
        <f>'FORM-10 (A-F)'!D422</f>
        <v>0</v>
      </c>
      <c r="J5" s="233" t="s">
        <v>489</v>
      </c>
      <c r="K5" s="150" t="s">
        <v>774</v>
      </c>
      <c r="L5" s="142"/>
      <c r="M5" s="248">
        <f>'FORM-10 (A-F)'!D452</f>
        <v>0</v>
      </c>
      <c r="N5" s="247">
        <f>'FORM-10 (A-F)'!F452</f>
        <v>0</v>
      </c>
      <c r="O5" s="162"/>
      <c r="P5" s="150" t="s">
        <v>774</v>
      </c>
      <c r="Q5" s="325"/>
      <c r="R5" s="713">
        <f>R1*Q5</f>
        <v>0</v>
      </c>
      <c r="S5" s="163"/>
      <c r="T5" s="164"/>
    </row>
    <row r="6" spans="1:20" ht="17.25">
      <c r="A6" s="165" t="s">
        <v>775</v>
      </c>
      <c r="B6" s="166" t="s">
        <v>776</v>
      </c>
      <c r="C6" s="166" t="s">
        <v>777</v>
      </c>
      <c r="D6" s="169" t="s">
        <v>778</v>
      </c>
      <c r="E6" s="168" t="s">
        <v>499</v>
      </c>
      <c r="F6" s="169" t="s">
        <v>849</v>
      </c>
      <c r="G6" s="166" t="s">
        <v>852</v>
      </c>
      <c r="H6" s="167" t="s">
        <v>674</v>
      </c>
      <c r="I6" s="168" t="s">
        <v>675</v>
      </c>
      <c r="J6" s="170"/>
      <c r="K6" s="150" t="s">
        <v>779</v>
      </c>
      <c r="L6" s="142"/>
      <c r="M6" s="248">
        <f>'FORM-10 (A-F)'!D453</f>
        <v>0</v>
      </c>
      <c r="N6" s="246">
        <f>'FORM-10 (A-F)'!F453</f>
        <v>0</v>
      </c>
      <c r="O6" s="171"/>
      <c r="P6" s="171"/>
      <c r="Q6" s="171"/>
      <c r="R6" s="714">
        <f>SUM(R4:R5)</f>
        <v>0</v>
      </c>
      <c r="S6" s="163"/>
      <c r="T6" s="163"/>
    </row>
    <row r="7" spans="1:20" ht="17.25">
      <c r="A7" s="172"/>
      <c r="B7" s="173"/>
      <c r="C7" s="174"/>
      <c r="D7" s="329"/>
      <c r="E7" s="174"/>
      <c r="F7" s="176" t="s">
        <v>846</v>
      </c>
      <c r="G7" s="175" t="s">
        <v>778</v>
      </c>
      <c r="H7" s="176" t="s">
        <v>778</v>
      </c>
      <c r="I7" s="177" t="s">
        <v>778</v>
      </c>
      <c r="J7" s="178"/>
      <c r="K7" s="179"/>
      <c r="L7" s="179"/>
      <c r="M7" s="180"/>
      <c r="R7" s="164"/>
      <c r="S7" s="163"/>
      <c r="T7" s="163"/>
    </row>
    <row r="8" spans="1:20" ht="17.25">
      <c r="A8" s="240">
        <f>'FORM-10 (A-F)'!B332</f>
        <v>0</v>
      </c>
      <c r="B8" s="240">
        <f>'FORM-10 (A-F)'!C332</f>
        <v>0</v>
      </c>
      <c r="C8" s="240">
        <f>'FORM-10 (A-F)'!E51</f>
        <v>0</v>
      </c>
      <c r="D8" s="240">
        <f>'FORM-10 (A-F)'!E332</f>
        <v>0</v>
      </c>
      <c r="E8" s="240">
        <f>'FORM-10 (A-F)'!D332</f>
        <v>0</v>
      </c>
      <c r="F8" s="240">
        <f>'FORM-10 (A-F)'!F332</f>
        <v>0</v>
      </c>
      <c r="G8" s="240">
        <f>'FORM-10 (A-F)'!G332</f>
        <v>0</v>
      </c>
      <c r="H8" s="240">
        <f>'FORM-10 (A-F)'!H332</f>
        <v>0</v>
      </c>
      <c r="I8" s="240">
        <f>'FORM-10 (A-F)'!I332</f>
        <v>0</v>
      </c>
      <c r="J8" s="181"/>
      <c r="K8" s="182"/>
      <c r="L8" s="182"/>
      <c r="M8" s="183"/>
      <c r="P8" s="184"/>
      <c r="Q8" s="185"/>
      <c r="R8" s="186"/>
      <c r="S8" s="187"/>
      <c r="T8" s="188"/>
    </row>
    <row r="9" spans="1:20" ht="17.25">
      <c r="A9" s="240">
        <f>'FORM-10 (A-F)'!B333</f>
        <v>0</v>
      </c>
      <c r="B9" s="240">
        <f>'FORM-10 (A-F)'!C333</f>
        <v>0</v>
      </c>
      <c r="C9" s="240">
        <f>'FORM-10 (A-F)'!E52</f>
        <v>0</v>
      </c>
      <c r="D9" s="240">
        <f>'FORM-10 (A-F)'!E333</f>
        <v>0</v>
      </c>
      <c r="E9" s="240">
        <f>'FORM-10 (A-F)'!D333</f>
        <v>0</v>
      </c>
      <c r="F9" s="240">
        <f>'FORM-10 (A-F)'!F333</f>
        <v>0</v>
      </c>
      <c r="G9" s="240">
        <f>'FORM-10 (A-F)'!G333</f>
        <v>0</v>
      </c>
      <c r="H9" s="240">
        <f>'FORM-10 (A-F)'!H333</f>
        <v>0</v>
      </c>
      <c r="I9" s="240">
        <f>'FORM-10 (A-F)'!I333</f>
        <v>0</v>
      </c>
      <c r="J9" s="181"/>
      <c r="K9" s="182"/>
      <c r="L9" s="182"/>
      <c r="M9" s="183"/>
      <c r="P9" s="463" t="s">
        <v>1453</v>
      </c>
      <c r="Q9" s="462"/>
      <c r="R9" s="464">
        <f>'FORM-10 (A-F)'!J36</f>
        <v>0</v>
      </c>
      <c r="S9" s="189"/>
      <c r="T9" s="188"/>
    </row>
    <row r="10" spans="1:20" ht="17.25">
      <c r="A10" s="240">
        <f>'FORM-10 (A-F)'!B334</f>
        <v>0</v>
      </c>
      <c r="B10" s="240">
        <f>'FORM-10 (A-F)'!C334</f>
        <v>0</v>
      </c>
      <c r="C10" s="240">
        <f>'FORM-10 (A-F)'!E53</f>
        <v>0</v>
      </c>
      <c r="D10" s="240">
        <f>'FORM-10 (A-F)'!E334</f>
        <v>0</v>
      </c>
      <c r="E10" s="240">
        <f>'FORM-10 (A-F)'!D334</f>
        <v>0</v>
      </c>
      <c r="F10" s="240">
        <f>'FORM-10 (A-F)'!F334</f>
        <v>0</v>
      </c>
      <c r="G10" s="240">
        <f>'FORM-10 (A-F)'!G334</f>
        <v>0</v>
      </c>
      <c r="H10" s="240">
        <f>'FORM-10 (A-F)'!H334</f>
        <v>0</v>
      </c>
      <c r="I10" s="240">
        <f>'FORM-10 (A-F)'!I334</f>
        <v>0</v>
      </c>
      <c r="J10" s="181"/>
      <c r="K10" s="182"/>
      <c r="L10" s="190" t="s">
        <v>781</v>
      </c>
      <c r="M10" s="191"/>
      <c r="N10" s="192" t="s">
        <v>782</v>
      </c>
      <c r="O10" s="171"/>
      <c r="P10" s="151" t="s">
        <v>1160</v>
      </c>
      <c r="Q10" s="142"/>
      <c r="R10" s="326"/>
      <c r="S10" s="193"/>
      <c r="T10" s="188"/>
    </row>
    <row r="11" spans="1:20" ht="17.25">
      <c r="A11" s="240">
        <f>'FORM-10 (A-F)'!B335</f>
        <v>0</v>
      </c>
      <c r="B11" s="240">
        <f>'FORM-10 (A-F)'!C335</f>
        <v>0</v>
      </c>
      <c r="C11" s="240">
        <f>'FORM-10 (A-F)'!E54</f>
        <v>0</v>
      </c>
      <c r="D11" s="240">
        <f>'FORM-10 (A-F)'!E335</f>
        <v>0</v>
      </c>
      <c r="E11" s="240">
        <f>'FORM-10 (A-F)'!D335</f>
        <v>0</v>
      </c>
      <c r="F11" s="240">
        <f>'FORM-10 (A-F)'!F335</f>
        <v>0</v>
      </c>
      <c r="G11" s="240">
        <f>'FORM-10 (A-F)'!G335</f>
        <v>0</v>
      </c>
      <c r="H11" s="240">
        <f>'FORM-10 (A-F)'!H335</f>
        <v>0</v>
      </c>
      <c r="I11" s="240">
        <f>'FORM-10 (A-F)'!I335</f>
        <v>0</v>
      </c>
      <c r="J11" s="181"/>
      <c r="K11" s="182"/>
      <c r="L11" s="194" t="s">
        <v>783</v>
      </c>
      <c r="M11" s="142"/>
      <c r="N11" s="142"/>
      <c r="O11" s="142"/>
      <c r="P11" s="150" t="s">
        <v>1159</v>
      </c>
      <c r="Q11" s="142"/>
      <c r="R11" s="142">
        <f>R9*1+(R9*R10)</f>
        <v>0</v>
      </c>
      <c r="S11" s="195"/>
      <c r="T11" s="188"/>
    </row>
    <row r="12" spans="1:20" ht="17.25">
      <c r="A12" s="240">
        <f>'FORM-10 (A-F)'!B336</f>
        <v>0</v>
      </c>
      <c r="B12" s="240">
        <f>'FORM-10 (A-F)'!C336</f>
        <v>0</v>
      </c>
      <c r="C12" s="240">
        <f>'FORM-10 (A-F)'!E55</f>
        <v>0</v>
      </c>
      <c r="D12" s="240">
        <f>'FORM-10 (A-F)'!E336</f>
        <v>0</v>
      </c>
      <c r="E12" s="240">
        <f>'FORM-10 (A-F)'!D336</f>
        <v>0</v>
      </c>
      <c r="F12" s="240">
        <f>'FORM-10 (A-F)'!F336</f>
        <v>0</v>
      </c>
      <c r="G12" s="240">
        <f>'FORM-10 (A-F)'!G336</f>
        <v>0</v>
      </c>
      <c r="H12" s="240">
        <f>'FORM-10 (A-F)'!H336</f>
        <v>0</v>
      </c>
      <c r="I12" s="240">
        <f>'FORM-10 (A-F)'!I336</f>
        <v>0</v>
      </c>
      <c r="J12" s="181"/>
      <c r="K12" s="182"/>
      <c r="L12" s="142" t="s">
        <v>784</v>
      </c>
      <c r="M12" s="142"/>
      <c r="N12" s="142">
        <f>+I28</f>
        <v>0</v>
      </c>
      <c r="O12" s="142"/>
      <c r="P12" s="150"/>
      <c r="Q12" s="142"/>
      <c r="R12" s="189"/>
      <c r="S12" s="142"/>
      <c r="T12" s="188"/>
    </row>
    <row r="13" spans="1:20" ht="18" thickBot="1">
      <c r="A13" s="240">
        <f>'FORM-10 (A-F)'!B337</f>
        <v>0</v>
      </c>
      <c r="B13" s="240">
        <f>'FORM-10 (A-F)'!C337</f>
        <v>0</v>
      </c>
      <c r="C13" s="240">
        <f>'FORM-10 (A-F)'!E56</f>
        <v>0</v>
      </c>
      <c r="D13" s="240">
        <f>'FORM-10 (A-F)'!E337</f>
        <v>0</v>
      </c>
      <c r="E13" s="240">
        <f>'FORM-10 (A-F)'!D337</f>
        <v>0</v>
      </c>
      <c r="F13" s="240">
        <f>'FORM-10 (A-F)'!F337</f>
        <v>0</v>
      </c>
      <c r="G13" s="240">
        <f>'FORM-10 (A-F)'!G337</f>
        <v>0</v>
      </c>
      <c r="H13" s="240">
        <f>'FORM-10 (A-F)'!H337</f>
        <v>0</v>
      </c>
      <c r="I13" s="240">
        <f>'FORM-10 (A-F)'!I337</f>
        <v>0</v>
      </c>
      <c r="J13" s="181"/>
      <c r="K13" s="182"/>
      <c r="L13" s="142" t="s">
        <v>785</v>
      </c>
      <c r="M13" s="142"/>
      <c r="N13" s="196">
        <f>-I28*(I3/100)</f>
        <v>0</v>
      </c>
      <c r="O13" s="142"/>
      <c r="P13" s="150"/>
      <c r="Q13" s="197"/>
      <c r="R13" s="198"/>
      <c r="S13" s="199"/>
      <c r="T13" s="188"/>
    </row>
    <row r="14" spans="1:20" ht="18" thickTop="1">
      <c r="A14" s="240">
        <f>'FORM-10 (A-F)'!B338</f>
        <v>0</v>
      </c>
      <c r="B14" s="240">
        <f>'FORM-10 (A-F)'!C338</f>
        <v>0</v>
      </c>
      <c r="C14" s="240">
        <f>'FORM-10 (A-F)'!E57</f>
        <v>0</v>
      </c>
      <c r="D14" s="240">
        <f>'FORM-10 (A-F)'!E338</f>
        <v>0</v>
      </c>
      <c r="E14" s="240">
        <f>'FORM-10 (A-F)'!D338</f>
        <v>0</v>
      </c>
      <c r="F14" s="240">
        <f>'FORM-10 (A-F)'!F338</f>
        <v>0</v>
      </c>
      <c r="G14" s="240">
        <f>'FORM-10 (A-F)'!G338</f>
        <v>0</v>
      </c>
      <c r="H14" s="240">
        <f>'FORM-10 (A-F)'!H338</f>
        <v>0</v>
      </c>
      <c r="I14" s="240">
        <f>'FORM-10 (A-F)'!I338</f>
        <v>0</v>
      </c>
      <c r="J14" s="181"/>
      <c r="K14" s="182"/>
      <c r="L14" s="142" t="s">
        <v>786</v>
      </c>
      <c r="M14" s="142"/>
      <c r="N14" s="142">
        <f>+N12+N13</f>
        <v>0</v>
      </c>
      <c r="O14" s="142"/>
      <c r="P14" s="162"/>
      <c r="R14" s="156"/>
      <c r="S14" s="156"/>
      <c r="T14" s="188"/>
    </row>
    <row r="15" spans="1:20" ht="18" thickBot="1">
      <c r="A15" s="240">
        <f>'FORM-10 (A-F)'!B339</f>
        <v>0</v>
      </c>
      <c r="B15" s="240">
        <f>'FORM-10 (A-F)'!C339</f>
        <v>0</v>
      </c>
      <c r="C15" s="240">
        <f>'FORM-10 (A-F)'!E58</f>
        <v>0</v>
      </c>
      <c r="D15" s="240">
        <f>'FORM-10 (A-F)'!E339</f>
        <v>0</v>
      </c>
      <c r="E15" s="240">
        <f>'FORM-10 (A-F)'!D339</f>
        <v>0</v>
      </c>
      <c r="F15" s="240">
        <f>'FORM-10 (A-F)'!F339</f>
        <v>0</v>
      </c>
      <c r="G15" s="240">
        <f>'FORM-10 (A-F)'!G339</f>
        <v>0</v>
      </c>
      <c r="H15" s="240">
        <f>'FORM-10 (A-F)'!H339</f>
        <v>0</v>
      </c>
      <c r="I15" s="240">
        <f>'FORM-10 (A-F)'!I339</f>
        <v>0</v>
      </c>
      <c r="J15" s="181"/>
      <c r="K15" s="182"/>
      <c r="L15" s="142" t="s">
        <v>787</v>
      </c>
      <c r="M15" s="142"/>
      <c r="N15" s="196">
        <f>-D55</f>
        <v>0</v>
      </c>
      <c r="O15" s="142"/>
      <c r="P15" s="162"/>
      <c r="R15" s="156"/>
      <c r="S15" s="156"/>
      <c r="T15" s="188"/>
    </row>
    <row r="16" spans="1:20" ht="18" thickTop="1">
      <c r="A16" s="240">
        <f>'FORM-10 (A-F)'!B340</f>
        <v>0</v>
      </c>
      <c r="B16" s="240">
        <f>'FORM-10 (A-F)'!C340</f>
        <v>0</v>
      </c>
      <c r="C16" s="240">
        <f>'FORM-10 (A-F)'!E59</f>
        <v>0</v>
      </c>
      <c r="D16" s="240">
        <f>'FORM-10 (A-F)'!E340</f>
        <v>0</v>
      </c>
      <c r="E16" s="240">
        <f>'FORM-10 (A-F)'!D340</f>
        <v>0</v>
      </c>
      <c r="F16" s="240">
        <f>'FORM-10 (A-F)'!F340</f>
        <v>0</v>
      </c>
      <c r="G16" s="240">
        <f>'FORM-10 (A-F)'!G340</f>
        <v>0</v>
      </c>
      <c r="H16" s="240">
        <f>'FORM-10 (A-F)'!H340</f>
        <v>0</v>
      </c>
      <c r="I16" s="240">
        <f>'FORM-10 (A-F)'!I340</f>
        <v>0</v>
      </c>
      <c r="J16" s="181"/>
      <c r="K16" s="182"/>
      <c r="L16" s="142" t="s">
        <v>788</v>
      </c>
      <c r="M16" s="142"/>
      <c r="N16" s="247">
        <f>+N14+N15</f>
        <v>0</v>
      </c>
      <c r="O16" s="142"/>
      <c r="P16" s="162"/>
      <c r="S16" s="156"/>
      <c r="T16" s="188"/>
    </row>
    <row r="17" spans="1:20" ht="17.25">
      <c r="A17" s="240">
        <f>'FORM-10 (A-F)'!B341</f>
        <v>0</v>
      </c>
      <c r="B17" s="240">
        <f>'FORM-10 (A-F)'!C341</f>
        <v>0</v>
      </c>
      <c r="C17" s="240">
        <f>'FORM-10 (A-F)'!E60</f>
        <v>0</v>
      </c>
      <c r="D17" s="240">
        <f>'FORM-10 (A-F)'!E341</f>
        <v>0</v>
      </c>
      <c r="E17" s="240">
        <f>'FORM-10 (A-F)'!D341</f>
        <v>0</v>
      </c>
      <c r="F17" s="240">
        <f>'FORM-10 (A-F)'!F341</f>
        <v>0</v>
      </c>
      <c r="G17" s="240">
        <f>'FORM-10 (A-F)'!G341</f>
        <v>0</v>
      </c>
      <c r="H17" s="240">
        <f>'FORM-10 (A-F)'!H341</f>
        <v>0</v>
      </c>
      <c r="I17" s="240">
        <f>'FORM-10 (A-F)'!I341</f>
        <v>0</v>
      </c>
      <c r="J17" s="181"/>
      <c r="K17" s="182"/>
      <c r="L17" s="142" t="s">
        <v>789</v>
      </c>
      <c r="M17" s="142"/>
      <c r="N17" s="249">
        <f>'FORM-10 (A-F)'!E297</f>
        <v>0</v>
      </c>
      <c r="O17" s="142"/>
      <c r="P17" s="162"/>
      <c r="S17" s="156"/>
      <c r="T17" s="188"/>
    </row>
    <row r="18" spans="1:20" ht="17.25">
      <c r="A18" s="240">
        <f>'FORM-10 (A-F)'!B342</f>
        <v>0</v>
      </c>
      <c r="B18" s="240">
        <f>'FORM-10 (A-F)'!C342</f>
        <v>0</v>
      </c>
      <c r="C18" s="240">
        <f>'FORM-10 (A-F)'!E61</f>
        <v>0</v>
      </c>
      <c r="D18" s="240">
        <f>'FORM-10 (A-F)'!E342</f>
        <v>0</v>
      </c>
      <c r="E18" s="240">
        <f>'FORM-10 (A-F)'!D342</f>
        <v>0</v>
      </c>
      <c r="F18" s="240">
        <f>'FORM-10 (A-F)'!F342</f>
        <v>0</v>
      </c>
      <c r="G18" s="240">
        <f>'FORM-10 (A-F)'!G342</f>
        <v>0</v>
      </c>
      <c r="H18" s="240">
        <f>'FORM-10 (A-F)'!H342</f>
        <v>0</v>
      </c>
      <c r="I18" s="240">
        <f>'FORM-10 (A-F)'!I342</f>
        <v>0</v>
      </c>
      <c r="J18" s="181"/>
      <c r="K18" s="182"/>
      <c r="L18" s="142" t="s">
        <v>790</v>
      </c>
      <c r="M18" s="142"/>
      <c r="N18" s="580">
        <f>IF(N17=0,'FORM-10 (A-F)'!G298,(N16*N17/100))</f>
        <v>0</v>
      </c>
      <c r="O18" s="142"/>
      <c r="P18" s="162"/>
      <c r="R18" s="156"/>
      <c r="S18" s="156"/>
      <c r="T18" s="188"/>
    </row>
    <row r="19" spans="1:20" ht="17.25">
      <c r="A19" s="240">
        <f>'FORM-10 (A-F)'!B343</f>
        <v>0</v>
      </c>
      <c r="B19" s="240">
        <f>'FORM-10 (A-F)'!C343</f>
        <v>0</v>
      </c>
      <c r="C19" s="240">
        <f>'FORM-10 (A-F)'!E62</f>
        <v>0</v>
      </c>
      <c r="D19" s="240">
        <f>'FORM-10 (A-F)'!E343</f>
        <v>0</v>
      </c>
      <c r="E19" s="240">
        <f>'FORM-10 (A-F)'!D343</f>
        <v>0</v>
      </c>
      <c r="F19" s="240">
        <f>'FORM-10 (A-F)'!F343</f>
        <v>0</v>
      </c>
      <c r="G19" s="240">
        <f>'FORM-10 (A-F)'!G343</f>
        <v>0</v>
      </c>
      <c r="H19" s="240">
        <f>'FORM-10 (A-F)'!H343</f>
        <v>0</v>
      </c>
      <c r="I19" s="240">
        <f>'FORM-10 (A-F)'!I343</f>
        <v>0</v>
      </c>
      <c r="J19" s="181"/>
      <c r="K19" s="182"/>
      <c r="L19" s="194" t="s">
        <v>796</v>
      </c>
      <c r="M19" s="142"/>
      <c r="N19" s="142"/>
      <c r="O19" s="194" t="s">
        <v>797</v>
      </c>
      <c r="P19" s="162"/>
      <c r="R19" s="156"/>
      <c r="S19" s="156"/>
      <c r="T19" s="188"/>
    </row>
    <row r="20" spans="1:20" ht="17.25">
      <c r="A20" s="240">
        <f>'FORM-10 (A-F)'!B344</f>
        <v>0</v>
      </c>
      <c r="B20" s="240">
        <f>'FORM-10 (A-F)'!C344</f>
        <v>0</v>
      </c>
      <c r="C20" s="240">
        <f>'FORM-10 (A-F)'!E63</f>
        <v>0</v>
      </c>
      <c r="D20" s="240">
        <f>'FORM-10 (A-F)'!E344</f>
        <v>0</v>
      </c>
      <c r="E20" s="240">
        <f>'FORM-10 (A-F)'!D344</f>
        <v>0</v>
      </c>
      <c r="F20" s="240">
        <f>'FORM-10 (A-F)'!F344</f>
        <v>0</v>
      </c>
      <c r="G20" s="240">
        <f>'FORM-10 (A-F)'!G344</f>
        <v>0</v>
      </c>
      <c r="H20" s="240">
        <f>'FORM-10 (A-F)'!H344</f>
        <v>0</v>
      </c>
      <c r="I20" s="240">
        <f>'FORM-10 (A-F)'!I344</f>
        <v>0</v>
      </c>
      <c r="J20" s="181"/>
      <c r="K20" s="182"/>
      <c r="L20" s="200" t="s">
        <v>798</v>
      </c>
      <c r="M20" s="149"/>
      <c r="N20" s="250">
        <f>+C38</f>
        <v>0</v>
      </c>
      <c r="O20" s="148">
        <f>'FORM-10 (A-F)'!G71</f>
        <v>0</v>
      </c>
      <c r="P20" s="162"/>
      <c r="R20" s="156"/>
      <c r="S20" s="156"/>
      <c r="T20" s="188"/>
    </row>
    <row r="21" spans="1:20" ht="18" thickBot="1">
      <c r="A21" s="240">
        <f>'FORM-10 (A-F)'!B345</f>
        <v>0</v>
      </c>
      <c r="B21" s="240">
        <f>'FORM-10 (A-F)'!C345</f>
        <v>0</v>
      </c>
      <c r="C21" s="240">
        <f>'FORM-10 (A-F)'!E65</f>
        <v>0</v>
      </c>
      <c r="D21" s="240">
        <f>'FORM-10 (A-F)'!E345</f>
        <v>0</v>
      </c>
      <c r="E21" s="240">
        <f>'FORM-10 (A-F)'!D345</f>
        <v>0</v>
      </c>
      <c r="F21" s="240">
        <f>'FORM-10 (A-F)'!F345</f>
        <v>0</v>
      </c>
      <c r="G21" s="240">
        <f>'FORM-10 (A-F)'!G345</f>
        <v>0</v>
      </c>
      <c r="H21" s="240">
        <f>'FORM-10 (A-F)'!H345</f>
        <v>0</v>
      </c>
      <c r="I21" s="240">
        <f>'FORM-10 (A-F)'!I345</f>
        <v>0</v>
      </c>
      <c r="J21" s="181"/>
      <c r="K21" s="182"/>
      <c r="L21" s="142" t="s">
        <v>785</v>
      </c>
      <c r="M21" s="201" t="s">
        <v>666</v>
      </c>
      <c r="N21" s="288">
        <f>-D40</f>
        <v>0</v>
      </c>
      <c r="O21" s="142" t="s">
        <v>799</v>
      </c>
      <c r="P21" s="202" t="s">
        <v>800</v>
      </c>
      <c r="R21" s="156"/>
      <c r="S21" s="156"/>
      <c r="T21" s="156"/>
    </row>
    <row r="22" spans="1:20" ht="18" thickTop="1">
      <c r="A22" s="240">
        <f>'FORM-10 (A-F)'!B346</f>
        <v>0</v>
      </c>
      <c r="B22" s="240">
        <f>'FORM-10 (A-F)'!C346</f>
        <v>0</v>
      </c>
      <c r="C22" s="240">
        <f>'FORM-10 (A-F)'!E66</f>
        <v>0</v>
      </c>
      <c r="D22" s="240">
        <f>'FORM-10 (A-F)'!E346</f>
        <v>0</v>
      </c>
      <c r="E22" s="240">
        <f>'FORM-10 (A-F)'!D346</f>
        <v>0</v>
      </c>
      <c r="F22" s="240">
        <f>'FORM-10 (A-F)'!F346</f>
        <v>0</v>
      </c>
      <c r="G22" s="240">
        <f>'FORM-10 (A-F)'!G346</f>
        <v>0</v>
      </c>
      <c r="H22" s="240">
        <f>'FORM-10 (A-F)'!H346</f>
        <v>0</v>
      </c>
      <c r="I22" s="240">
        <f>'FORM-10 (A-F)'!I346</f>
        <v>0</v>
      </c>
      <c r="J22" s="181"/>
      <c r="K22" s="182"/>
      <c r="L22" s="142" t="s">
        <v>801</v>
      </c>
      <c r="M22" s="142"/>
      <c r="N22" s="247">
        <f>+N20-N21</f>
        <v>0</v>
      </c>
      <c r="O22" s="142"/>
      <c r="P22" s="203" t="s">
        <v>802</v>
      </c>
      <c r="S22" s="156"/>
      <c r="T22" s="156"/>
    </row>
    <row r="23" spans="1:20" ht="18" thickBot="1">
      <c r="A23" s="240">
        <f>'FORM-10 (A-F)'!B347</f>
        <v>0</v>
      </c>
      <c r="B23" s="240">
        <f>'FORM-10 (A-F)'!C347</f>
        <v>0</v>
      </c>
      <c r="C23" s="240">
        <f>'FORM-10 (A-F)'!E67</f>
        <v>0</v>
      </c>
      <c r="D23" s="240">
        <f>'FORM-10 (A-F)'!E347</f>
        <v>0</v>
      </c>
      <c r="E23" s="240">
        <f>'FORM-10 (A-F)'!D347</f>
        <v>0</v>
      </c>
      <c r="F23" s="240">
        <f>'FORM-10 (A-F)'!F347</f>
        <v>0</v>
      </c>
      <c r="G23" s="240">
        <f>'FORM-10 (A-F)'!G347</f>
        <v>0</v>
      </c>
      <c r="H23" s="240">
        <f>'FORM-10 (A-F)'!H347</f>
        <v>0</v>
      </c>
      <c r="I23" s="240">
        <f>'FORM-10 (A-F)'!I347</f>
        <v>0</v>
      </c>
      <c r="J23" s="181"/>
      <c r="K23" s="182"/>
      <c r="L23" s="142" t="s">
        <v>789</v>
      </c>
      <c r="M23" s="142"/>
      <c r="N23" s="251">
        <f>+B60</f>
        <v>0</v>
      </c>
      <c r="O23" s="142"/>
      <c r="P23" s="204">
        <f>IF(O20&lt;&gt;0,(+N20/O20),0)</f>
        <v>0</v>
      </c>
      <c r="S23" s="156"/>
      <c r="T23" s="205"/>
    </row>
    <row r="24" spans="1:20" ht="18" thickTop="1">
      <c r="A24" s="240">
        <f>'FORM-10 (A-F)'!B348</f>
        <v>0</v>
      </c>
      <c r="B24" s="240">
        <f>'FORM-10 (A-F)'!C348</f>
        <v>0</v>
      </c>
      <c r="C24" s="240">
        <f>'FORM-10 (A-F)'!E68</f>
        <v>0</v>
      </c>
      <c r="D24" s="240">
        <f>'FORM-10 (A-F)'!E348</f>
        <v>0</v>
      </c>
      <c r="E24" s="240">
        <f>'FORM-10 (A-F)'!D348</f>
        <v>0</v>
      </c>
      <c r="F24" s="240">
        <f>'FORM-10 (A-F)'!F348</f>
        <v>0</v>
      </c>
      <c r="G24" s="240">
        <f>'FORM-10 (A-F)'!G348</f>
        <v>0</v>
      </c>
      <c r="H24" s="240">
        <f>'FORM-10 (A-F)'!H348</f>
        <v>0</v>
      </c>
      <c r="I24" s="240">
        <f>'FORM-10 (A-F)'!I348</f>
        <v>0</v>
      </c>
      <c r="J24" s="181"/>
      <c r="K24" s="182"/>
      <c r="L24" s="142" t="s">
        <v>790</v>
      </c>
      <c r="M24" s="142"/>
      <c r="N24" s="247">
        <f>+N22*N23</f>
        <v>0</v>
      </c>
      <c r="O24" s="142"/>
      <c r="P24" s="162"/>
      <c r="S24" s="156"/>
      <c r="T24" s="156"/>
    </row>
    <row r="25" spans="1:20" ht="17.25">
      <c r="A25" s="240">
        <f>'FORM-10 (A-F)'!B349</f>
        <v>0</v>
      </c>
      <c r="B25" s="240">
        <f>'FORM-10 (A-F)'!C349</f>
        <v>0</v>
      </c>
      <c r="C25" s="240">
        <f>'FORM-10 (A-F)'!E69</f>
        <v>0</v>
      </c>
      <c r="D25" s="240">
        <f>'FORM-10 (A-F)'!E349</f>
        <v>0</v>
      </c>
      <c r="E25" s="240">
        <f>'FORM-10 (A-F)'!D349</f>
        <v>0</v>
      </c>
      <c r="F25" s="240">
        <f>'FORM-10 (A-F)'!F349</f>
        <v>0</v>
      </c>
      <c r="G25" s="240">
        <f>'FORM-10 (A-F)'!G349</f>
        <v>0</v>
      </c>
      <c r="H25" s="240">
        <f>'FORM-10 (A-F)'!H349</f>
        <v>0</v>
      </c>
      <c r="I25" s="240">
        <f>'FORM-10 (A-F)'!I349</f>
        <v>0</v>
      </c>
      <c r="J25" s="181"/>
      <c r="K25" s="182"/>
      <c r="L25" s="182"/>
      <c r="M25" s="183"/>
      <c r="S25" s="156"/>
      <c r="T25" s="205"/>
    </row>
    <row r="26" spans="1:20" ht="17.25">
      <c r="A26" s="240">
        <f>'FORM-10 (A-F)'!B350</f>
        <v>0</v>
      </c>
      <c r="B26" s="240">
        <f>'FORM-10 (A-F)'!C350</f>
        <v>0</v>
      </c>
      <c r="C26" s="322"/>
      <c r="D26" s="240">
        <f>'FORM-10 (A-F)'!E350</f>
        <v>0</v>
      </c>
      <c r="E26" s="240">
        <f>'FORM-10 (A-F)'!D350</f>
        <v>0</v>
      </c>
      <c r="F26" s="240">
        <f>'FORM-10 (A-F)'!F350</f>
        <v>0</v>
      </c>
      <c r="G26" s="240">
        <f>'FORM-10 (A-F)'!G350</f>
        <v>0</v>
      </c>
      <c r="H26" s="240">
        <f>'FORM-10 (A-F)'!H350</f>
        <v>0</v>
      </c>
      <c r="I26" s="240">
        <f>'FORM-10 (A-F)'!I350</f>
        <v>0</v>
      </c>
      <c r="J26" s="181"/>
      <c r="K26" s="182"/>
      <c r="L26" s="182"/>
      <c r="M26" s="183"/>
      <c r="S26" s="156"/>
      <c r="T26" s="156"/>
    </row>
    <row r="27" spans="1:20" ht="18" thickBot="1">
      <c r="A27" s="240">
        <f>'FORM-10 (A-F)'!B351</f>
        <v>0</v>
      </c>
      <c r="B27" s="240">
        <f>'FORM-10 (A-F)'!C351</f>
        <v>0</v>
      </c>
      <c r="C27" s="323"/>
      <c r="D27" s="240">
        <f>'FORM-10 (A-F)'!E351</f>
        <v>0</v>
      </c>
      <c r="E27" s="240">
        <f>'FORM-10 (A-F)'!D351</f>
        <v>0</v>
      </c>
      <c r="F27" s="240">
        <f>'FORM-10 (A-F)'!F351</f>
        <v>0</v>
      </c>
      <c r="G27" s="240">
        <f>'FORM-10 (A-F)'!G351</f>
        <v>0</v>
      </c>
      <c r="H27" s="240">
        <f>'FORM-10 (A-F)'!H351</f>
        <v>0</v>
      </c>
      <c r="I27" s="240">
        <f>'FORM-10 (A-F)'!I351</f>
        <v>0</v>
      </c>
      <c r="J27" s="181"/>
      <c r="K27" s="182"/>
      <c r="L27" s="182"/>
      <c r="M27" s="183"/>
      <c r="S27" s="156"/>
      <c r="T27" s="206"/>
    </row>
    <row r="28" spans="1:20" ht="18" thickTop="1">
      <c r="A28" s="252" t="s">
        <v>803</v>
      </c>
      <c r="B28" s="253">
        <f>SUM(B8:B27)</f>
        <v>0</v>
      </c>
      <c r="C28" s="207"/>
      <c r="D28" s="277"/>
      <c r="E28" s="255"/>
      <c r="F28" s="254"/>
      <c r="G28" s="256"/>
      <c r="H28" s="254"/>
      <c r="I28" s="257">
        <f>SUM(I8:I27)</f>
        <v>0</v>
      </c>
      <c r="J28" s="208"/>
      <c r="K28" s="209"/>
      <c r="L28" s="210"/>
      <c r="M28" s="183"/>
      <c r="S28" s="183"/>
      <c r="T28" s="156"/>
    </row>
    <row r="29" spans="1:20" ht="15">
      <c r="A29" s="211"/>
      <c r="B29" s="211"/>
      <c r="C29" s="211"/>
      <c r="D29" s="156"/>
      <c r="E29" s="156"/>
      <c r="F29" s="183"/>
      <c r="G29" s="156"/>
      <c r="H29" s="156"/>
      <c r="I29" s="156"/>
      <c r="J29" s="156"/>
      <c r="K29" s="156"/>
      <c r="L29" s="156"/>
      <c r="M29" s="183"/>
      <c r="S29" s="183"/>
      <c r="T29" s="156"/>
    </row>
    <row r="30" spans="1:20" ht="15">
      <c r="A30" s="211"/>
      <c r="B30" s="211"/>
      <c r="C30" s="212" t="s">
        <v>489</v>
      </c>
      <c r="D30" s="211"/>
      <c r="E30" s="213"/>
      <c r="F30" s="156"/>
      <c r="G30" s="214"/>
      <c r="H30" s="156"/>
      <c r="I30" s="163"/>
      <c r="J30" s="163"/>
      <c r="K30" s="163"/>
      <c r="L30" s="163"/>
      <c r="M30" s="211"/>
      <c r="N30" s="211"/>
      <c r="O30" s="211"/>
      <c r="P30" s="211"/>
      <c r="Q30" s="156"/>
      <c r="R30" s="156"/>
      <c r="S30" s="215"/>
      <c r="T30" s="215"/>
    </row>
    <row r="31" spans="1:33" ht="17.25">
      <c r="A31" s="258" t="s">
        <v>804</v>
      </c>
      <c r="B31" s="258"/>
      <c r="C31" s="259"/>
      <c r="D31" s="260" t="s">
        <v>782</v>
      </c>
      <c r="E31" s="260" t="s">
        <v>805</v>
      </c>
      <c r="F31" s="260" t="s">
        <v>806</v>
      </c>
      <c r="G31" s="260" t="s">
        <v>807</v>
      </c>
      <c r="H31" s="260" t="s">
        <v>808</v>
      </c>
      <c r="I31" s="260" t="s">
        <v>809</v>
      </c>
      <c r="J31" s="260" t="s">
        <v>810</v>
      </c>
      <c r="K31" s="260" t="s">
        <v>811</v>
      </c>
      <c r="L31" s="260" t="s">
        <v>812</v>
      </c>
      <c r="M31" s="260" t="s">
        <v>813</v>
      </c>
      <c r="N31" s="260" t="s">
        <v>814</v>
      </c>
      <c r="O31" s="260" t="s">
        <v>815</v>
      </c>
      <c r="P31" s="260" t="s">
        <v>816</v>
      </c>
      <c r="Q31" s="260" t="s">
        <v>817</v>
      </c>
      <c r="R31" s="260" t="s">
        <v>818</v>
      </c>
      <c r="S31" s="260" t="s">
        <v>819</v>
      </c>
      <c r="T31" s="260" t="s">
        <v>820</v>
      </c>
      <c r="U31" s="260" t="s">
        <v>860</v>
      </c>
      <c r="V31" s="260" t="s">
        <v>861</v>
      </c>
      <c r="W31" s="260" t="s">
        <v>862</v>
      </c>
      <c r="X31" s="260" t="s">
        <v>863</v>
      </c>
      <c r="Y31" s="260" t="s">
        <v>864</v>
      </c>
      <c r="Z31" s="260" t="s">
        <v>865</v>
      </c>
      <c r="AA31" s="260" t="s">
        <v>866</v>
      </c>
      <c r="AB31" s="260" t="s">
        <v>867</v>
      </c>
      <c r="AC31" s="260" t="s">
        <v>868</v>
      </c>
      <c r="AD31" s="260" t="s">
        <v>869</v>
      </c>
      <c r="AE31" s="260" t="s">
        <v>870</v>
      </c>
      <c r="AF31" s="260" t="s">
        <v>871</v>
      </c>
      <c r="AG31" s="260" t="s">
        <v>872</v>
      </c>
    </row>
    <row r="32" spans="1:33" ht="17.25">
      <c r="A32" s="259" t="s">
        <v>542</v>
      </c>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row>
    <row r="33" spans="1:33" ht="17.25">
      <c r="A33" s="216" t="s">
        <v>543</v>
      </c>
      <c r="B33" s="216"/>
      <c r="C33" s="259"/>
      <c r="D33" s="217">
        <f>+I28</f>
        <v>0</v>
      </c>
      <c r="E33" s="217">
        <f>+D33+D33*($I1)</f>
        <v>0</v>
      </c>
      <c r="F33" s="217">
        <f>+E33+E33*($I1)</f>
        <v>0</v>
      </c>
      <c r="G33" s="217">
        <f aca="true" t="shared" si="0" ref="G33:T33">+F33+F33*($I1)</f>
        <v>0</v>
      </c>
      <c r="H33" s="217">
        <f t="shared" si="0"/>
        <v>0</v>
      </c>
      <c r="I33" s="217">
        <f t="shared" si="0"/>
        <v>0</v>
      </c>
      <c r="J33" s="217">
        <f t="shared" si="0"/>
        <v>0</v>
      </c>
      <c r="K33" s="217">
        <f t="shared" si="0"/>
        <v>0</v>
      </c>
      <c r="L33" s="217">
        <f t="shared" si="0"/>
        <v>0</v>
      </c>
      <c r="M33" s="217">
        <f t="shared" si="0"/>
        <v>0</v>
      </c>
      <c r="N33" s="217">
        <f t="shared" si="0"/>
        <v>0</v>
      </c>
      <c r="O33" s="217">
        <f t="shared" si="0"/>
        <v>0</v>
      </c>
      <c r="P33" s="217">
        <f t="shared" si="0"/>
        <v>0</v>
      </c>
      <c r="Q33" s="217">
        <f t="shared" si="0"/>
        <v>0</v>
      </c>
      <c r="R33" s="217">
        <f t="shared" si="0"/>
        <v>0</v>
      </c>
      <c r="S33" s="217">
        <f t="shared" si="0"/>
        <v>0</v>
      </c>
      <c r="T33" s="217">
        <f t="shared" si="0"/>
        <v>0</v>
      </c>
      <c r="U33" s="217">
        <f aca="true" t="shared" si="1" ref="U33:AG33">+T33+T33*($I1)</f>
        <v>0</v>
      </c>
      <c r="V33" s="217">
        <f t="shared" si="1"/>
        <v>0</v>
      </c>
      <c r="W33" s="217">
        <f t="shared" si="1"/>
        <v>0</v>
      </c>
      <c r="X33" s="217">
        <f t="shared" si="1"/>
        <v>0</v>
      </c>
      <c r="Y33" s="217">
        <f t="shared" si="1"/>
        <v>0</v>
      </c>
      <c r="Z33" s="217">
        <f t="shared" si="1"/>
        <v>0</v>
      </c>
      <c r="AA33" s="217">
        <f t="shared" si="1"/>
        <v>0</v>
      </c>
      <c r="AB33" s="217">
        <f t="shared" si="1"/>
        <v>0</v>
      </c>
      <c r="AC33" s="217">
        <f t="shared" si="1"/>
        <v>0</v>
      </c>
      <c r="AD33" s="217">
        <f t="shared" si="1"/>
        <v>0</v>
      </c>
      <c r="AE33" s="217">
        <f t="shared" si="1"/>
        <v>0</v>
      </c>
      <c r="AF33" s="217">
        <f t="shared" si="1"/>
        <v>0</v>
      </c>
      <c r="AG33" s="217">
        <f t="shared" si="1"/>
        <v>0</v>
      </c>
    </row>
    <row r="34" spans="1:33" ht="17.25">
      <c r="A34" s="261" t="s">
        <v>821</v>
      </c>
      <c r="B34" s="242">
        <f>'FORM-10 (A-F)'!D417</f>
        <v>0</v>
      </c>
      <c r="C34" s="262" t="s">
        <v>489</v>
      </c>
      <c r="D34" s="218">
        <f>-$I28*(B34/100)</f>
        <v>0</v>
      </c>
      <c r="E34" s="218">
        <f>-E$33*($B34/100)</f>
        <v>0</v>
      </c>
      <c r="F34" s="218">
        <f aca="true" t="shared" si="2" ref="F34:AG34">-F$33*($B34/100)</f>
        <v>0</v>
      </c>
      <c r="G34" s="218">
        <f t="shared" si="2"/>
        <v>0</v>
      </c>
      <c r="H34" s="218">
        <f t="shared" si="2"/>
        <v>0</v>
      </c>
      <c r="I34" s="218">
        <f t="shared" si="2"/>
        <v>0</v>
      </c>
      <c r="J34" s="218">
        <f t="shared" si="2"/>
        <v>0</v>
      </c>
      <c r="K34" s="218">
        <f t="shared" si="2"/>
        <v>0</v>
      </c>
      <c r="L34" s="218">
        <f t="shared" si="2"/>
        <v>0</v>
      </c>
      <c r="M34" s="218">
        <f t="shared" si="2"/>
        <v>0</v>
      </c>
      <c r="N34" s="218">
        <f t="shared" si="2"/>
        <v>0</v>
      </c>
      <c r="O34" s="218">
        <f t="shared" si="2"/>
        <v>0</v>
      </c>
      <c r="P34" s="218">
        <f t="shared" si="2"/>
        <v>0</v>
      </c>
      <c r="Q34" s="218">
        <f t="shared" si="2"/>
        <v>0</v>
      </c>
      <c r="R34" s="218">
        <f t="shared" si="2"/>
        <v>0</v>
      </c>
      <c r="S34" s="218">
        <f t="shared" si="2"/>
        <v>0</v>
      </c>
      <c r="T34" s="218">
        <f t="shared" si="2"/>
        <v>0</v>
      </c>
      <c r="U34" s="218">
        <f t="shared" si="2"/>
        <v>0</v>
      </c>
      <c r="V34" s="218">
        <f t="shared" si="2"/>
        <v>0</v>
      </c>
      <c r="W34" s="218">
        <f t="shared" si="2"/>
        <v>0</v>
      </c>
      <c r="X34" s="218">
        <f t="shared" si="2"/>
        <v>0</v>
      </c>
      <c r="Y34" s="218">
        <f t="shared" si="2"/>
        <v>0</v>
      </c>
      <c r="Z34" s="218">
        <f t="shared" si="2"/>
        <v>0</v>
      </c>
      <c r="AA34" s="218">
        <f t="shared" si="2"/>
        <v>0</v>
      </c>
      <c r="AB34" s="218">
        <f t="shared" si="2"/>
        <v>0</v>
      </c>
      <c r="AC34" s="218">
        <f t="shared" si="2"/>
        <v>0</v>
      </c>
      <c r="AD34" s="218">
        <f t="shared" si="2"/>
        <v>0</v>
      </c>
      <c r="AE34" s="218">
        <f t="shared" si="2"/>
        <v>0</v>
      </c>
      <c r="AF34" s="218">
        <f t="shared" si="2"/>
        <v>0</v>
      </c>
      <c r="AG34" s="218">
        <f t="shared" si="2"/>
        <v>0</v>
      </c>
    </row>
    <row r="35" spans="1:33" ht="17.25">
      <c r="A35" s="216" t="s">
        <v>822</v>
      </c>
      <c r="B35" s="216"/>
      <c r="C35" s="247"/>
      <c r="D35" s="217">
        <f>SUM(D33:D34)</f>
        <v>0</v>
      </c>
      <c r="E35" s="217">
        <f aca="true" t="shared" si="3" ref="E35:S35">SUM(E33:E34)</f>
        <v>0</v>
      </c>
      <c r="F35" s="217">
        <f t="shared" si="3"/>
        <v>0</v>
      </c>
      <c r="G35" s="217">
        <f t="shared" si="3"/>
        <v>0</v>
      </c>
      <c r="H35" s="217">
        <f t="shared" si="3"/>
        <v>0</v>
      </c>
      <c r="I35" s="217">
        <f t="shared" si="3"/>
        <v>0</v>
      </c>
      <c r="J35" s="217">
        <f t="shared" si="3"/>
        <v>0</v>
      </c>
      <c r="K35" s="217">
        <f t="shared" si="3"/>
        <v>0</v>
      </c>
      <c r="L35" s="217">
        <f t="shared" si="3"/>
        <v>0</v>
      </c>
      <c r="M35" s="217">
        <f t="shared" si="3"/>
        <v>0</v>
      </c>
      <c r="N35" s="217">
        <f t="shared" si="3"/>
        <v>0</v>
      </c>
      <c r="O35" s="217">
        <f t="shared" si="3"/>
        <v>0</v>
      </c>
      <c r="P35" s="217">
        <f t="shared" si="3"/>
        <v>0</v>
      </c>
      <c r="Q35" s="217">
        <f t="shared" si="3"/>
        <v>0</v>
      </c>
      <c r="R35" s="217">
        <f t="shared" si="3"/>
        <v>0</v>
      </c>
      <c r="S35" s="217">
        <f t="shared" si="3"/>
        <v>0</v>
      </c>
      <c r="T35" s="217">
        <f aca="true" t="shared" si="4" ref="T35:AG35">SUM(T33:T34)</f>
        <v>0</v>
      </c>
      <c r="U35" s="217">
        <f t="shared" si="4"/>
        <v>0</v>
      </c>
      <c r="V35" s="217">
        <f t="shared" si="4"/>
        <v>0</v>
      </c>
      <c r="W35" s="217">
        <f t="shared" si="4"/>
        <v>0</v>
      </c>
      <c r="X35" s="217">
        <f t="shared" si="4"/>
        <v>0</v>
      </c>
      <c r="Y35" s="217">
        <f t="shared" si="4"/>
        <v>0</v>
      </c>
      <c r="Z35" s="217">
        <f t="shared" si="4"/>
        <v>0</v>
      </c>
      <c r="AA35" s="217">
        <f t="shared" si="4"/>
        <v>0</v>
      </c>
      <c r="AB35" s="217">
        <f t="shared" si="4"/>
        <v>0</v>
      </c>
      <c r="AC35" s="217">
        <f t="shared" si="4"/>
        <v>0</v>
      </c>
      <c r="AD35" s="217">
        <f t="shared" si="4"/>
        <v>0</v>
      </c>
      <c r="AE35" s="217">
        <f t="shared" si="4"/>
        <v>0</v>
      </c>
      <c r="AF35" s="217">
        <f t="shared" si="4"/>
        <v>0</v>
      </c>
      <c r="AG35" s="217">
        <f t="shared" si="4"/>
        <v>0</v>
      </c>
    </row>
    <row r="36" spans="1:33" ht="17.25">
      <c r="A36" s="216"/>
      <c r="B36" s="216"/>
      <c r="C36" s="24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row>
    <row r="37" spans="1:33" ht="17.25">
      <c r="A37" s="216"/>
      <c r="B37" s="216"/>
      <c r="C37" s="24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row>
    <row r="38" spans="1:33" ht="17.25">
      <c r="A38" s="216" t="s">
        <v>547</v>
      </c>
      <c r="B38" s="216"/>
      <c r="C38" s="263">
        <f>'FORM-10 (A-F)'!F420</f>
        <v>0</v>
      </c>
      <c r="D38" s="217">
        <f>+C38</f>
        <v>0</v>
      </c>
      <c r="E38" s="217">
        <f>+D38+D38*$I4</f>
        <v>0</v>
      </c>
      <c r="F38" s="217">
        <f>+E38+E38*$I4</f>
        <v>0</v>
      </c>
      <c r="G38" s="217">
        <f aca="true" t="shared" si="5" ref="G38:T38">+F38+F38*$I4</f>
        <v>0</v>
      </c>
      <c r="H38" s="217">
        <f t="shared" si="5"/>
        <v>0</v>
      </c>
      <c r="I38" s="217">
        <f t="shared" si="5"/>
        <v>0</v>
      </c>
      <c r="J38" s="217">
        <f t="shared" si="5"/>
        <v>0</v>
      </c>
      <c r="K38" s="217">
        <f t="shared" si="5"/>
        <v>0</v>
      </c>
      <c r="L38" s="217">
        <f t="shared" si="5"/>
        <v>0</v>
      </c>
      <c r="M38" s="217">
        <f t="shared" si="5"/>
        <v>0</v>
      </c>
      <c r="N38" s="217">
        <f t="shared" si="5"/>
        <v>0</v>
      </c>
      <c r="O38" s="217">
        <f t="shared" si="5"/>
        <v>0</v>
      </c>
      <c r="P38" s="217">
        <f t="shared" si="5"/>
        <v>0</v>
      </c>
      <c r="Q38" s="217">
        <f t="shared" si="5"/>
        <v>0</v>
      </c>
      <c r="R38" s="217">
        <f t="shared" si="5"/>
        <v>0</v>
      </c>
      <c r="S38" s="217">
        <f t="shared" si="5"/>
        <v>0</v>
      </c>
      <c r="T38" s="217">
        <f t="shared" si="5"/>
        <v>0</v>
      </c>
      <c r="U38" s="217">
        <f aca="true" t="shared" si="6" ref="U38:AG38">+T38+T38*$I4</f>
        <v>0</v>
      </c>
      <c r="V38" s="217">
        <f t="shared" si="6"/>
        <v>0</v>
      </c>
      <c r="W38" s="217">
        <f t="shared" si="6"/>
        <v>0</v>
      </c>
      <c r="X38" s="217">
        <f t="shared" si="6"/>
        <v>0</v>
      </c>
      <c r="Y38" s="217">
        <f t="shared" si="6"/>
        <v>0</v>
      </c>
      <c r="Z38" s="217">
        <f t="shared" si="6"/>
        <v>0</v>
      </c>
      <c r="AA38" s="217">
        <f t="shared" si="6"/>
        <v>0</v>
      </c>
      <c r="AB38" s="217">
        <f t="shared" si="6"/>
        <v>0</v>
      </c>
      <c r="AC38" s="217">
        <f t="shared" si="6"/>
        <v>0</v>
      </c>
      <c r="AD38" s="217">
        <f t="shared" si="6"/>
        <v>0</v>
      </c>
      <c r="AE38" s="217">
        <f t="shared" si="6"/>
        <v>0</v>
      </c>
      <c r="AF38" s="217">
        <f t="shared" si="6"/>
        <v>0</v>
      </c>
      <c r="AG38" s="217">
        <f t="shared" si="6"/>
        <v>0</v>
      </c>
    </row>
    <row r="39" spans="1:33" ht="17.25">
      <c r="A39" s="216" t="s">
        <v>548</v>
      </c>
      <c r="B39" s="216"/>
      <c r="C39" s="264">
        <f>'FORM-10 (A-F)'!F421</f>
        <v>0</v>
      </c>
      <c r="D39" s="217">
        <f>+C39</f>
        <v>0</v>
      </c>
      <c r="E39" s="217">
        <f>+D39+D39*$I4</f>
        <v>0</v>
      </c>
      <c r="F39" s="217">
        <f aca="true" t="shared" si="7" ref="F39:T39">+E39+E39*$I4</f>
        <v>0</v>
      </c>
      <c r="G39" s="217">
        <f t="shared" si="7"/>
        <v>0</v>
      </c>
      <c r="H39" s="217">
        <f t="shared" si="7"/>
        <v>0</v>
      </c>
      <c r="I39" s="217">
        <f t="shared" si="7"/>
        <v>0</v>
      </c>
      <c r="J39" s="217">
        <f t="shared" si="7"/>
        <v>0</v>
      </c>
      <c r="K39" s="217">
        <f t="shared" si="7"/>
        <v>0</v>
      </c>
      <c r="L39" s="217">
        <f t="shared" si="7"/>
        <v>0</v>
      </c>
      <c r="M39" s="217">
        <f t="shared" si="7"/>
        <v>0</v>
      </c>
      <c r="N39" s="217">
        <f t="shared" si="7"/>
        <v>0</v>
      </c>
      <c r="O39" s="217">
        <f t="shared" si="7"/>
        <v>0</v>
      </c>
      <c r="P39" s="217">
        <f t="shared" si="7"/>
        <v>0</v>
      </c>
      <c r="Q39" s="217">
        <f t="shared" si="7"/>
        <v>0</v>
      </c>
      <c r="R39" s="217">
        <f t="shared" si="7"/>
        <v>0</v>
      </c>
      <c r="S39" s="217">
        <f t="shared" si="7"/>
        <v>0</v>
      </c>
      <c r="T39" s="217">
        <f t="shared" si="7"/>
        <v>0</v>
      </c>
      <c r="U39" s="217">
        <f aca="true" t="shared" si="8" ref="U39:AG39">+T39+T39*$I4</f>
        <v>0</v>
      </c>
      <c r="V39" s="217">
        <f t="shared" si="8"/>
        <v>0</v>
      </c>
      <c r="W39" s="217">
        <f t="shared" si="8"/>
        <v>0</v>
      </c>
      <c r="X39" s="217">
        <f t="shared" si="8"/>
        <v>0</v>
      </c>
      <c r="Y39" s="217">
        <f t="shared" si="8"/>
        <v>0</v>
      </c>
      <c r="Z39" s="217">
        <f t="shared" si="8"/>
        <v>0</v>
      </c>
      <c r="AA39" s="217">
        <f t="shared" si="8"/>
        <v>0</v>
      </c>
      <c r="AB39" s="217">
        <f t="shared" si="8"/>
        <v>0</v>
      </c>
      <c r="AC39" s="217">
        <f t="shared" si="8"/>
        <v>0</v>
      </c>
      <c r="AD39" s="217">
        <f t="shared" si="8"/>
        <v>0</v>
      </c>
      <c r="AE39" s="217">
        <f t="shared" si="8"/>
        <v>0</v>
      </c>
      <c r="AF39" s="217">
        <f t="shared" si="8"/>
        <v>0</v>
      </c>
      <c r="AG39" s="217">
        <f t="shared" si="8"/>
        <v>0</v>
      </c>
    </row>
    <row r="40" spans="1:33" ht="17.25">
      <c r="A40" s="216" t="s">
        <v>823</v>
      </c>
      <c r="B40" s="216"/>
      <c r="C40" s="265">
        <f>+I5/100</f>
        <v>0</v>
      </c>
      <c r="D40" s="219">
        <f>-$C40*SUM(D38:D39)</f>
        <v>0</v>
      </c>
      <c r="E40" s="219">
        <f aca="true" t="shared" si="9" ref="E40:AG40">-$C40*SUM(E38:E39)</f>
        <v>0</v>
      </c>
      <c r="F40" s="219">
        <f t="shared" si="9"/>
        <v>0</v>
      </c>
      <c r="G40" s="219">
        <f t="shared" si="9"/>
        <v>0</v>
      </c>
      <c r="H40" s="219">
        <f t="shared" si="9"/>
        <v>0</v>
      </c>
      <c r="I40" s="219">
        <f t="shared" si="9"/>
        <v>0</v>
      </c>
      <c r="J40" s="219">
        <f t="shared" si="9"/>
        <v>0</v>
      </c>
      <c r="K40" s="219">
        <f t="shared" si="9"/>
        <v>0</v>
      </c>
      <c r="L40" s="219">
        <f t="shared" si="9"/>
        <v>0</v>
      </c>
      <c r="M40" s="219">
        <f t="shared" si="9"/>
        <v>0</v>
      </c>
      <c r="N40" s="219">
        <f t="shared" si="9"/>
        <v>0</v>
      </c>
      <c r="O40" s="219">
        <f t="shared" si="9"/>
        <v>0</v>
      </c>
      <c r="P40" s="219">
        <f t="shared" si="9"/>
        <v>0</v>
      </c>
      <c r="Q40" s="219">
        <f t="shared" si="9"/>
        <v>0</v>
      </c>
      <c r="R40" s="219">
        <f t="shared" si="9"/>
        <v>0</v>
      </c>
      <c r="S40" s="219">
        <f t="shared" si="9"/>
        <v>0</v>
      </c>
      <c r="T40" s="219">
        <f t="shared" si="9"/>
        <v>0</v>
      </c>
      <c r="U40" s="219">
        <f t="shared" si="9"/>
        <v>0</v>
      </c>
      <c r="V40" s="219">
        <f t="shared" si="9"/>
        <v>0</v>
      </c>
      <c r="W40" s="219">
        <f t="shared" si="9"/>
        <v>0</v>
      </c>
      <c r="X40" s="219">
        <f t="shared" si="9"/>
        <v>0</v>
      </c>
      <c r="Y40" s="219">
        <f t="shared" si="9"/>
        <v>0</v>
      </c>
      <c r="Z40" s="219">
        <f t="shared" si="9"/>
        <v>0</v>
      </c>
      <c r="AA40" s="219">
        <f t="shared" si="9"/>
        <v>0</v>
      </c>
      <c r="AB40" s="219">
        <f t="shared" si="9"/>
        <v>0</v>
      </c>
      <c r="AC40" s="219">
        <f t="shared" si="9"/>
        <v>0</v>
      </c>
      <c r="AD40" s="219">
        <f t="shared" si="9"/>
        <v>0</v>
      </c>
      <c r="AE40" s="219">
        <f t="shared" si="9"/>
        <v>0</v>
      </c>
      <c r="AF40" s="219">
        <f t="shared" si="9"/>
        <v>0</v>
      </c>
      <c r="AG40" s="219">
        <f t="shared" si="9"/>
        <v>0</v>
      </c>
    </row>
    <row r="41" spans="1:33" ht="17.25">
      <c r="A41" s="266" t="s">
        <v>824</v>
      </c>
      <c r="B41" s="247"/>
      <c r="C41" s="247"/>
      <c r="D41" s="267">
        <f>SUM(D38:D40)</f>
        <v>0</v>
      </c>
      <c r="E41" s="247">
        <f>SUM(E38:E40)</f>
        <v>0</v>
      </c>
      <c r="F41" s="247">
        <f aca="true" t="shared" si="10" ref="F41:T41">SUM(F38:F40)</f>
        <v>0</v>
      </c>
      <c r="G41" s="247">
        <f t="shared" si="10"/>
        <v>0</v>
      </c>
      <c r="H41" s="247">
        <f t="shared" si="10"/>
        <v>0</v>
      </c>
      <c r="I41" s="247">
        <f t="shared" si="10"/>
        <v>0</v>
      </c>
      <c r="J41" s="247">
        <f t="shared" si="10"/>
        <v>0</v>
      </c>
      <c r="K41" s="247">
        <f t="shared" si="10"/>
        <v>0</v>
      </c>
      <c r="L41" s="247">
        <f t="shared" si="10"/>
        <v>0</v>
      </c>
      <c r="M41" s="247">
        <f t="shared" si="10"/>
        <v>0</v>
      </c>
      <c r="N41" s="247">
        <f t="shared" si="10"/>
        <v>0</v>
      </c>
      <c r="O41" s="247">
        <f t="shared" si="10"/>
        <v>0</v>
      </c>
      <c r="P41" s="247">
        <f t="shared" si="10"/>
        <v>0</v>
      </c>
      <c r="Q41" s="247">
        <f t="shared" si="10"/>
        <v>0</v>
      </c>
      <c r="R41" s="247">
        <f t="shared" si="10"/>
        <v>0</v>
      </c>
      <c r="S41" s="247">
        <f t="shared" si="10"/>
        <v>0</v>
      </c>
      <c r="T41" s="247">
        <f t="shared" si="10"/>
        <v>0</v>
      </c>
      <c r="U41" s="247">
        <f aca="true" t="shared" si="11" ref="U41:AG41">SUM(U38:U40)</f>
        <v>0</v>
      </c>
      <c r="V41" s="247">
        <f t="shared" si="11"/>
        <v>0</v>
      </c>
      <c r="W41" s="247">
        <f t="shared" si="11"/>
        <v>0</v>
      </c>
      <c r="X41" s="247">
        <f t="shared" si="11"/>
        <v>0</v>
      </c>
      <c r="Y41" s="247">
        <f t="shared" si="11"/>
        <v>0</v>
      </c>
      <c r="Z41" s="247">
        <f t="shared" si="11"/>
        <v>0</v>
      </c>
      <c r="AA41" s="247">
        <f t="shared" si="11"/>
        <v>0</v>
      </c>
      <c r="AB41" s="247">
        <f t="shared" si="11"/>
        <v>0</v>
      </c>
      <c r="AC41" s="247">
        <f t="shared" si="11"/>
        <v>0</v>
      </c>
      <c r="AD41" s="247">
        <f t="shared" si="11"/>
        <v>0</v>
      </c>
      <c r="AE41" s="247">
        <f t="shared" si="11"/>
        <v>0</v>
      </c>
      <c r="AF41" s="247">
        <f t="shared" si="11"/>
        <v>0</v>
      </c>
      <c r="AG41" s="247">
        <f t="shared" si="11"/>
        <v>0</v>
      </c>
    </row>
    <row r="42" spans="1:33" ht="17.25">
      <c r="A42" s="150" t="s">
        <v>850</v>
      </c>
      <c r="B42" s="142"/>
      <c r="C42" s="142"/>
      <c r="D42" s="327">
        <f>D35+D41</f>
        <v>0</v>
      </c>
      <c r="E42" s="327">
        <f>E35+E41</f>
        <v>0</v>
      </c>
      <c r="F42" s="327">
        <f aca="true" t="shared" si="12" ref="F42:T42">F35+F41</f>
        <v>0</v>
      </c>
      <c r="G42" s="327">
        <f t="shared" si="12"/>
        <v>0</v>
      </c>
      <c r="H42" s="327">
        <f t="shared" si="12"/>
        <v>0</v>
      </c>
      <c r="I42" s="327">
        <f t="shared" si="12"/>
        <v>0</v>
      </c>
      <c r="J42" s="327">
        <f t="shared" si="12"/>
        <v>0</v>
      </c>
      <c r="K42" s="327">
        <f t="shared" si="12"/>
        <v>0</v>
      </c>
      <c r="L42" s="327">
        <f t="shared" si="12"/>
        <v>0</v>
      </c>
      <c r="M42" s="327">
        <f t="shared" si="12"/>
        <v>0</v>
      </c>
      <c r="N42" s="327">
        <f t="shared" si="12"/>
        <v>0</v>
      </c>
      <c r="O42" s="327">
        <f t="shared" si="12"/>
        <v>0</v>
      </c>
      <c r="P42" s="327">
        <f t="shared" si="12"/>
        <v>0</v>
      </c>
      <c r="Q42" s="327">
        <f t="shared" si="12"/>
        <v>0</v>
      </c>
      <c r="R42" s="327">
        <f t="shared" si="12"/>
        <v>0</v>
      </c>
      <c r="S42" s="327">
        <f t="shared" si="12"/>
        <v>0</v>
      </c>
      <c r="T42" s="327">
        <f t="shared" si="12"/>
        <v>0</v>
      </c>
      <c r="U42" s="327">
        <f aca="true" t="shared" si="13" ref="U42:AG42">U35+U41</f>
        <v>0</v>
      </c>
      <c r="V42" s="327">
        <f t="shared" si="13"/>
        <v>0</v>
      </c>
      <c r="W42" s="327">
        <f t="shared" si="13"/>
        <v>0</v>
      </c>
      <c r="X42" s="327">
        <f t="shared" si="13"/>
        <v>0</v>
      </c>
      <c r="Y42" s="327">
        <f t="shared" si="13"/>
        <v>0</v>
      </c>
      <c r="Z42" s="327">
        <f t="shared" si="13"/>
        <v>0</v>
      </c>
      <c r="AA42" s="327">
        <f t="shared" si="13"/>
        <v>0</v>
      </c>
      <c r="AB42" s="327">
        <f t="shared" si="13"/>
        <v>0</v>
      </c>
      <c r="AC42" s="327">
        <f t="shared" si="13"/>
        <v>0</v>
      </c>
      <c r="AD42" s="327">
        <f t="shared" si="13"/>
        <v>0</v>
      </c>
      <c r="AE42" s="327">
        <f t="shared" si="13"/>
        <v>0</v>
      </c>
      <c r="AF42" s="327">
        <f t="shared" si="13"/>
        <v>0</v>
      </c>
      <c r="AG42" s="327">
        <f t="shared" si="13"/>
        <v>0</v>
      </c>
    </row>
    <row r="43" spans="1:33" ht="17.25">
      <c r="A43" s="247" t="s">
        <v>552</v>
      </c>
      <c r="B43" s="247"/>
      <c r="C43" s="247"/>
      <c r="D43" s="26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row>
    <row r="44" spans="1:33" ht="17.25">
      <c r="A44" s="216" t="s">
        <v>553</v>
      </c>
      <c r="B44" s="216"/>
      <c r="C44" s="263">
        <f>'FORM-10 (A-F)'!F428</f>
        <v>0</v>
      </c>
      <c r="D44" s="217">
        <f>+C44</f>
        <v>0</v>
      </c>
      <c r="E44" s="217">
        <f>+D44+D44*$I4</f>
        <v>0</v>
      </c>
      <c r="F44" s="217">
        <f aca="true" t="shared" si="14" ref="F44:T44">+E44+E44*$I4</f>
        <v>0</v>
      </c>
      <c r="G44" s="217">
        <f t="shared" si="14"/>
        <v>0</v>
      </c>
      <c r="H44" s="217">
        <f t="shared" si="14"/>
        <v>0</v>
      </c>
      <c r="I44" s="217">
        <f t="shared" si="14"/>
        <v>0</v>
      </c>
      <c r="J44" s="217">
        <f t="shared" si="14"/>
        <v>0</v>
      </c>
      <c r="K44" s="217">
        <f t="shared" si="14"/>
        <v>0</v>
      </c>
      <c r="L44" s="217">
        <f t="shared" si="14"/>
        <v>0</v>
      </c>
      <c r="M44" s="217">
        <f t="shared" si="14"/>
        <v>0</v>
      </c>
      <c r="N44" s="217">
        <f t="shared" si="14"/>
        <v>0</v>
      </c>
      <c r="O44" s="217">
        <f t="shared" si="14"/>
        <v>0</v>
      </c>
      <c r="P44" s="217">
        <f t="shared" si="14"/>
        <v>0</v>
      </c>
      <c r="Q44" s="217">
        <f t="shared" si="14"/>
        <v>0</v>
      </c>
      <c r="R44" s="217">
        <f t="shared" si="14"/>
        <v>0</v>
      </c>
      <c r="S44" s="217">
        <f t="shared" si="14"/>
        <v>0</v>
      </c>
      <c r="T44" s="217">
        <f t="shared" si="14"/>
        <v>0</v>
      </c>
      <c r="U44" s="217">
        <f aca="true" t="shared" si="15" ref="U44:AG44">+T44+T44*$I4</f>
        <v>0</v>
      </c>
      <c r="V44" s="217">
        <f t="shared" si="15"/>
        <v>0</v>
      </c>
      <c r="W44" s="217">
        <f t="shared" si="15"/>
        <v>0</v>
      </c>
      <c r="X44" s="217">
        <f t="shared" si="15"/>
        <v>0</v>
      </c>
      <c r="Y44" s="217">
        <f t="shared" si="15"/>
        <v>0</v>
      </c>
      <c r="Z44" s="217">
        <f t="shared" si="15"/>
        <v>0</v>
      </c>
      <c r="AA44" s="217">
        <f t="shared" si="15"/>
        <v>0</v>
      </c>
      <c r="AB44" s="217">
        <f t="shared" si="15"/>
        <v>0</v>
      </c>
      <c r="AC44" s="217">
        <f t="shared" si="15"/>
        <v>0</v>
      </c>
      <c r="AD44" s="217">
        <f t="shared" si="15"/>
        <v>0</v>
      </c>
      <c r="AE44" s="217">
        <f t="shared" si="15"/>
        <v>0</v>
      </c>
      <c r="AF44" s="217">
        <f t="shared" si="15"/>
        <v>0</v>
      </c>
      <c r="AG44" s="217">
        <f t="shared" si="15"/>
        <v>0</v>
      </c>
    </row>
    <row r="45" spans="1:33" ht="17.25">
      <c r="A45" s="268" t="str">
        <f>'FORM-10 (A-F)'!B429</f>
        <v>Other:</v>
      </c>
      <c r="B45" s="269"/>
      <c r="C45" s="264">
        <f>'FORM-10 (A-F)'!F429</f>
        <v>0</v>
      </c>
      <c r="D45" s="220">
        <f>+C45</f>
        <v>0</v>
      </c>
      <c r="E45" s="220">
        <f>+D45+D45*$I4</f>
        <v>0</v>
      </c>
      <c r="F45" s="220">
        <f aca="true" t="shared" si="16" ref="F45:T45">+E45+E45*$I4</f>
        <v>0</v>
      </c>
      <c r="G45" s="220">
        <f t="shared" si="16"/>
        <v>0</v>
      </c>
      <c r="H45" s="220">
        <f t="shared" si="16"/>
        <v>0</v>
      </c>
      <c r="I45" s="220">
        <f t="shared" si="16"/>
        <v>0</v>
      </c>
      <c r="J45" s="220">
        <f t="shared" si="16"/>
        <v>0</v>
      </c>
      <c r="K45" s="220">
        <f t="shared" si="16"/>
        <v>0</v>
      </c>
      <c r="L45" s="220">
        <f t="shared" si="16"/>
        <v>0</v>
      </c>
      <c r="M45" s="220">
        <f t="shared" si="16"/>
        <v>0</v>
      </c>
      <c r="N45" s="220">
        <f t="shared" si="16"/>
        <v>0</v>
      </c>
      <c r="O45" s="220">
        <f t="shared" si="16"/>
        <v>0</v>
      </c>
      <c r="P45" s="220">
        <f t="shared" si="16"/>
        <v>0</v>
      </c>
      <c r="Q45" s="220">
        <f t="shared" si="16"/>
        <v>0</v>
      </c>
      <c r="R45" s="220">
        <f t="shared" si="16"/>
        <v>0</v>
      </c>
      <c r="S45" s="220">
        <f t="shared" si="16"/>
        <v>0</v>
      </c>
      <c r="T45" s="220">
        <f t="shared" si="16"/>
        <v>0</v>
      </c>
      <c r="U45" s="220">
        <f aca="true" t="shared" si="17" ref="U45:AG45">+T45+T45*$I4</f>
        <v>0</v>
      </c>
      <c r="V45" s="220">
        <f t="shared" si="17"/>
        <v>0</v>
      </c>
      <c r="W45" s="220">
        <f t="shared" si="17"/>
        <v>0</v>
      </c>
      <c r="X45" s="220">
        <f t="shared" si="17"/>
        <v>0</v>
      </c>
      <c r="Y45" s="220">
        <f t="shared" si="17"/>
        <v>0</v>
      </c>
      <c r="Z45" s="220">
        <f t="shared" si="17"/>
        <v>0</v>
      </c>
      <c r="AA45" s="220">
        <f t="shared" si="17"/>
        <v>0</v>
      </c>
      <c r="AB45" s="220">
        <f t="shared" si="17"/>
        <v>0</v>
      </c>
      <c r="AC45" s="220">
        <f t="shared" si="17"/>
        <v>0</v>
      </c>
      <c r="AD45" s="220">
        <f t="shared" si="17"/>
        <v>0</v>
      </c>
      <c r="AE45" s="220">
        <f t="shared" si="17"/>
        <v>0</v>
      </c>
      <c r="AF45" s="220">
        <f t="shared" si="17"/>
        <v>0</v>
      </c>
      <c r="AG45" s="220">
        <f t="shared" si="17"/>
        <v>0</v>
      </c>
    </row>
    <row r="46" spans="1:33" ht="17.25">
      <c r="A46" s="247" t="s">
        <v>554</v>
      </c>
      <c r="B46" s="247"/>
      <c r="C46" s="247"/>
      <c r="D46" s="247">
        <f>SUM(D44:D45)</f>
        <v>0</v>
      </c>
      <c r="E46" s="247">
        <f aca="true" t="shared" si="18" ref="E46:T46">SUM(E44:E45)</f>
        <v>0</v>
      </c>
      <c r="F46" s="247">
        <f t="shared" si="18"/>
        <v>0</v>
      </c>
      <c r="G46" s="247">
        <f t="shared" si="18"/>
        <v>0</v>
      </c>
      <c r="H46" s="247">
        <f t="shared" si="18"/>
        <v>0</v>
      </c>
      <c r="I46" s="247">
        <f t="shared" si="18"/>
        <v>0</v>
      </c>
      <c r="J46" s="247">
        <f t="shared" si="18"/>
        <v>0</v>
      </c>
      <c r="K46" s="247">
        <f t="shared" si="18"/>
        <v>0</v>
      </c>
      <c r="L46" s="247">
        <f t="shared" si="18"/>
        <v>0</v>
      </c>
      <c r="M46" s="247">
        <f t="shared" si="18"/>
        <v>0</v>
      </c>
      <c r="N46" s="247">
        <f t="shared" si="18"/>
        <v>0</v>
      </c>
      <c r="O46" s="247">
        <f t="shared" si="18"/>
        <v>0</v>
      </c>
      <c r="P46" s="247">
        <f t="shared" si="18"/>
        <v>0</v>
      </c>
      <c r="Q46" s="247">
        <f t="shared" si="18"/>
        <v>0</v>
      </c>
      <c r="R46" s="247">
        <f t="shared" si="18"/>
        <v>0</v>
      </c>
      <c r="S46" s="247">
        <f t="shared" si="18"/>
        <v>0</v>
      </c>
      <c r="T46" s="247">
        <f t="shared" si="18"/>
        <v>0</v>
      </c>
      <c r="U46" s="247">
        <f aca="true" t="shared" si="19" ref="U46:AG46">SUM(U44:U45)</f>
        <v>0</v>
      </c>
      <c r="V46" s="247">
        <f t="shared" si="19"/>
        <v>0</v>
      </c>
      <c r="W46" s="247">
        <f t="shared" si="19"/>
        <v>0</v>
      </c>
      <c r="X46" s="247">
        <f t="shared" si="19"/>
        <v>0</v>
      </c>
      <c r="Y46" s="247">
        <f t="shared" si="19"/>
        <v>0</v>
      </c>
      <c r="Z46" s="247">
        <f t="shared" si="19"/>
        <v>0</v>
      </c>
      <c r="AA46" s="247">
        <f t="shared" si="19"/>
        <v>0</v>
      </c>
      <c r="AB46" s="247">
        <f t="shared" si="19"/>
        <v>0</v>
      </c>
      <c r="AC46" s="247">
        <f t="shared" si="19"/>
        <v>0</v>
      </c>
      <c r="AD46" s="247">
        <f t="shared" si="19"/>
        <v>0</v>
      </c>
      <c r="AE46" s="247">
        <f t="shared" si="19"/>
        <v>0</v>
      </c>
      <c r="AF46" s="247">
        <f t="shared" si="19"/>
        <v>0</v>
      </c>
      <c r="AG46" s="247">
        <f t="shared" si="19"/>
        <v>0</v>
      </c>
    </row>
    <row r="47" spans="1:33" ht="17.25">
      <c r="A47" s="247"/>
      <c r="B47" s="247"/>
      <c r="C47" s="247"/>
      <c r="D47" s="247"/>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row>
    <row r="48" spans="1:33" ht="17.25">
      <c r="A48" s="221" t="s">
        <v>555</v>
      </c>
      <c r="B48" s="221"/>
      <c r="C48" s="259"/>
      <c r="D48" s="217">
        <f>+D35+D41+D46</f>
        <v>0</v>
      </c>
      <c r="E48" s="217">
        <f aca="true" t="shared" si="20" ref="E48:T48">+E35+E41+E46</f>
        <v>0</v>
      </c>
      <c r="F48" s="217">
        <f t="shared" si="20"/>
        <v>0</v>
      </c>
      <c r="G48" s="217">
        <f t="shared" si="20"/>
        <v>0</v>
      </c>
      <c r="H48" s="217">
        <f t="shared" si="20"/>
        <v>0</v>
      </c>
      <c r="I48" s="217">
        <f t="shared" si="20"/>
        <v>0</v>
      </c>
      <c r="J48" s="217">
        <f t="shared" si="20"/>
        <v>0</v>
      </c>
      <c r="K48" s="217">
        <f t="shared" si="20"/>
        <v>0</v>
      </c>
      <c r="L48" s="217">
        <f t="shared" si="20"/>
        <v>0</v>
      </c>
      <c r="M48" s="217">
        <f t="shared" si="20"/>
        <v>0</v>
      </c>
      <c r="N48" s="217">
        <f t="shared" si="20"/>
        <v>0</v>
      </c>
      <c r="O48" s="217">
        <f t="shared" si="20"/>
        <v>0</v>
      </c>
      <c r="P48" s="217">
        <f t="shared" si="20"/>
        <v>0</v>
      </c>
      <c r="Q48" s="217">
        <f t="shared" si="20"/>
        <v>0</v>
      </c>
      <c r="R48" s="217">
        <f t="shared" si="20"/>
        <v>0</v>
      </c>
      <c r="S48" s="217">
        <f t="shared" si="20"/>
        <v>0</v>
      </c>
      <c r="T48" s="217">
        <f t="shared" si="20"/>
        <v>0</v>
      </c>
      <c r="U48" s="217">
        <f aca="true" t="shared" si="21" ref="U48:AG48">+U35+U41+U46</f>
        <v>0</v>
      </c>
      <c r="V48" s="217">
        <f t="shared" si="21"/>
        <v>0</v>
      </c>
      <c r="W48" s="217">
        <f t="shared" si="21"/>
        <v>0</v>
      </c>
      <c r="X48" s="217">
        <f t="shared" si="21"/>
        <v>0</v>
      </c>
      <c r="Y48" s="217">
        <f t="shared" si="21"/>
        <v>0</v>
      </c>
      <c r="Z48" s="217">
        <f t="shared" si="21"/>
        <v>0</v>
      </c>
      <c r="AA48" s="217">
        <f t="shared" si="21"/>
        <v>0</v>
      </c>
      <c r="AB48" s="217">
        <f t="shared" si="21"/>
        <v>0</v>
      </c>
      <c r="AC48" s="217">
        <f t="shared" si="21"/>
        <v>0</v>
      </c>
      <c r="AD48" s="217">
        <f t="shared" si="21"/>
        <v>0</v>
      </c>
      <c r="AE48" s="217">
        <f t="shared" si="21"/>
        <v>0</v>
      </c>
      <c r="AF48" s="217">
        <f t="shared" si="21"/>
        <v>0</v>
      </c>
      <c r="AG48" s="217">
        <f t="shared" si="21"/>
        <v>0</v>
      </c>
    </row>
    <row r="49" spans="1:33" ht="17.25">
      <c r="A49" s="155"/>
      <c r="B49" s="155"/>
      <c r="C49" s="837" t="s">
        <v>1158</v>
      </c>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row>
    <row r="50" spans="1:33" ht="17.25">
      <c r="A50" s="222" t="s">
        <v>825</v>
      </c>
      <c r="B50" s="222"/>
      <c r="C50" s="270" t="s">
        <v>826</v>
      </c>
      <c r="D50" s="217" t="s">
        <v>1319</v>
      </c>
      <c r="E50" s="217"/>
      <c r="F50" s="223" t="s">
        <v>1319</v>
      </c>
      <c r="G50" s="217"/>
      <c r="H50" s="217"/>
      <c r="I50" s="217"/>
      <c r="J50" s="217"/>
      <c r="K50" s="217"/>
      <c r="L50" s="217"/>
      <c r="M50" s="217"/>
      <c r="N50" s="217"/>
      <c r="O50" s="217"/>
      <c r="P50" s="217"/>
      <c r="Q50" s="223"/>
      <c r="R50" s="223"/>
      <c r="S50" s="223"/>
      <c r="T50" s="223"/>
      <c r="U50" s="217"/>
      <c r="V50" s="217"/>
      <c r="W50" s="217"/>
      <c r="X50" s="217"/>
      <c r="Y50" s="217"/>
      <c r="Z50" s="217"/>
      <c r="AA50" s="217"/>
      <c r="AB50" s="217"/>
      <c r="AC50" s="217"/>
      <c r="AD50" s="223"/>
      <c r="AE50" s="223"/>
      <c r="AF50" s="223"/>
      <c r="AG50" s="223"/>
    </row>
    <row r="51" spans="1:33" ht="17.25">
      <c r="A51" s="216" t="s">
        <v>827</v>
      </c>
      <c r="B51" s="216"/>
      <c r="C51" s="224">
        <f>IF(B28&lt;&gt;0,(+D51/B28),0)</f>
        <v>0</v>
      </c>
      <c r="D51" s="271">
        <f>'FORM-10 (A-F)'!F435</f>
        <v>0</v>
      </c>
      <c r="E51" s="217">
        <f aca="true" t="shared" si="22" ref="E51:T55">D51*(1+$I$2)</f>
        <v>0</v>
      </c>
      <c r="F51" s="217">
        <f t="shared" si="22"/>
        <v>0</v>
      </c>
      <c r="G51" s="217">
        <f t="shared" si="22"/>
        <v>0</v>
      </c>
      <c r="H51" s="217">
        <f t="shared" si="22"/>
        <v>0</v>
      </c>
      <c r="I51" s="217">
        <f t="shared" si="22"/>
        <v>0</v>
      </c>
      <c r="J51" s="217">
        <f t="shared" si="22"/>
        <v>0</v>
      </c>
      <c r="K51" s="217">
        <f t="shared" si="22"/>
        <v>0</v>
      </c>
      <c r="L51" s="217">
        <f t="shared" si="22"/>
        <v>0</v>
      </c>
      <c r="M51" s="217">
        <f t="shared" si="22"/>
        <v>0</v>
      </c>
      <c r="N51" s="217">
        <f t="shared" si="22"/>
        <v>0</v>
      </c>
      <c r="O51" s="217">
        <f t="shared" si="22"/>
        <v>0</v>
      </c>
      <c r="P51" s="217">
        <f t="shared" si="22"/>
        <v>0</v>
      </c>
      <c r="Q51" s="217">
        <f t="shared" si="22"/>
        <v>0</v>
      </c>
      <c r="R51" s="217">
        <f t="shared" si="22"/>
        <v>0</v>
      </c>
      <c r="S51" s="217">
        <f t="shared" si="22"/>
        <v>0</v>
      </c>
      <c r="T51" s="217">
        <f t="shared" si="22"/>
        <v>0</v>
      </c>
      <c r="U51" s="217">
        <f aca="true" t="shared" si="23" ref="U51:AG51">T51*(1+$I$2)</f>
        <v>0</v>
      </c>
      <c r="V51" s="217">
        <f t="shared" si="23"/>
        <v>0</v>
      </c>
      <c r="W51" s="217">
        <f t="shared" si="23"/>
        <v>0</v>
      </c>
      <c r="X51" s="217">
        <f t="shared" si="23"/>
        <v>0</v>
      </c>
      <c r="Y51" s="217">
        <f t="shared" si="23"/>
        <v>0</v>
      </c>
      <c r="Z51" s="217">
        <f t="shared" si="23"/>
        <v>0</v>
      </c>
      <c r="AA51" s="217">
        <f t="shared" si="23"/>
        <v>0</v>
      </c>
      <c r="AB51" s="217">
        <f t="shared" si="23"/>
        <v>0</v>
      </c>
      <c r="AC51" s="217">
        <f t="shared" si="23"/>
        <v>0</v>
      </c>
      <c r="AD51" s="217">
        <f t="shared" si="23"/>
        <v>0</v>
      </c>
      <c r="AE51" s="217">
        <f t="shared" si="23"/>
        <v>0</v>
      </c>
      <c r="AF51" s="217">
        <f t="shared" si="23"/>
        <v>0</v>
      </c>
      <c r="AG51" s="217">
        <f t="shared" si="23"/>
        <v>0</v>
      </c>
    </row>
    <row r="52" spans="1:33" ht="17.25">
      <c r="A52" s="216" t="s">
        <v>828</v>
      </c>
      <c r="B52" s="216"/>
      <c r="C52" s="224">
        <f>IF(B28&lt;&gt;0,(+D52/B28),0)</f>
        <v>0</v>
      </c>
      <c r="D52" s="271">
        <f>'FORM-10 (A-F)'!F436</f>
        <v>0</v>
      </c>
      <c r="E52" s="217">
        <f t="shared" si="22"/>
        <v>0</v>
      </c>
      <c r="F52" s="217">
        <f t="shared" si="22"/>
        <v>0</v>
      </c>
      <c r="G52" s="217">
        <f t="shared" si="22"/>
        <v>0</v>
      </c>
      <c r="H52" s="217">
        <f t="shared" si="22"/>
        <v>0</v>
      </c>
      <c r="I52" s="217">
        <f t="shared" si="22"/>
        <v>0</v>
      </c>
      <c r="J52" s="217">
        <f t="shared" si="22"/>
        <v>0</v>
      </c>
      <c r="K52" s="217">
        <f t="shared" si="22"/>
        <v>0</v>
      </c>
      <c r="L52" s="217">
        <f t="shared" si="22"/>
        <v>0</v>
      </c>
      <c r="M52" s="217">
        <f t="shared" si="22"/>
        <v>0</v>
      </c>
      <c r="N52" s="217">
        <f t="shared" si="22"/>
        <v>0</v>
      </c>
      <c r="O52" s="217">
        <f t="shared" si="22"/>
        <v>0</v>
      </c>
      <c r="P52" s="217">
        <f t="shared" si="22"/>
        <v>0</v>
      </c>
      <c r="Q52" s="217">
        <f t="shared" si="22"/>
        <v>0</v>
      </c>
      <c r="R52" s="217">
        <f t="shared" si="22"/>
        <v>0</v>
      </c>
      <c r="S52" s="217">
        <f t="shared" si="22"/>
        <v>0</v>
      </c>
      <c r="T52" s="217">
        <f t="shared" si="22"/>
        <v>0</v>
      </c>
      <c r="U52" s="217">
        <f aca="true" t="shared" si="24" ref="U52:AG52">T52*(1+$I$2)</f>
        <v>0</v>
      </c>
      <c r="V52" s="217">
        <f t="shared" si="24"/>
        <v>0</v>
      </c>
      <c r="W52" s="217">
        <f t="shared" si="24"/>
        <v>0</v>
      </c>
      <c r="X52" s="217">
        <f t="shared" si="24"/>
        <v>0</v>
      </c>
      <c r="Y52" s="217">
        <f t="shared" si="24"/>
        <v>0</v>
      </c>
      <c r="Z52" s="217">
        <f t="shared" si="24"/>
        <v>0</v>
      </c>
      <c r="AA52" s="217">
        <f t="shared" si="24"/>
        <v>0</v>
      </c>
      <c r="AB52" s="217">
        <f t="shared" si="24"/>
        <v>0</v>
      </c>
      <c r="AC52" s="217">
        <f t="shared" si="24"/>
        <v>0</v>
      </c>
      <c r="AD52" s="217">
        <f t="shared" si="24"/>
        <v>0</v>
      </c>
      <c r="AE52" s="217">
        <f t="shared" si="24"/>
        <v>0</v>
      </c>
      <c r="AF52" s="217">
        <f t="shared" si="24"/>
        <v>0</v>
      </c>
      <c r="AG52" s="217">
        <f t="shared" si="24"/>
        <v>0</v>
      </c>
    </row>
    <row r="53" spans="1:33" ht="17.25">
      <c r="A53" s="216" t="s">
        <v>829</v>
      </c>
      <c r="B53" s="216"/>
      <c r="C53" s="224">
        <f>IF(B28&lt;&gt;0,(+D53/B28),0)</f>
        <v>0</v>
      </c>
      <c r="D53" s="271">
        <f>'FORM-10 (A-F)'!F437</f>
        <v>0</v>
      </c>
      <c r="E53" s="217">
        <f t="shared" si="22"/>
        <v>0</v>
      </c>
      <c r="F53" s="217">
        <f t="shared" si="22"/>
        <v>0</v>
      </c>
      <c r="G53" s="217">
        <f t="shared" si="22"/>
        <v>0</v>
      </c>
      <c r="H53" s="217">
        <f t="shared" si="22"/>
        <v>0</v>
      </c>
      <c r="I53" s="217">
        <f t="shared" si="22"/>
        <v>0</v>
      </c>
      <c r="J53" s="217">
        <f t="shared" si="22"/>
        <v>0</v>
      </c>
      <c r="K53" s="217">
        <f t="shared" si="22"/>
        <v>0</v>
      </c>
      <c r="L53" s="217">
        <f t="shared" si="22"/>
        <v>0</v>
      </c>
      <c r="M53" s="217">
        <f t="shared" si="22"/>
        <v>0</v>
      </c>
      <c r="N53" s="217">
        <f t="shared" si="22"/>
        <v>0</v>
      </c>
      <c r="O53" s="217">
        <f t="shared" si="22"/>
        <v>0</v>
      </c>
      <c r="P53" s="217">
        <f t="shared" si="22"/>
        <v>0</v>
      </c>
      <c r="Q53" s="217">
        <f t="shared" si="22"/>
        <v>0</v>
      </c>
      <c r="R53" s="217">
        <f t="shared" si="22"/>
        <v>0</v>
      </c>
      <c r="S53" s="217">
        <f t="shared" si="22"/>
        <v>0</v>
      </c>
      <c r="T53" s="217">
        <f t="shared" si="22"/>
        <v>0</v>
      </c>
      <c r="U53" s="217">
        <f aca="true" t="shared" si="25" ref="U53:AG53">T53*(1+$I$2)</f>
        <v>0</v>
      </c>
      <c r="V53" s="217">
        <f t="shared" si="25"/>
        <v>0</v>
      </c>
      <c r="W53" s="217">
        <f t="shared" si="25"/>
        <v>0</v>
      </c>
      <c r="X53" s="217">
        <f t="shared" si="25"/>
        <v>0</v>
      </c>
      <c r="Y53" s="217">
        <f t="shared" si="25"/>
        <v>0</v>
      </c>
      <c r="Z53" s="217">
        <f t="shared" si="25"/>
        <v>0</v>
      </c>
      <c r="AA53" s="217">
        <f t="shared" si="25"/>
        <v>0</v>
      </c>
      <c r="AB53" s="217">
        <f t="shared" si="25"/>
        <v>0</v>
      </c>
      <c r="AC53" s="217">
        <f t="shared" si="25"/>
        <v>0</v>
      </c>
      <c r="AD53" s="217">
        <f t="shared" si="25"/>
        <v>0</v>
      </c>
      <c r="AE53" s="217">
        <f t="shared" si="25"/>
        <v>0</v>
      </c>
      <c r="AF53" s="217">
        <f t="shared" si="25"/>
        <v>0</v>
      </c>
      <c r="AG53" s="217">
        <f t="shared" si="25"/>
        <v>0</v>
      </c>
    </row>
    <row r="54" spans="1:33" ht="17.25">
      <c r="A54" s="216" t="s">
        <v>830</v>
      </c>
      <c r="B54" s="216"/>
      <c r="C54" s="224">
        <f>IF(B28&lt;&gt;0,(+D54/B28),0)</f>
        <v>0</v>
      </c>
      <c r="D54" s="271">
        <f>'FORM-10 (A-F)'!F438</f>
        <v>0</v>
      </c>
      <c r="E54" s="217">
        <f t="shared" si="22"/>
        <v>0</v>
      </c>
      <c r="F54" s="217">
        <f t="shared" si="22"/>
        <v>0</v>
      </c>
      <c r="G54" s="217">
        <f t="shared" si="22"/>
        <v>0</v>
      </c>
      <c r="H54" s="217">
        <f t="shared" si="22"/>
        <v>0</v>
      </c>
      <c r="I54" s="217">
        <f t="shared" si="22"/>
        <v>0</v>
      </c>
      <c r="J54" s="217">
        <f t="shared" si="22"/>
        <v>0</v>
      </c>
      <c r="K54" s="217">
        <f t="shared" si="22"/>
        <v>0</v>
      </c>
      <c r="L54" s="217">
        <f t="shared" si="22"/>
        <v>0</v>
      </c>
      <c r="M54" s="217">
        <f t="shared" si="22"/>
        <v>0</v>
      </c>
      <c r="N54" s="217">
        <f t="shared" si="22"/>
        <v>0</v>
      </c>
      <c r="O54" s="217">
        <f t="shared" si="22"/>
        <v>0</v>
      </c>
      <c r="P54" s="217">
        <f t="shared" si="22"/>
        <v>0</v>
      </c>
      <c r="Q54" s="217">
        <f t="shared" si="22"/>
        <v>0</v>
      </c>
      <c r="R54" s="217">
        <f t="shared" si="22"/>
        <v>0</v>
      </c>
      <c r="S54" s="217">
        <f t="shared" si="22"/>
        <v>0</v>
      </c>
      <c r="T54" s="217">
        <f t="shared" si="22"/>
        <v>0</v>
      </c>
      <c r="U54" s="217">
        <f aca="true" t="shared" si="26" ref="U54:AG54">T54*(1+$I$2)</f>
        <v>0</v>
      </c>
      <c r="V54" s="217">
        <f t="shared" si="26"/>
        <v>0</v>
      </c>
      <c r="W54" s="217">
        <f t="shared" si="26"/>
        <v>0</v>
      </c>
      <c r="X54" s="217">
        <f t="shared" si="26"/>
        <v>0</v>
      </c>
      <c r="Y54" s="217">
        <f t="shared" si="26"/>
        <v>0</v>
      </c>
      <c r="Z54" s="217">
        <f t="shared" si="26"/>
        <v>0</v>
      </c>
      <c r="AA54" s="217">
        <f t="shared" si="26"/>
        <v>0</v>
      </c>
      <c r="AB54" s="217">
        <f t="shared" si="26"/>
        <v>0</v>
      </c>
      <c r="AC54" s="217">
        <f t="shared" si="26"/>
        <v>0</v>
      </c>
      <c r="AD54" s="217">
        <f t="shared" si="26"/>
        <v>0</v>
      </c>
      <c r="AE54" s="217">
        <f t="shared" si="26"/>
        <v>0</v>
      </c>
      <c r="AF54" s="217">
        <f t="shared" si="26"/>
        <v>0</v>
      </c>
      <c r="AG54" s="217">
        <f t="shared" si="26"/>
        <v>0</v>
      </c>
    </row>
    <row r="55" spans="1:33" ht="17.25">
      <c r="A55" s="216" t="s">
        <v>780</v>
      </c>
      <c r="B55" s="225"/>
      <c r="C55" s="224">
        <f>IF(B28&lt;&gt;0,(+D55/B28),0)</f>
        <v>0</v>
      </c>
      <c r="D55" s="271">
        <f>'FORM-10 (A-F)'!F439</f>
        <v>0</v>
      </c>
      <c r="E55" s="217">
        <f t="shared" si="22"/>
        <v>0</v>
      </c>
      <c r="F55" s="217">
        <f t="shared" si="22"/>
        <v>0</v>
      </c>
      <c r="G55" s="217">
        <f t="shared" si="22"/>
        <v>0</v>
      </c>
      <c r="H55" s="217">
        <f t="shared" si="22"/>
        <v>0</v>
      </c>
      <c r="I55" s="217">
        <f t="shared" si="22"/>
        <v>0</v>
      </c>
      <c r="J55" s="217">
        <f t="shared" si="22"/>
        <v>0</v>
      </c>
      <c r="K55" s="217">
        <f t="shared" si="22"/>
        <v>0</v>
      </c>
      <c r="L55" s="217">
        <f t="shared" si="22"/>
        <v>0</v>
      </c>
      <c r="M55" s="217">
        <f t="shared" si="22"/>
        <v>0</v>
      </c>
      <c r="N55" s="217">
        <f t="shared" si="22"/>
        <v>0</v>
      </c>
      <c r="O55" s="217">
        <f t="shared" si="22"/>
        <v>0</v>
      </c>
      <c r="P55" s="217">
        <f t="shared" si="22"/>
        <v>0</v>
      </c>
      <c r="Q55" s="217">
        <f t="shared" si="22"/>
        <v>0</v>
      </c>
      <c r="R55" s="217">
        <f t="shared" si="22"/>
        <v>0</v>
      </c>
      <c r="S55" s="217">
        <f t="shared" si="22"/>
        <v>0</v>
      </c>
      <c r="T55" s="217">
        <f t="shared" si="22"/>
        <v>0</v>
      </c>
      <c r="U55" s="217">
        <f aca="true" t="shared" si="27" ref="U55:AG55">T55*(1+$I$2)</f>
        <v>0</v>
      </c>
      <c r="V55" s="217">
        <f t="shared" si="27"/>
        <v>0</v>
      </c>
      <c r="W55" s="217">
        <f t="shared" si="27"/>
        <v>0</v>
      </c>
      <c r="X55" s="217">
        <f t="shared" si="27"/>
        <v>0</v>
      </c>
      <c r="Y55" s="217">
        <f t="shared" si="27"/>
        <v>0</v>
      </c>
      <c r="Z55" s="217">
        <f t="shared" si="27"/>
        <v>0</v>
      </c>
      <c r="AA55" s="217">
        <f t="shared" si="27"/>
        <v>0</v>
      </c>
      <c r="AB55" s="217">
        <f t="shared" si="27"/>
        <v>0</v>
      </c>
      <c r="AC55" s="217">
        <f t="shared" si="27"/>
        <v>0</v>
      </c>
      <c r="AD55" s="217">
        <f t="shared" si="27"/>
        <v>0</v>
      </c>
      <c r="AE55" s="217">
        <f t="shared" si="27"/>
        <v>0</v>
      </c>
      <c r="AF55" s="217">
        <f t="shared" si="27"/>
        <v>0</v>
      </c>
      <c r="AG55" s="217">
        <f t="shared" si="27"/>
        <v>0</v>
      </c>
    </row>
    <row r="56" spans="1:33" ht="17.25">
      <c r="A56" s="216" t="s">
        <v>831</v>
      </c>
      <c r="B56" s="272">
        <f>'FORM-10 (A-F)'!C440</f>
        <v>0</v>
      </c>
      <c r="C56" s="224">
        <f>'FORM-10 (A-F)'!F440</f>
        <v>0</v>
      </c>
      <c r="D56" s="217">
        <f>C56</f>
        <v>0</v>
      </c>
      <c r="E56" s="217">
        <f>D56*(1+$I$1)</f>
        <v>0</v>
      </c>
      <c r="F56" s="217">
        <f aca="true" t="shared" si="28" ref="F56:T56">E56*(1+$I$1)</f>
        <v>0</v>
      </c>
      <c r="G56" s="217">
        <f t="shared" si="28"/>
        <v>0</v>
      </c>
      <c r="H56" s="217">
        <f t="shared" si="28"/>
        <v>0</v>
      </c>
      <c r="I56" s="217">
        <f t="shared" si="28"/>
        <v>0</v>
      </c>
      <c r="J56" s="217">
        <f t="shared" si="28"/>
        <v>0</v>
      </c>
      <c r="K56" s="217">
        <f t="shared" si="28"/>
        <v>0</v>
      </c>
      <c r="L56" s="217">
        <f t="shared" si="28"/>
        <v>0</v>
      </c>
      <c r="M56" s="217">
        <f t="shared" si="28"/>
        <v>0</v>
      </c>
      <c r="N56" s="217">
        <f t="shared" si="28"/>
        <v>0</v>
      </c>
      <c r="O56" s="217">
        <f t="shared" si="28"/>
        <v>0</v>
      </c>
      <c r="P56" s="217">
        <f t="shared" si="28"/>
        <v>0</v>
      </c>
      <c r="Q56" s="217">
        <f t="shared" si="28"/>
        <v>0</v>
      </c>
      <c r="R56" s="217">
        <f t="shared" si="28"/>
        <v>0</v>
      </c>
      <c r="S56" s="217">
        <f t="shared" si="28"/>
        <v>0</v>
      </c>
      <c r="T56" s="217">
        <f t="shared" si="28"/>
        <v>0</v>
      </c>
      <c r="U56" s="217">
        <f>T56*(1+$I$1)</f>
        <v>0</v>
      </c>
      <c r="V56" s="217">
        <f>U56*(1+$I$1)</f>
        <v>0</v>
      </c>
      <c r="W56" s="217">
        <f aca="true" t="shared" si="29" ref="W56:AG56">V56*(1+$I$1)</f>
        <v>0</v>
      </c>
      <c r="X56" s="217">
        <f t="shared" si="29"/>
        <v>0</v>
      </c>
      <c r="Y56" s="217">
        <f t="shared" si="29"/>
        <v>0</v>
      </c>
      <c r="Z56" s="217">
        <f t="shared" si="29"/>
        <v>0</v>
      </c>
      <c r="AA56" s="217">
        <f t="shared" si="29"/>
        <v>0</v>
      </c>
      <c r="AB56" s="217">
        <f t="shared" si="29"/>
        <v>0</v>
      </c>
      <c r="AC56" s="217">
        <f t="shared" si="29"/>
        <v>0</v>
      </c>
      <c r="AD56" s="217">
        <f t="shared" si="29"/>
        <v>0</v>
      </c>
      <c r="AE56" s="217">
        <f t="shared" si="29"/>
        <v>0</v>
      </c>
      <c r="AF56" s="217">
        <f t="shared" si="29"/>
        <v>0</v>
      </c>
      <c r="AG56" s="217">
        <f t="shared" si="29"/>
        <v>0</v>
      </c>
    </row>
    <row r="57" spans="1:33" ht="17.25">
      <c r="A57" s="216" t="s">
        <v>832</v>
      </c>
      <c r="B57" s="274">
        <f>+N17</f>
        <v>0</v>
      </c>
      <c r="C57" s="224">
        <f>IF(B28&lt;&gt;0,(+D57/B28),0)</f>
        <v>0</v>
      </c>
      <c r="D57" s="217">
        <f>IF(B57=0,'FORM-10 (A-F)'!G298,N18)</f>
        <v>0</v>
      </c>
      <c r="E57" s="217">
        <f>IF($B57=0,D57+D57*$I2,(E48-E55)*$B$57/100)</f>
        <v>0</v>
      </c>
      <c r="F57" s="217">
        <f aca="true" t="shared" si="30" ref="F57:AG57">IF($B57=0,E57+E57*$I2,(F48-F55)*$B$57/100)</f>
        <v>0</v>
      </c>
      <c r="G57" s="217">
        <f t="shared" si="30"/>
        <v>0</v>
      </c>
      <c r="H57" s="217">
        <f t="shared" si="30"/>
        <v>0</v>
      </c>
      <c r="I57" s="217">
        <f t="shared" si="30"/>
        <v>0</v>
      </c>
      <c r="J57" s="217">
        <f t="shared" si="30"/>
        <v>0</v>
      </c>
      <c r="K57" s="217">
        <f t="shared" si="30"/>
        <v>0</v>
      </c>
      <c r="L57" s="217">
        <f t="shared" si="30"/>
        <v>0</v>
      </c>
      <c r="M57" s="217">
        <f t="shared" si="30"/>
        <v>0</v>
      </c>
      <c r="N57" s="217">
        <f t="shared" si="30"/>
        <v>0</v>
      </c>
      <c r="O57" s="217">
        <f t="shared" si="30"/>
        <v>0</v>
      </c>
      <c r="P57" s="217">
        <f t="shared" si="30"/>
        <v>0</v>
      </c>
      <c r="Q57" s="217">
        <f t="shared" si="30"/>
        <v>0</v>
      </c>
      <c r="R57" s="217">
        <f t="shared" si="30"/>
        <v>0</v>
      </c>
      <c r="S57" s="217">
        <f t="shared" si="30"/>
        <v>0</v>
      </c>
      <c r="T57" s="217">
        <f t="shared" si="30"/>
        <v>0</v>
      </c>
      <c r="U57" s="217">
        <f t="shared" si="30"/>
        <v>0</v>
      </c>
      <c r="V57" s="217">
        <f t="shared" si="30"/>
        <v>0</v>
      </c>
      <c r="W57" s="217">
        <f t="shared" si="30"/>
        <v>0</v>
      </c>
      <c r="X57" s="217">
        <f t="shared" si="30"/>
        <v>0</v>
      </c>
      <c r="Y57" s="217">
        <f t="shared" si="30"/>
        <v>0</v>
      </c>
      <c r="Z57" s="217">
        <f t="shared" si="30"/>
        <v>0</v>
      </c>
      <c r="AA57" s="217">
        <f t="shared" si="30"/>
        <v>0</v>
      </c>
      <c r="AB57" s="217">
        <f t="shared" si="30"/>
        <v>0</v>
      </c>
      <c r="AC57" s="217">
        <f t="shared" si="30"/>
        <v>0</v>
      </c>
      <c r="AD57" s="217">
        <f t="shared" si="30"/>
        <v>0</v>
      </c>
      <c r="AE57" s="217">
        <f t="shared" si="30"/>
        <v>0</v>
      </c>
      <c r="AF57" s="217">
        <f t="shared" si="30"/>
        <v>0</v>
      </c>
      <c r="AG57" s="217">
        <f t="shared" si="30"/>
        <v>0</v>
      </c>
    </row>
    <row r="58" spans="1:33" ht="17.25">
      <c r="A58" s="216" t="s">
        <v>557</v>
      </c>
      <c r="B58" s="216"/>
      <c r="C58" s="224">
        <f>IF(B28&lt;&gt;0,(+D58/B28),0)</f>
        <v>0</v>
      </c>
      <c r="D58" s="271">
        <f>'FORM-10 (A-F)'!F443</f>
        <v>0</v>
      </c>
      <c r="E58" s="217">
        <f aca="true" t="shared" si="31" ref="E58:T58">D58*(1+$I$2)</f>
        <v>0</v>
      </c>
      <c r="F58" s="217">
        <f t="shared" si="31"/>
        <v>0</v>
      </c>
      <c r="G58" s="217">
        <f t="shared" si="31"/>
        <v>0</v>
      </c>
      <c r="H58" s="217">
        <f t="shared" si="31"/>
        <v>0</v>
      </c>
      <c r="I58" s="217">
        <f t="shared" si="31"/>
        <v>0</v>
      </c>
      <c r="J58" s="217">
        <f t="shared" si="31"/>
        <v>0</v>
      </c>
      <c r="K58" s="217">
        <f t="shared" si="31"/>
        <v>0</v>
      </c>
      <c r="L58" s="217">
        <f t="shared" si="31"/>
        <v>0</v>
      </c>
      <c r="M58" s="217">
        <f t="shared" si="31"/>
        <v>0</v>
      </c>
      <c r="N58" s="217">
        <f t="shared" si="31"/>
        <v>0</v>
      </c>
      <c r="O58" s="217">
        <f t="shared" si="31"/>
        <v>0</v>
      </c>
      <c r="P58" s="217">
        <f t="shared" si="31"/>
        <v>0</v>
      </c>
      <c r="Q58" s="217">
        <f t="shared" si="31"/>
        <v>0</v>
      </c>
      <c r="R58" s="217">
        <f t="shared" si="31"/>
        <v>0</v>
      </c>
      <c r="S58" s="217">
        <f t="shared" si="31"/>
        <v>0</v>
      </c>
      <c r="T58" s="217">
        <f t="shared" si="31"/>
        <v>0</v>
      </c>
      <c r="U58" s="217">
        <f aca="true" t="shared" si="32" ref="U58:AG58">T58*(1+$I$2)</f>
        <v>0</v>
      </c>
      <c r="V58" s="217">
        <f t="shared" si="32"/>
        <v>0</v>
      </c>
      <c r="W58" s="217">
        <f t="shared" si="32"/>
        <v>0</v>
      </c>
      <c r="X58" s="217">
        <f t="shared" si="32"/>
        <v>0</v>
      </c>
      <c r="Y58" s="217">
        <f t="shared" si="32"/>
        <v>0</v>
      </c>
      <c r="Z58" s="217">
        <f t="shared" si="32"/>
        <v>0</v>
      </c>
      <c r="AA58" s="217">
        <f t="shared" si="32"/>
        <v>0</v>
      </c>
      <c r="AB58" s="217">
        <f t="shared" si="32"/>
        <v>0</v>
      </c>
      <c r="AC58" s="217">
        <f t="shared" si="32"/>
        <v>0</v>
      </c>
      <c r="AD58" s="217">
        <f t="shared" si="32"/>
        <v>0</v>
      </c>
      <c r="AE58" s="217">
        <f t="shared" si="32"/>
        <v>0</v>
      </c>
      <c r="AF58" s="217">
        <f t="shared" si="32"/>
        <v>0</v>
      </c>
      <c r="AG58" s="217">
        <f t="shared" si="32"/>
        <v>0</v>
      </c>
    </row>
    <row r="59" spans="1:33" ht="17.25">
      <c r="A59" s="216" t="s">
        <v>833</v>
      </c>
      <c r="B59" s="226"/>
      <c r="C59" s="273">
        <f>'FORM-10 (A-F)'!C445</f>
        <v>0</v>
      </c>
      <c r="D59" s="273">
        <f>'FORM-10 (A-F)'!F445</f>
        <v>0</v>
      </c>
      <c r="E59" s="217">
        <f>+$C59*$B28</f>
        <v>0</v>
      </c>
      <c r="F59" s="217">
        <f>+$C59*$B28</f>
        <v>0</v>
      </c>
      <c r="G59" s="217">
        <f aca="true" t="shared" si="33" ref="G59:T59">+$C59*$B28</f>
        <v>0</v>
      </c>
      <c r="H59" s="217">
        <f t="shared" si="33"/>
        <v>0</v>
      </c>
      <c r="I59" s="217">
        <f t="shared" si="33"/>
        <v>0</v>
      </c>
      <c r="J59" s="217">
        <f t="shared" si="33"/>
        <v>0</v>
      </c>
      <c r="K59" s="217">
        <f t="shared" si="33"/>
        <v>0</v>
      </c>
      <c r="L59" s="217">
        <f t="shared" si="33"/>
        <v>0</v>
      </c>
      <c r="M59" s="217">
        <f t="shared" si="33"/>
        <v>0</v>
      </c>
      <c r="N59" s="217">
        <f t="shared" si="33"/>
        <v>0</v>
      </c>
      <c r="O59" s="217">
        <f t="shared" si="33"/>
        <v>0</v>
      </c>
      <c r="P59" s="217">
        <f t="shared" si="33"/>
        <v>0</v>
      </c>
      <c r="Q59" s="217">
        <f t="shared" si="33"/>
        <v>0</v>
      </c>
      <c r="R59" s="217">
        <f t="shared" si="33"/>
        <v>0</v>
      </c>
      <c r="S59" s="217">
        <f t="shared" si="33"/>
        <v>0</v>
      </c>
      <c r="T59" s="217">
        <f t="shared" si="33"/>
        <v>0</v>
      </c>
      <c r="U59" s="217">
        <f aca="true" t="shared" si="34" ref="U59:AG59">+$C59*$B28</f>
        <v>0</v>
      </c>
      <c r="V59" s="217">
        <f t="shared" si="34"/>
        <v>0</v>
      </c>
      <c r="W59" s="217">
        <f t="shared" si="34"/>
        <v>0</v>
      </c>
      <c r="X59" s="217">
        <f t="shared" si="34"/>
        <v>0</v>
      </c>
      <c r="Y59" s="217">
        <f t="shared" si="34"/>
        <v>0</v>
      </c>
      <c r="Z59" s="217">
        <f t="shared" si="34"/>
        <v>0</v>
      </c>
      <c r="AA59" s="217">
        <f t="shared" si="34"/>
        <v>0</v>
      </c>
      <c r="AB59" s="217">
        <f t="shared" si="34"/>
        <v>0</v>
      </c>
      <c r="AC59" s="217">
        <f t="shared" si="34"/>
        <v>0</v>
      </c>
      <c r="AD59" s="217">
        <f t="shared" si="34"/>
        <v>0</v>
      </c>
      <c r="AE59" s="217">
        <f t="shared" si="34"/>
        <v>0</v>
      </c>
      <c r="AF59" s="217">
        <f t="shared" si="34"/>
        <v>0</v>
      </c>
      <c r="AG59" s="217">
        <f t="shared" si="34"/>
        <v>0</v>
      </c>
    </row>
    <row r="60" spans="1:33" ht="17.25">
      <c r="A60" s="216" t="s">
        <v>847</v>
      </c>
      <c r="B60" s="321"/>
      <c r="C60" s="224">
        <f>IF(B28&lt;&gt;0,(+D60/B28),0)</f>
        <v>0</v>
      </c>
      <c r="D60" s="217">
        <f>+N24</f>
        <v>0</v>
      </c>
      <c r="E60" s="217">
        <f aca="true" t="shared" si="35" ref="E60:T60">+$B60*E41</f>
        <v>0</v>
      </c>
      <c r="F60" s="217">
        <f t="shared" si="35"/>
        <v>0</v>
      </c>
      <c r="G60" s="217">
        <f t="shared" si="35"/>
        <v>0</v>
      </c>
      <c r="H60" s="217">
        <f t="shared" si="35"/>
        <v>0</v>
      </c>
      <c r="I60" s="217">
        <f t="shared" si="35"/>
        <v>0</v>
      </c>
      <c r="J60" s="217">
        <f t="shared" si="35"/>
        <v>0</v>
      </c>
      <c r="K60" s="217">
        <f t="shared" si="35"/>
        <v>0</v>
      </c>
      <c r="L60" s="217">
        <f t="shared" si="35"/>
        <v>0</v>
      </c>
      <c r="M60" s="217">
        <f t="shared" si="35"/>
        <v>0</v>
      </c>
      <c r="N60" s="217">
        <f t="shared" si="35"/>
        <v>0</v>
      </c>
      <c r="O60" s="217">
        <f t="shared" si="35"/>
        <v>0</v>
      </c>
      <c r="P60" s="217">
        <f t="shared" si="35"/>
        <v>0</v>
      </c>
      <c r="Q60" s="217">
        <f t="shared" si="35"/>
        <v>0</v>
      </c>
      <c r="R60" s="217">
        <f t="shared" si="35"/>
        <v>0</v>
      </c>
      <c r="S60" s="217">
        <f t="shared" si="35"/>
        <v>0</v>
      </c>
      <c r="T60" s="217">
        <f t="shared" si="35"/>
        <v>0</v>
      </c>
      <c r="U60" s="217">
        <f aca="true" t="shared" si="36" ref="U60:AG60">+$B60*U41</f>
        <v>0</v>
      </c>
      <c r="V60" s="217">
        <f t="shared" si="36"/>
        <v>0</v>
      </c>
      <c r="W60" s="217">
        <f t="shared" si="36"/>
        <v>0</v>
      </c>
      <c r="X60" s="217">
        <f t="shared" si="36"/>
        <v>0</v>
      </c>
      <c r="Y60" s="217">
        <f t="shared" si="36"/>
        <v>0</v>
      </c>
      <c r="Z60" s="217">
        <f t="shared" si="36"/>
        <v>0</v>
      </c>
      <c r="AA60" s="217">
        <f t="shared" si="36"/>
        <v>0</v>
      </c>
      <c r="AB60" s="217">
        <f t="shared" si="36"/>
        <v>0</v>
      </c>
      <c r="AC60" s="217">
        <f t="shared" si="36"/>
        <v>0</v>
      </c>
      <c r="AD60" s="217">
        <f t="shared" si="36"/>
        <v>0</v>
      </c>
      <c r="AE60" s="217">
        <f t="shared" si="36"/>
        <v>0</v>
      </c>
      <c r="AF60" s="217">
        <f t="shared" si="36"/>
        <v>0</v>
      </c>
      <c r="AG60" s="217">
        <f t="shared" si="36"/>
        <v>0</v>
      </c>
    </row>
    <row r="61" spans="1:33" ht="17.25">
      <c r="A61" s="216"/>
      <c r="B61" s="216"/>
      <c r="C61" s="142"/>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row>
    <row r="62" spans="1:33" ht="17.25">
      <c r="A62" s="222" t="s">
        <v>559</v>
      </c>
      <c r="B62" s="222"/>
      <c r="C62" s="259"/>
      <c r="D62" s="217">
        <f aca="true" t="shared" si="37" ref="D62:T62">SUM(D51:D61)</f>
        <v>0</v>
      </c>
      <c r="E62" s="217">
        <f t="shared" si="37"/>
        <v>0</v>
      </c>
      <c r="F62" s="217">
        <f t="shared" si="37"/>
        <v>0</v>
      </c>
      <c r="G62" s="217">
        <f t="shared" si="37"/>
        <v>0</v>
      </c>
      <c r="H62" s="217">
        <f t="shared" si="37"/>
        <v>0</v>
      </c>
      <c r="I62" s="217">
        <f t="shared" si="37"/>
        <v>0</v>
      </c>
      <c r="J62" s="217">
        <f t="shared" si="37"/>
        <v>0</v>
      </c>
      <c r="K62" s="217">
        <f t="shared" si="37"/>
        <v>0</v>
      </c>
      <c r="L62" s="217">
        <f t="shared" si="37"/>
        <v>0</v>
      </c>
      <c r="M62" s="217">
        <f t="shared" si="37"/>
        <v>0</v>
      </c>
      <c r="N62" s="217">
        <f t="shared" si="37"/>
        <v>0</v>
      </c>
      <c r="O62" s="217">
        <f t="shared" si="37"/>
        <v>0</v>
      </c>
      <c r="P62" s="217">
        <f t="shared" si="37"/>
        <v>0</v>
      </c>
      <c r="Q62" s="217">
        <f t="shared" si="37"/>
        <v>0</v>
      </c>
      <c r="R62" s="217">
        <f t="shared" si="37"/>
        <v>0</v>
      </c>
      <c r="S62" s="217">
        <f t="shared" si="37"/>
        <v>0</v>
      </c>
      <c r="T62" s="217">
        <f t="shared" si="37"/>
        <v>0</v>
      </c>
      <c r="U62" s="217">
        <f aca="true" t="shared" si="38" ref="U62:AG62">SUM(U51:U61)</f>
        <v>0</v>
      </c>
      <c r="V62" s="217">
        <f t="shared" si="38"/>
        <v>0</v>
      </c>
      <c r="W62" s="217">
        <f t="shared" si="38"/>
        <v>0</v>
      </c>
      <c r="X62" s="217">
        <f t="shared" si="38"/>
        <v>0</v>
      </c>
      <c r="Y62" s="217">
        <f t="shared" si="38"/>
        <v>0</v>
      </c>
      <c r="Z62" s="217">
        <f t="shared" si="38"/>
        <v>0</v>
      </c>
      <c r="AA62" s="217">
        <f t="shared" si="38"/>
        <v>0</v>
      </c>
      <c r="AB62" s="217">
        <f t="shared" si="38"/>
        <v>0</v>
      </c>
      <c r="AC62" s="217">
        <f t="shared" si="38"/>
        <v>0</v>
      </c>
      <c r="AD62" s="217">
        <f t="shared" si="38"/>
        <v>0</v>
      </c>
      <c r="AE62" s="217">
        <f t="shared" si="38"/>
        <v>0</v>
      </c>
      <c r="AF62" s="217">
        <f t="shared" si="38"/>
        <v>0</v>
      </c>
      <c r="AG62" s="217">
        <f t="shared" si="38"/>
        <v>0</v>
      </c>
    </row>
    <row r="63" spans="1:33" ht="17.25">
      <c r="A63" s="216" t="s">
        <v>834</v>
      </c>
      <c r="B63" s="227"/>
      <c r="C63" s="228"/>
      <c r="D63" s="217">
        <f>IF($B28&lt;&gt;0,(+D62/$B28),0)</f>
        <v>0</v>
      </c>
      <c r="E63" s="217">
        <f>IF($B28&lt;&gt;0,(+E62/$B28),0)</f>
        <v>0</v>
      </c>
      <c r="F63" s="217">
        <f aca="true" t="shared" si="39" ref="F63:T63">IF($B28&lt;&gt;0,(+F62/$B28),0)</f>
        <v>0</v>
      </c>
      <c r="G63" s="217">
        <f t="shared" si="39"/>
        <v>0</v>
      </c>
      <c r="H63" s="217">
        <f t="shared" si="39"/>
        <v>0</v>
      </c>
      <c r="I63" s="217">
        <f t="shared" si="39"/>
        <v>0</v>
      </c>
      <c r="J63" s="217">
        <f t="shared" si="39"/>
        <v>0</v>
      </c>
      <c r="K63" s="217">
        <f t="shared" si="39"/>
        <v>0</v>
      </c>
      <c r="L63" s="217">
        <f t="shared" si="39"/>
        <v>0</v>
      </c>
      <c r="M63" s="217">
        <f t="shared" si="39"/>
        <v>0</v>
      </c>
      <c r="N63" s="217">
        <f t="shared" si="39"/>
        <v>0</v>
      </c>
      <c r="O63" s="217">
        <f t="shared" si="39"/>
        <v>0</v>
      </c>
      <c r="P63" s="217">
        <f t="shared" si="39"/>
        <v>0</v>
      </c>
      <c r="Q63" s="217">
        <f t="shared" si="39"/>
        <v>0</v>
      </c>
      <c r="R63" s="217">
        <f t="shared" si="39"/>
        <v>0</v>
      </c>
      <c r="S63" s="217">
        <f t="shared" si="39"/>
        <v>0</v>
      </c>
      <c r="T63" s="217">
        <f t="shared" si="39"/>
        <v>0</v>
      </c>
      <c r="U63" s="217">
        <f aca="true" t="shared" si="40" ref="U63:AG63">IF($B28&lt;&gt;0,(+U62/$B28),0)</f>
        <v>0</v>
      </c>
      <c r="V63" s="217">
        <f t="shared" si="40"/>
        <v>0</v>
      </c>
      <c r="W63" s="217">
        <f t="shared" si="40"/>
        <v>0</v>
      </c>
      <c r="X63" s="217">
        <f t="shared" si="40"/>
        <v>0</v>
      </c>
      <c r="Y63" s="217">
        <f t="shared" si="40"/>
        <v>0</v>
      </c>
      <c r="Z63" s="217">
        <f t="shared" si="40"/>
        <v>0</v>
      </c>
      <c r="AA63" s="217">
        <f t="shared" si="40"/>
        <v>0</v>
      </c>
      <c r="AB63" s="217">
        <f t="shared" si="40"/>
        <v>0</v>
      </c>
      <c r="AC63" s="217">
        <f t="shared" si="40"/>
        <v>0</v>
      </c>
      <c r="AD63" s="217">
        <f t="shared" si="40"/>
        <v>0</v>
      </c>
      <c r="AE63" s="217">
        <f t="shared" si="40"/>
        <v>0</v>
      </c>
      <c r="AF63" s="217">
        <f t="shared" si="40"/>
        <v>0</v>
      </c>
      <c r="AG63" s="217">
        <f t="shared" si="40"/>
        <v>0</v>
      </c>
    </row>
    <row r="64" spans="1:33" ht="17.25">
      <c r="A64" s="216" t="s">
        <v>835</v>
      </c>
      <c r="B64" s="216"/>
      <c r="C64" s="259"/>
      <c r="D64" s="229">
        <f aca="true" t="shared" si="41" ref="D64:T64">IF(D48&lt;&gt;0,(+D62/D48),0)</f>
        <v>0</v>
      </c>
      <c r="E64" s="229">
        <f t="shared" si="41"/>
        <v>0</v>
      </c>
      <c r="F64" s="229">
        <f t="shared" si="41"/>
        <v>0</v>
      </c>
      <c r="G64" s="229">
        <f t="shared" si="41"/>
        <v>0</v>
      </c>
      <c r="H64" s="229">
        <f t="shared" si="41"/>
        <v>0</v>
      </c>
      <c r="I64" s="229">
        <f t="shared" si="41"/>
        <v>0</v>
      </c>
      <c r="J64" s="229">
        <f t="shared" si="41"/>
        <v>0</v>
      </c>
      <c r="K64" s="229">
        <f t="shared" si="41"/>
        <v>0</v>
      </c>
      <c r="L64" s="229">
        <f t="shared" si="41"/>
        <v>0</v>
      </c>
      <c r="M64" s="229">
        <f t="shared" si="41"/>
        <v>0</v>
      </c>
      <c r="N64" s="229">
        <f t="shared" si="41"/>
        <v>0</v>
      </c>
      <c r="O64" s="229">
        <f t="shared" si="41"/>
        <v>0</v>
      </c>
      <c r="P64" s="229">
        <f t="shared" si="41"/>
        <v>0</v>
      </c>
      <c r="Q64" s="229">
        <f t="shared" si="41"/>
        <v>0</v>
      </c>
      <c r="R64" s="229">
        <f t="shared" si="41"/>
        <v>0</v>
      </c>
      <c r="S64" s="229">
        <f t="shared" si="41"/>
        <v>0</v>
      </c>
      <c r="T64" s="229">
        <f t="shared" si="41"/>
        <v>0</v>
      </c>
      <c r="U64" s="229">
        <f aca="true" t="shared" si="42" ref="U64:AG64">IF(U48&lt;&gt;0,(+U62/U48),0)</f>
        <v>0</v>
      </c>
      <c r="V64" s="229">
        <f t="shared" si="42"/>
        <v>0</v>
      </c>
      <c r="W64" s="229">
        <f t="shared" si="42"/>
        <v>0</v>
      </c>
      <c r="X64" s="229">
        <f t="shared" si="42"/>
        <v>0</v>
      </c>
      <c r="Y64" s="229">
        <f t="shared" si="42"/>
        <v>0</v>
      </c>
      <c r="Z64" s="229">
        <f t="shared" si="42"/>
        <v>0</v>
      </c>
      <c r="AA64" s="229">
        <f t="shared" si="42"/>
        <v>0</v>
      </c>
      <c r="AB64" s="229">
        <f t="shared" si="42"/>
        <v>0</v>
      </c>
      <c r="AC64" s="229">
        <f t="shared" si="42"/>
        <v>0</v>
      </c>
      <c r="AD64" s="229">
        <f t="shared" si="42"/>
        <v>0</v>
      </c>
      <c r="AE64" s="229">
        <f t="shared" si="42"/>
        <v>0</v>
      </c>
      <c r="AF64" s="229">
        <f t="shared" si="42"/>
        <v>0</v>
      </c>
      <c r="AG64" s="229">
        <f t="shared" si="42"/>
        <v>0</v>
      </c>
    </row>
    <row r="65" spans="1:33" ht="17.25">
      <c r="A65" s="334" t="s">
        <v>836</v>
      </c>
      <c r="B65" s="259"/>
      <c r="C65" s="259"/>
      <c r="D65" s="217">
        <f aca="true" t="shared" si="43" ref="D65:T65">+D48-D62</f>
        <v>0</v>
      </c>
      <c r="E65" s="217">
        <f t="shared" si="43"/>
        <v>0</v>
      </c>
      <c r="F65" s="217">
        <f t="shared" si="43"/>
        <v>0</v>
      </c>
      <c r="G65" s="217">
        <f t="shared" si="43"/>
        <v>0</v>
      </c>
      <c r="H65" s="217">
        <f t="shared" si="43"/>
        <v>0</v>
      </c>
      <c r="I65" s="217">
        <f t="shared" si="43"/>
        <v>0</v>
      </c>
      <c r="J65" s="217">
        <f t="shared" si="43"/>
        <v>0</v>
      </c>
      <c r="K65" s="217">
        <f t="shared" si="43"/>
        <v>0</v>
      </c>
      <c r="L65" s="217">
        <f t="shared" si="43"/>
        <v>0</v>
      </c>
      <c r="M65" s="217">
        <f t="shared" si="43"/>
        <v>0</v>
      </c>
      <c r="N65" s="217">
        <f t="shared" si="43"/>
        <v>0</v>
      </c>
      <c r="O65" s="217">
        <f t="shared" si="43"/>
        <v>0</v>
      </c>
      <c r="P65" s="217">
        <f t="shared" si="43"/>
        <v>0</v>
      </c>
      <c r="Q65" s="217">
        <f t="shared" si="43"/>
        <v>0</v>
      </c>
      <c r="R65" s="217">
        <f t="shared" si="43"/>
        <v>0</v>
      </c>
      <c r="S65" s="217">
        <f t="shared" si="43"/>
        <v>0</v>
      </c>
      <c r="T65" s="217">
        <f t="shared" si="43"/>
        <v>0</v>
      </c>
      <c r="U65" s="217">
        <f aca="true" t="shared" si="44" ref="U65:AG65">+U48-U62</f>
        <v>0</v>
      </c>
      <c r="V65" s="217">
        <f t="shared" si="44"/>
        <v>0</v>
      </c>
      <c r="W65" s="217">
        <f t="shared" si="44"/>
        <v>0</v>
      </c>
      <c r="X65" s="217">
        <f t="shared" si="44"/>
        <v>0</v>
      </c>
      <c r="Y65" s="217">
        <f t="shared" si="44"/>
        <v>0</v>
      </c>
      <c r="Z65" s="217">
        <f t="shared" si="44"/>
        <v>0</v>
      </c>
      <c r="AA65" s="217">
        <f t="shared" si="44"/>
        <v>0</v>
      </c>
      <c r="AB65" s="217">
        <f t="shared" si="44"/>
        <v>0</v>
      </c>
      <c r="AC65" s="217">
        <f t="shared" si="44"/>
        <v>0</v>
      </c>
      <c r="AD65" s="217">
        <f t="shared" si="44"/>
        <v>0</v>
      </c>
      <c r="AE65" s="217">
        <f t="shared" si="44"/>
        <v>0</v>
      </c>
      <c r="AF65" s="217">
        <f t="shared" si="44"/>
        <v>0</v>
      </c>
      <c r="AG65" s="217">
        <f t="shared" si="44"/>
        <v>0</v>
      </c>
    </row>
    <row r="66" spans="1:33" ht="17.25">
      <c r="A66" s="259"/>
      <c r="B66" s="259"/>
      <c r="C66" s="259"/>
      <c r="D66" s="217"/>
      <c r="E66" s="259"/>
      <c r="F66" s="259"/>
      <c r="G66" s="259"/>
      <c r="H66" s="259"/>
      <c r="I66" s="259"/>
      <c r="J66" s="259"/>
      <c r="K66" s="259"/>
      <c r="L66" s="259"/>
      <c r="M66" s="259"/>
      <c r="N66" s="259"/>
      <c r="O66" s="259"/>
      <c r="P66" s="259"/>
      <c r="Q66" s="259"/>
      <c r="R66" s="259"/>
      <c r="S66" s="259"/>
      <c r="T66" s="259"/>
      <c r="U66" s="259"/>
      <c r="V66" s="259"/>
      <c r="W66" s="259"/>
      <c r="X66" s="259"/>
      <c r="Y66" s="259"/>
      <c r="Z66" s="259"/>
      <c r="AA66" s="259"/>
      <c r="AB66" s="259"/>
      <c r="AC66" s="259"/>
      <c r="AD66" s="259"/>
      <c r="AE66" s="259"/>
      <c r="AF66" s="259"/>
      <c r="AG66" s="259"/>
    </row>
    <row r="67" spans="1:33" ht="17.25">
      <c r="A67" s="216" t="s">
        <v>837</v>
      </c>
      <c r="B67" s="216"/>
      <c r="C67" s="259"/>
      <c r="D67" s="217">
        <f>IF((+N4+N5+N6)&lt;&gt;0,(N4+N5+N6),0)</f>
        <v>0</v>
      </c>
      <c r="E67" s="217">
        <f aca="true" t="shared" si="45" ref="E67:AG67">+$D$67</f>
        <v>0</v>
      </c>
      <c r="F67" s="217">
        <f t="shared" si="45"/>
        <v>0</v>
      </c>
      <c r="G67" s="217">
        <f t="shared" si="45"/>
        <v>0</v>
      </c>
      <c r="H67" s="217">
        <f t="shared" si="45"/>
        <v>0</v>
      </c>
      <c r="I67" s="217">
        <f t="shared" si="45"/>
        <v>0</v>
      </c>
      <c r="J67" s="217">
        <f t="shared" si="45"/>
        <v>0</v>
      </c>
      <c r="K67" s="217">
        <f t="shared" si="45"/>
        <v>0</v>
      </c>
      <c r="L67" s="217">
        <f t="shared" si="45"/>
        <v>0</v>
      </c>
      <c r="M67" s="217">
        <f t="shared" si="45"/>
        <v>0</v>
      </c>
      <c r="N67" s="217">
        <f t="shared" si="45"/>
        <v>0</v>
      </c>
      <c r="O67" s="217">
        <f t="shared" si="45"/>
        <v>0</v>
      </c>
      <c r="P67" s="217">
        <f t="shared" si="45"/>
        <v>0</v>
      </c>
      <c r="Q67" s="217">
        <f t="shared" si="45"/>
        <v>0</v>
      </c>
      <c r="R67" s="217">
        <f t="shared" si="45"/>
        <v>0</v>
      </c>
      <c r="S67" s="217">
        <f t="shared" si="45"/>
        <v>0</v>
      </c>
      <c r="T67" s="217">
        <f t="shared" si="45"/>
        <v>0</v>
      </c>
      <c r="U67" s="217">
        <f t="shared" si="45"/>
        <v>0</v>
      </c>
      <c r="V67" s="217">
        <f t="shared" si="45"/>
        <v>0</v>
      </c>
      <c r="W67" s="217">
        <f t="shared" si="45"/>
        <v>0</v>
      </c>
      <c r="X67" s="217">
        <f t="shared" si="45"/>
        <v>0</v>
      </c>
      <c r="Y67" s="217">
        <f t="shared" si="45"/>
        <v>0</v>
      </c>
      <c r="Z67" s="217">
        <f t="shared" si="45"/>
        <v>0</v>
      </c>
      <c r="AA67" s="217">
        <f t="shared" si="45"/>
        <v>0</v>
      </c>
      <c r="AB67" s="217">
        <f t="shared" si="45"/>
        <v>0</v>
      </c>
      <c r="AC67" s="217">
        <f t="shared" si="45"/>
        <v>0</v>
      </c>
      <c r="AD67" s="217">
        <f t="shared" si="45"/>
        <v>0</v>
      </c>
      <c r="AE67" s="217">
        <f t="shared" si="45"/>
        <v>0</v>
      </c>
      <c r="AF67" s="217">
        <f t="shared" si="45"/>
        <v>0</v>
      </c>
      <c r="AG67" s="217">
        <f t="shared" si="45"/>
        <v>0</v>
      </c>
    </row>
    <row r="68" spans="1:33" ht="17.25">
      <c r="A68" s="216" t="s">
        <v>597</v>
      </c>
      <c r="B68" s="216"/>
      <c r="C68" s="259"/>
      <c r="D68" s="220">
        <f>$R4</f>
        <v>0</v>
      </c>
      <c r="E68" s="220">
        <f>$R4</f>
        <v>0</v>
      </c>
      <c r="F68" s="220">
        <f aca="true" t="shared" si="46" ref="F68:T68">$R4</f>
        <v>0</v>
      </c>
      <c r="G68" s="220">
        <f t="shared" si="46"/>
        <v>0</v>
      </c>
      <c r="H68" s="220">
        <f t="shared" si="46"/>
        <v>0</v>
      </c>
      <c r="I68" s="220">
        <f t="shared" si="46"/>
        <v>0</v>
      </c>
      <c r="J68" s="220">
        <f t="shared" si="46"/>
        <v>0</v>
      </c>
      <c r="K68" s="220">
        <f t="shared" si="46"/>
        <v>0</v>
      </c>
      <c r="L68" s="220">
        <f t="shared" si="46"/>
        <v>0</v>
      </c>
      <c r="M68" s="220">
        <f t="shared" si="46"/>
        <v>0</v>
      </c>
      <c r="N68" s="220">
        <f t="shared" si="46"/>
        <v>0</v>
      </c>
      <c r="O68" s="220">
        <f t="shared" si="46"/>
        <v>0</v>
      </c>
      <c r="P68" s="220">
        <f t="shared" si="46"/>
        <v>0</v>
      </c>
      <c r="Q68" s="220">
        <f t="shared" si="46"/>
        <v>0</v>
      </c>
      <c r="R68" s="220">
        <f t="shared" si="46"/>
        <v>0</v>
      </c>
      <c r="S68" s="220">
        <f t="shared" si="46"/>
        <v>0</v>
      </c>
      <c r="T68" s="220">
        <f t="shared" si="46"/>
        <v>0</v>
      </c>
      <c r="U68" s="220">
        <f aca="true" t="shared" si="47" ref="U68:AG68">$R4</f>
        <v>0</v>
      </c>
      <c r="V68" s="220">
        <f t="shared" si="47"/>
        <v>0</v>
      </c>
      <c r="W68" s="220">
        <f t="shared" si="47"/>
        <v>0</v>
      </c>
      <c r="X68" s="220">
        <f t="shared" si="47"/>
        <v>0</v>
      </c>
      <c r="Y68" s="220">
        <f t="shared" si="47"/>
        <v>0</v>
      </c>
      <c r="Z68" s="220">
        <f t="shared" si="47"/>
        <v>0</v>
      </c>
      <c r="AA68" s="220">
        <f t="shared" si="47"/>
        <v>0</v>
      </c>
      <c r="AB68" s="220">
        <f t="shared" si="47"/>
        <v>0</v>
      </c>
      <c r="AC68" s="220">
        <f t="shared" si="47"/>
        <v>0</v>
      </c>
      <c r="AD68" s="220">
        <f t="shared" si="47"/>
        <v>0</v>
      </c>
      <c r="AE68" s="220">
        <f t="shared" si="47"/>
        <v>0</v>
      </c>
      <c r="AF68" s="220">
        <f t="shared" si="47"/>
        <v>0</v>
      </c>
      <c r="AG68" s="220">
        <f t="shared" si="47"/>
        <v>0</v>
      </c>
    </row>
    <row r="69" spans="1:33" ht="17.25">
      <c r="A69" s="216" t="s">
        <v>838</v>
      </c>
      <c r="B69" s="216"/>
      <c r="C69" s="259"/>
      <c r="D69" s="217">
        <f>SUM(D67:D68)</f>
        <v>0</v>
      </c>
      <c r="E69" s="217">
        <f>SUM(E67:E68)</f>
        <v>0</v>
      </c>
      <c r="F69" s="217">
        <f aca="true" t="shared" si="48" ref="F69:T69">SUM(F67:F68)</f>
        <v>0</v>
      </c>
      <c r="G69" s="217">
        <f t="shared" si="48"/>
        <v>0</v>
      </c>
      <c r="H69" s="217">
        <f t="shared" si="48"/>
        <v>0</v>
      </c>
      <c r="I69" s="217">
        <f t="shared" si="48"/>
        <v>0</v>
      </c>
      <c r="J69" s="217">
        <f t="shared" si="48"/>
        <v>0</v>
      </c>
      <c r="K69" s="217">
        <f t="shared" si="48"/>
        <v>0</v>
      </c>
      <c r="L69" s="217">
        <f t="shared" si="48"/>
        <v>0</v>
      </c>
      <c r="M69" s="217">
        <f t="shared" si="48"/>
        <v>0</v>
      </c>
      <c r="N69" s="217">
        <f t="shared" si="48"/>
        <v>0</v>
      </c>
      <c r="O69" s="217">
        <f t="shared" si="48"/>
        <v>0</v>
      </c>
      <c r="P69" s="217">
        <f t="shared" si="48"/>
        <v>0</v>
      </c>
      <c r="Q69" s="217">
        <f t="shared" si="48"/>
        <v>0</v>
      </c>
      <c r="R69" s="217">
        <f t="shared" si="48"/>
        <v>0</v>
      </c>
      <c r="S69" s="217">
        <f t="shared" si="48"/>
        <v>0</v>
      </c>
      <c r="T69" s="217">
        <f t="shared" si="48"/>
        <v>0</v>
      </c>
      <c r="U69" s="217">
        <f aca="true" t="shared" si="49" ref="U69:AG69">SUM(U67:U68)</f>
        <v>0</v>
      </c>
      <c r="V69" s="217">
        <f t="shared" si="49"/>
        <v>0</v>
      </c>
      <c r="W69" s="217">
        <f t="shared" si="49"/>
        <v>0</v>
      </c>
      <c r="X69" s="217">
        <f t="shared" si="49"/>
        <v>0</v>
      </c>
      <c r="Y69" s="217">
        <f t="shared" si="49"/>
        <v>0</v>
      </c>
      <c r="Z69" s="217">
        <f t="shared" si="49"/>
        <v>0</v>
      </c>
      <c r="AA69" s="217">
        <f t="shared" si="49"/>
        <v>0</v>
      </c>
      <c r="AB69" s="217">
        <f t="shared" si="49"/>
        <v>0</v>
      </c>
      <c r="AC69" s="217">
        <f t="shared" si="49"/>
        <v>0</v>
      </c>
      <c r="AD69" s="217">
        <f t="shared" si="49"/>
        <v>0</v>
      </c>
      <c r="AE69" s="217">
        <f t="shared" si="49"/>
        <v>0</v>
      </c>
      <c r="AF69" s="217">
        <f t="shared" si="49"/>
        <v>0</v>
      </c>
      <c r="AG69" s="217">
        <f t="shared" si="49"/>
        <v>0</v>
      </c>
    </row>
    <row r="71" spans="1:33" ht="17.25">
      <c r="A71" s="216" t="s">
        <v>839</v>
      </c>
      <c r="B71" s="216"/>
      <c r="C71" s="231"/>
      <c r="D71" s="275">
        <f>IF(D69&lt;&gt;0,(+D65/D69),0)</f>
        <v>0</v>
      </c>
      <c r="E71" s="275">
        <f aca="true" t="shared" si="50" ref="E71:S71">IF(E69&lt;&gt;0,(+E65/E69),0)</f>
        <v>0</v>
      </c>
      <c r="F71" s="275">
        <f t="shared" si="50"/>
        <v>0</v>
      </c>
      <c r="G71" s="275">
        <f t="shared" si="50"/>
        <v>0</v>
      </c>
      <c r="H71" s="275">
        <f t="shared" si="50"/>
        <v>0</v>
      </c>
      <c r="I71" s="275">
        <f t="shared" si="50"/>
        <v>0</v>
      </c>
      <c r="J71" s="275">
        <f t="shared" si="50"/>
        <v>0</v>
      </c>
      <c r="K71" s="275">
        <f t="shared" si="50"/>
        <v>0</v>
      </c>
      <c r="L71" s="275">
        <f t="shared" si="50"/>
        <v>0</v>
      </c>
      <c r="M71" s="275">
        <f t="shared" si="50"/>
        <v>0</v>
      </c>
      <c r="N71" s="275">
        <f t="shared" si="50"/>
        <v>0</v>
      </c>
      <c r="O71" s="275">
        <f t="shared" si="50"/>
        <v>0</v>
      </c>
      <c r="P71" s="275">
        <f t="shared" si="50"/>
        <v>0</v>
      </c>
      <c r="Q71" s="275">
        <f t="shared" si="50"/>
        <v>0</v>
      </c>
      <c r="R71" s="275">
        <f t="shared" si="50"/>
        <v>0</v>
      </c>
      <c r="S71" s="275">
        <f t="shared" si="50"/>
        <v>0</v>
      </c>
      <c r="T71" s="275">
        <f>IF(T69&lt;&gt;0,(+T65/T69),0)</f>
        <v>0</v>
      </c>
      <c r="U71" s="275">
        <f aca="true" t="shared" si="51" ref="U71:AG71">IF(U69&lt;&gt;0,(+U65/U69),0)</f>
        <v>0</v>
      </c>
      <c r="V71" s="275">
        <f t="shared" si="51"/>
        <v>0</v>
      </c>
      <c r="W71" s="275">
        <f t="shared" si="51"/>
        <v>0</v>
      </c>
      <c r="X71" s="275">
        <f t="shared" si="51"/>
        <v>0</v>
      </c>
      <c r="Y71" s="275">
        <f t="shared" si="51"/>
        <v>0</v>
      </c>
      <c r="Z71" s="275">
        <f t="shared" si="51"/>
        <v>0</v>
      </c>
      <c r="AA71" s="275">
        <f t="shared" si="51"/>
        <v>0</v>
      </c>
      <c r="AB71" s="275">
        <f t="shared" si="51"/>
        <v>0</v>
      </c>
      <c r="AC71" s="275">
        <f t="shared" si="51"/>
        <v>0</v>
      </c>
      <c r="AD71" s="275">
        <f t="shared" si="51"/>
        <v>0</v>
      </c>
      <c r="AE71" s="275">
        <f t="shared" si="51"/>
        <v>0</v>
      </c>
      <c r="AF71" s="275">
        <f t="shared" si="51"/>
        <v>0</v>
      </c>
      <c r="AG71" s="275">
        <f t="shared" si="51"/>
        <v>0</v>
      </c>
    </row>
    <row r="72" spans="1:33" ht="17.25">
      <c r="A72" s="216" t="s">
        <v>840</v>
      </c>
      <c r="B72" s="216"/>
      <c r="C72" s="231"/>
      <c r="D72" s="275">
        <f aca="true" t="shared" si="52" ref="D72:AG72">IF(D80&lt;&gt;0,((+D65+D80)/D69),0)</f>
        <v>0</v>
      </c>
      <c r="E72" s="275">
        <f t="shared" si="52"/>
        <v>0</v>
      </c>
      <c r="F72" s="275">
        <f t="shared" si="52"/>
        <v>0</v>
      </c>
      <c r="G72" s="275">
        <f t="shared" si="52"/>
        <v>0</v>
      </c>
      <c r="H72" s="275">
        <f t="shared" si="52"/>
        <v>0</v>
      </c>
      <c r="I72" s="275">
        <f t="shared" si="52"/>
        <v>0</v>
      </c>
      <c r="J72" s="275">
        <f t="shared" si="52"/>
        <v>0</v>
      </c>
      <c r="K72" s="275">
        <f t="shared" si="52"/>
        <v>0</v>
      </c>
      <c r="L72" s="275">
        <f t="shared" si="52"/>
        <v>0</v>
      </c>
      <c r="M72" s="275">
        <f t="shared" si="52"/>
        <v>0</v>
      </c>
      <c r="N72" s="275">
        <f t="shared" si="52"/>
        <v>0</v>
      </c>
      <c r="O72" s="275">
        <f t="shared" si="52"/>
        <v>0</v>
      </c>
      <c r="P72" s="275">
        <f t="shared" si="52"/>
        <v>0</v>
      </c>
      <c r="Q72" s="275">
        <f t="shared" si="52"/>
        <v>0</v>
      </c>
      <c r="R72" s="275">
        <f t="shared" si="52"/>
        <v>0</v>
      </c>
      <c r="S72" s="275">
        <f t="shared" si="52"/>
        <v>0</v>
      </c>
      <c r="T72" s="275">
        <f t="shared" si="52"/>
        <v>0</v>
      </c>
      <c r="U72" s="275">
        <f t="shared" si="52"/>
        <v>0</v>
      </c>
      <c r="V72" s="275">
        <f t="shared" si="52"/>
        <v>0</v>
      </c>
      <c r="W72" s="275">
        <f t="shared" si="52"/>
        <v>0</v>
      </c>
      <c r="X72" s="275">
        <f t="shared" si="52"/>
        <v>0</v>
      </c>
      <c r="Y72" s="275">
        <f t="shared" si="52"/>
        <v>0</v>
      </c>
      <c r="Z72" s="275">
        <f t="shared" si="52"/>
        <v>0</v>
      </c>
      <c r="AA72" s="275">
        <f t="shared" si="52"/>
        <v>0</v>
      </c>
      <c r="AB72" s="275">
        <f t="shared" si="52"/>
        <v>0</v>
      </c>
      <c r="AC72" s="275">
        <f t="shared" si="52"/>
        <v>0</v>
      </c>
      <c r="AD72" s="275">
        <f t="shared" si="52"/>
        <v>0</v>
      </c>
      <c r="AE72" s="275">
        <f t="shared" si="52"/>
        <v>0</v>
      </c>
      <c r="AF72" s="275">
        <f t="shared" si="52"/>
        <v>0</v>
      </c>
      <c r="AG72" s="275">
        <f t="shared" si="52"/>
        <v>0</v>
      </c>
    </row>
    <row r="73" spans="1:33" ht="17.25">
      <c r="A73" s="461"/>
      <c r="B73" s="222"/>
      <c r="C73" s="259"/>
      <c r="D73" s="275"/>
      <c r="E73" s="275"/>
      <c r="F73" s="275"/>
      <c r="G73" s="275"/>
      <c r="H73" s="275"/>
      <c r="I73" s="275"/>
      <c r="J73" s="275"/>
      <c r="K73" s="275"/>
      <c r="L73" s="275"/>
      <c r="M73" s="275"/>
      <c r="N73" s="275"/>
      <c r="O73" s="275"/>
      <c r="P73" s="275"/>
      <c r="Q73" s="275"/>
      <c r="R73" s="275"/>
      <c r="S73" s="275"/>
      <c r="T73" s="275"/>
      <c r="U73" s="275"/>
      <c r="V73" s="275"/>
      <c r="W73" s="275"/>
      <c r="X73" s="275"/>
      <c r="Y73" s="275"/>
      <c r="Z73" s="275"/>
      <c r="AA73" s="275"/>
      <c r="AB73" s="275"/>
      <c r="AC73" s="275"/>
      <c r="AD73" s="275"/>
      <c r="AE73" s="275"/>
      <c r="AF73" s="275"/>
      <c r="AG73" s="275"/>
    </row>
    <row r="74" spans="1:33" ht="17.25">
      <c r="A74" s="222" t="s">
        <v>841</v>
      </c>
      <c r="B74" s="222"/>
      <c r="C74" s="259"/>
      <c r="D74" s="217">
        <f aca="true" t="shared" si="53" ref="D74:S74">D65-D69</f>
        <v>0</v>
      </c>
      <c r="E74" s="217">
        <f t="shared" si="53"/>
        <v>0</v>
      </c>
      <c r="F74" s="217">
        <f t="shared" si="53"/>
        <v>0</v>
      </c>
      <c r="G74" s="217">
        <f t="shared" si="53"/>
        <v>0</v>
      </c>
      <c r="H74" s="217">
        <f t="shared" si="53"/>
        <v>0</v>
      </c>
      <c r="I74" s="217">
        <f t="shared" si="53"/>
        <v>0</v>
      </c>
      <c r="J74" s="217">
        <f t="shared" si="53"/>
        <v>0</v>
      </c>
      <c r="K74" s="217">
        <f t="shared" si="53"/>
        <v>0</v>
      </c>
      <c r="L74" s="217">
        <f t="shared" si="53"/>
        <v>0</v>
      </c>
      <c r="M74" s="217">
        <f t="shared" si="53"/>
        <v>0</v>
      </c>
      <c r="N74" s="217">
        <f t="shared" si="53"/>
        <v>0</v>
      </c>
      <c r="O74" s="217">
        <f t="shared" si="53"/>
        <v>0</v>
      </c>
      <c r="P74" s="217">
        <f t="shared" si="53"/>
        <v>0</v>
      </c>
      <c r="Q74" s="217">
        <f t="shared" si="53"/>
        <v>0</v>
      </c>
      <c r="R74" s="217">
        <f t="shared" si="53"/>
        <v>0</v>
      </c>
      <c r="S74" s="217">
        <f t="shared" si="53"/>
        <v>0</v>
      </c>
      <c r="T74" s="217">
        <f aca="true" t="shared" si="54" ref="T74:AG74">+T65-T69</f>
        <v>0</v>
      </c>
      <c r="U74" s="217">
        <f t="shared" si="54"/>
        <v>0</v>
      </c>
      <c r="V74" s="217">
        <f t="shared" si="54"/>
        <v>0</v>
      </c>
      <c r="W74" s="217">
        <f t="shared" si="54"/>
        <v>0</v>
      </c>
      <c r="X74" s="217">
        <f t="shared" si="54"/>
        <v>0</v>
      </c>
      <c r="Y74" s="217">
        <f t="shared" si="54"/>
        <v>0</v>
      </c>
      <c r="Z74" s="217">
        <f t="shared" si="54"/>
        <v>0</v>
      </c>
      <c r="AA74" s="217">
        <f t="shared" si="54"/>
        <v>0</v>
      </c>
      <c r="AB74" s="217">
        <f t="shared" si="54"/>
        <v>0</v>
      </c>
      <c r="AC74" s="217">
        <f t="shared" si="54"/>
        <v>0</v>
      </c>
      <c r="AD74" s="217">
        <f t="shared" si="54"/>
        <v>0</v>
      </c>
      <c r="AE74" s="217">
        <f t="shared" si="54"/>
        <v>0</v>
      </c>
      <c r="AF74" s="217">
        <f t="shared" si="54"/>
        <v>0</v>
      </c>
      <c r="AG74" s="217">
        <f t="shared" si="54"/>
        <v>0</v>
      </c>
    </row>
    <row r="75" spans="1:33" ht="17.25">
      <c r="A75" s="221" t="s">
        <v>1453</v>
      </c>
      <c r="B75" s="605"/>
      <c r="C75" s="259" t="s">
        <v>489</v>
      </c>
      <c r="D75" s="217">
        <f>D74*$B75/100</f>
        <v>0</v>
      </c>
      <c r="E75" s="217">
        <f>E74*$B75/100</f>
        <v>0</v>
      </c>
      <c r="F75" s="217">
        <f aca="true" t="shared" si="55" ref="F75:AG75">F74*$B75/100</f>
        <v>0</v>
      </c>
      <c r="G75" s="217">
        <f t="shared" si="55"/>
        <v>0</v>
      </c>
      <c r="H75" s="217">
        <f t="shared" si="55"/>
        <v>0</v>
      </c>
      <c r="I75" s="217">
        <f t="shared" si="55"/>
        <v>0</v>
      </c>
      <c r="J75" s="217">
        <f t="shared" si="55"/>
        <v>0</v>
      </c>
      <c r="K75" s="217">
        <f t="shared" si="55"/>
        <v>0</v>
      </c>
      <c r="L75" s="217">
        <f t="shared" si="55"/>
        <v>0</v>
      </c>
      <c r="M75" s="217">
        <f t="shared" si="55"/>
        <v>0</v>
      </c>
      <c r="N75" s="217">
        <f t="shared" si="55"/>
        <v>0</v>
      </c>
      <c r="O75" s="217">
        <f t="shared" si="55"/>
        <v>0</v>
      </c>
      <c r="P75" s="217">
        <f t="shared" si="55"/>
        <v>0</v>
      </c>
      <c r="Q75" s="217">
        <f t="shared" si="55"/>
        <v>0</v>
      </c>
      <c r="R75" s="217">
        <f t="shared" si="55"/>
        <v>0</v>
      </c>
      <c r="S75" s="217">
        <f t="shared" si="55"/>
        <v>0</v>
      </c>
      <c r="T75" s="217">
        <f t="shared" si="55"/>
        <v>0</v>
      </c>
      <c r="U75" s="217">
        <f t="shared" si="55"/>
        <v>0</v>
      </c>
      <c r="V75" s="217">
        <f t="shared" si="55"/>
        <v>0</v>
      </c>
      <c r="W75" s="217">
        <f t="shared" si="55"/>
        <v>0</v>
      </c>
      <c r="X75" s="217">
        <f t="shared" si="55"/>
        <v>0</v>
      </c>
      <c r="Y75" s="217">
        <f t="shared" si="55"/>
        <v>0</v>
      </c>
      <c r="Z75" s="217">
        <f t="shared" si="55"/>
        <v>0</v>
      </c>
      <c r="AA75" s="217">
        <f t="shared" si="55"/>
        <v>0</v>
      </c>
      <c r="AB75" s="217">
        <f t="shared" si="55"/>
        <v>0</v>
      </c>
      <c r="AC75" s="217">
        <f t="shared" si="55"/>
        <v>0</v>
      </c>
      <c r="AD75" s="217">
        <f t="shared" si="55"/>
        <v>0</v>
      </c>
      <c r="AE75" s="217">
        <f t="shared" si="55"/>
        <v>0</v>
      </c>
      <c r="AF75" s="217">
        <f t="shared" si="55"/>
        <v>0</v>
      </c>
      <c r="AG75" s="217">
        <f t="shared" si="55"/>
        <v>0</v>
      </c>
    </row>
    <row r="76" spans="1:33" ht="17.25">
      <c r="A76" s="604"/>
      <c r="B76" s="606"/>
      <c r="C76" t="s">
        <v>489</v>
      </c>
      <c r="D76" s="217">
        <f>D74*$B76/100</f>
        <v>0</v>
      </c>
      <c r="E76" s="217">
        <f aca="true" t="shared" si="56" ref="E76:AG76">E74*$B76/100</f>
        <v>0</v>
      </c>
      <c r="F76" s="217">
        <f t="shared" si="56"/>
        <v>0</v>
      </c>
      <c r="G76" s="217">
        <f t="shared" si="56"/>
        <v>0</v>
      </c>
      <c r="H76" s="217">
        <f t="shared" si="56"/>
        <v>0</v>
      </c>
      <c r="I76" s="217">
        <f t="shared" si="56"/>
        <v>0</v>
      </c>
      <c r="J76" s="217">
        <f t="shared" si="56"/>
        <v>0</v>
      </c>
      <c r="K76" s="217">
        <f t="shared" si="56"/>
        <v>0</v>
      </c>
      <c r="L76" s="217">
        <f t="shared" si="56"/>
        <v>0</v>
      </c>
      <c r="M76" s="217">
        <f t="shared" si="56"/>
        <v>0</v>
      </c>
      <c r="N76" s="217">
        <f t="shared" si="56"/>
        <v>0</v>
      </c>
      <c r="O76" s="217">
        <f t="shared" si="56"/>
        <v>0</v>
      </c>
      <c r="P76" s="217">
        <f t="shared" si="56"/>
        <v>0</v>
      </c>
      <c r="Q76" s="217">
        <f t="shared" si="56"/>
        <v>0</v>
      </c>
      <c r="R76" s="217">
        <f t="shared" si="56"/>
        <v>0</v>
      </c>
      <c r="S76" s="217">
        <f t="shared" si="56"/>
        <v>0</v>
      </c>
      <c r="T76" s="217">
        <f t="shared" si="56"/>
        <v>0</v>
      </c>
      <c r="U76" s="217">
        <f t="shared" si="56"/>
        <v>0</v>
      </c>
      <c r="V76" s="217">
        <f t="shared" si="56"/>
        <v>0</v>
      </c>
      <c r="W76" s="217">
        <f t="shared" si="56"/>
        <v>0</v>
      </c>
      <c r="X76" s="217">
        <f t="shared" si="56"/>
        <v>0</v>
      </c>
      <c r="Y76" s="217">
        <f t="shared" si="56"/>
        <v>0</v>
      </c>
      <c r="Z76" s="217">
        <f t="shared" si="56"/>
        <v>0</v>
      </c>
      <c r="AA76" s="217">
        <f t="shared" si="56"/>
        <v>0</v>
      </c>
      <c r="AB76" s="217">
        <f t="shared" si="56"/>
        <v>0</v>
      </c>
      <c r="AC76" s="217">
        <f t="shared" si="56"/>
        <v>0</v>
      </c>
      <c r="AD76" s="217">
        <f t="shared" si="56"/>
        <v>0</v>
      </c>
      <c r="AE76" s="217">
        <f t="shared" si="56"/>
        <v>0</v>
      </c>
      <c r="AF76" s="217">
        <f t="shared" si="56"/>
        <v>0</v>
      </c>
      <c r="AG76" s="217">
        <f t="shared" si="56"/>
        <v>0</v>
      </c>
    </row>
    <row r="77" spans="1:33" ht="17.25">
      <c r="A77" s="222"/>
      <c r="B77" s="259" t="s">
        <v>1176</v>
      </c>
      <c r="D77" s="217">
        <f>D74-SUM(D75:D76)</f>
        <v>0</v>
      </c>
      <c r="E77" s="217">
        <f>E74-SUM(E75:E76)</f>
        <v>0</v>
      </c>
      <c r="F77" s="217">
        <f aca="true" t="shared" si="57" ref="F77:AG77">F74-SUM(F75:F76)</f>
        <v>0</v>
      </c>
      <c r="G77" s="217">
        <f t="shared" si="57"/>
        <v>0</v>
      </c>
      <c r="H77" s="217">
        <f t="shared" si="57"/>
        <v>0</v>
      </c>
      <c r="I77" s="217">
        <f t="shared" si="57"/>
        <v>0</v>
      </c>
      <c r="J77" s="217">
        <f t="shared" si="57"/>
        <v>0</v>
      </c>
      <c r="K77" s="217">
        <f t="shared" si="57"/>
        <v>0</v>
      </c>
      <c r="L77" s="217">
        <f t="shared" si="57"/>
        <v>0</v>
      </c>
      <c r="M77" s="217">
        <f t="shared" si="57"/>
        <v>0</v>
      </c>
      <c r="N77" s="217">
        <f t="shared" si="57"/>
        <v>0</v>
      </c>
      <c r="O77" s="217">
        <f t="shared" si="57"/>
        <v>0</v>
      </c>
      <c r="P77" s="217">
        <f t="shared" si="57"/>
        <v>0</v>
      </c>
      <c r="Q77" s="217">
        <f t="shared" si="57"/>
        <v>0</v>
      </c>
      <c r="R77" s="217">
        <f t="shared" si="57"/>
        <v>0</v>
      </c>
      <c r="S77" s="217">
        <f t="shared" si="57"/>
        <v>0</v>
      </c>
      <c r="T77" s="217">
        <f t="shared" si="57"/>
        <v>0</v>
      </c>
      <c r="U77" s="217">
        <f t="shared" si="57"/>
        <v>0</v>
      </c>
      <c r="V77" s="217">
        <f t="shared" si="57"/>
        <v>0</v>
      </c>
      <c r="W77" s="217">
        <f t="shared" si="57"/>
        <v>0</v>
      </c>
      <c r="X77" s="217">
        <f t="shared" si="57"/>
        <v>0</v>
      </c>
      <c r="Y77" s="217">
        <f t="shared" si="57"/>
        <v>0</v>
      </c>
      <c r="Z77" s="217">
        <f t="shared" si="57"/>
        <v>0</v>
      </c>
      <c r="AA77" s="217">
        <f t="shared" si="57"/>
        <v>0</v>
      </c>
      <c r="AB77" s="217">
        <f t="shared" si="57"/>
        <v>0</v>
      </c>
      <c r="AC77" s="217">
        <f t="shared" si="57"/>
        <v>0</v>
      </c>
      <c r="AD77" s="217">
        <f t="shared" si="57"/>
        <v>0</v>
      </c>
      <c r="AE77" s="217">
        <f t="shared" si="57"/>
        <v>0</v>
      </c>
      <c r="AF77" s="217">
        <f t="shared" si="57"/>
        <v>0</v>
      </c>
      <c r="AG77" s="217">
        <f t="shared" si="57"/>
        <v>0</v>
      </c>
    </row>
    <row r="78" spans="2:33" ht="17.25">
      <c r="B78" s="155"/>
      <c r="C78" s="155"/>
      <c r="D78" s="155"/>
      <c r="E78" s="155"/>
      <c r="F78" s="155"/>
      <c r="G78" s="155"/>
      <c r="H78" s="155"/>
      <c r="I78" s="155"/>
      <c r="J78" s="155"/>
      <c r="K78" s="155"/>
      <c r="L78" s="155"/>
      <c r="M78" s="983">
        <f>SUM(D77:M77)</f>
        <v>0</v>
      </c>
      <c r="N78" s="155"/>
      <c r="O78" s="155"/>
      <c r="P78" s="155"/>
      <c r="Q78" s="155"/>
      <c r="R78" s="983">
        <f>SUM(D77:R77)</f>
        <v>0</v>
      </c>
      <c r="S78" s="155"/>
      <c r="T78" s="155"/>
      <c r="U78" s="155"/>
      <c r="V78" s="155"/>
      <c r="W78" s="155"/>
      <c r="X78" s="155"/>
      <c r="Y78" s="155"/>
      <c r="Z78" s="155"/>
      <c r="AA78" s="155"/>
      <c r="AB78" s="155"/>
      <c r="AC78" s="155"/>
      <c r="AD78" s="155"/>
      <c r="AE78" s="155"/>
      <c r="AF78" s="155"/>
      <c r="AG78" s="155"/>
    </row>
    <row r="79" spans="1:33" ht="17.25">
      <c r="A79" s="232" t="s">
        <v>842</v>
      </c>
      <c r="B79" s="232"/>
      <c r="C79" s="155"/>
      <c r="D79" s="155"/>
      <c r="E79" s="155"/>
      <c r="F79" s="155"/>
      <c r="G79" s="155"/>
      <c r="H79" s="155"/>
      <c r="I79" s="15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row>
    <row r="80" spans="1:33" ht="17.25">
      <c r="A80" s="216" t="s">
        <v>843</v>
      </c>
      <c r="B80" s="216"/>
      <c r="C80" s="155"/>
      <c r="D80" s="336"/>
      <c r="E80" s="230">
        <f aca="true" t="shared" si="58" ref="E80:AG80">+D83</f>
        <v>0</v>
      </c>
      <c r="F80" s="230">
        <f t="shared" si="58"/>
        <v>0</v>
      </c>
      <c r="G80" s="230">
        <f t="shared" si="58"/>
        <v>0</v>
      </c>
      <c r="H80" s="230">
        <f t="shared" si="58"/>
        <v>0</v>
      </c>
      <c r="I80" s="230">
        <f t="shared" si="58"/>
        <v>0</v>
      </c>
      <c r="J80" s="230">
        <f t="shared" si="58"/>
        <v>0</v>
      </c>
      <c r="K80" s="230">
        <f t="shared" si="58"/>
        <v>0</v>
      </c>
      <c r="L80" s="230">
        <f t="shared" si="58"/>
        <v>0</v>
      </c>
      <c r="M80" s="230">
        <f t="shared" si="58"/>
        <v>0</v>
      </c>
      <c r="N80" s="230">
        <f t="shared" si="58"/>
        <v>0</v>
      </c>
      <c r="O80" s="230">
        <f t="shared" si="58"/>
        <v>0</v>
      </c>
      <c r="P80" s="230">
        <f t="shared" si="58"/>
        <v>0</v>
      </c>
      <c r="Q80" s="230">
        <f t="shared" si="58"/>
        <v>0</v>
      </c>
      <c r="R80" s="230">
        <f t="shared" si="58"/>
        <v>0</v>
      </c>
      <c r="S80" s="230">
        <f t="shared" si="58"/>
        <v>0</v>
      </c>
      <c r="T80" s="230">
        <f t="shared" si="58"/>
        <v>0</v>
      </c>
      <c r="U80" s="230">
        <f t="shared" si="58"/>
        <v>0</v>
      </c>
      <c r="V80" s="230">
        <f t="shared" si="58"/>
        <v>0</v>
      </c>
      <c r="W80" s="230">
        <f t="shared" si="58"/>
        <v>0</v>
      </c>
      <c r="X80" s="230">
        <f t="shared" si="58"/>
        <v>0</v>
      </c>
      <c r="Y80" s="230">
        <f t="shared" si="58"/>
        <v>0</v>
      </c>
      <c r="Z80" s="230">
        <f t="shared" si="58"/>
        <v>0</v>
      </c>
      <c r="AA80" s="230">
        <f t="shared" si="58"/>
        <v>0</v>
      </c>
      <c r="AB80" s="230">
        <f t="shared" si="58"/>
        <v>0</v>
      </c>
      <c r="AC80" s="230">
        <f t="shared" si="58"/>
        <v>0</v>
      </c>
      <c r="AD80" s="230">
        <f t="shared" si="58"/>
        <v>0</v>
      </c>
      <c r="AE80" s="230">
        <f t="shared" si="58"/>
        <v>0</v>
      </c>
      <c r="AF80" s="230">
        <f t="shared" si="58"/>
        <v>0</v>
      </c>
      <c r="AG80" s="230">
        <f t="shared" si="58"/>
        <v>0</v>
      </c>
    </row>
    <row r="81" spans="1:33" ht="17.25">
      <c r="A81" s="216" t="s">
        <v>844</v>
      </c>
      <c r="B81" s="216"/>
      <c r="C81" s="335"/>
      <c r="D81" s="230">
        <f>D80*$C81</f>
        <v>0</v>
      </c>
      <c r="E81" s="230">
        <f>E80*$C81</f>
        <v>0</v>
      </c>
      <c r="F81" s="230">
        <f aca="true" t="shared" si="59" ref="F81:AG81">F80*$C81</f>
        <v>0</v>
      </c>
      <c r="G81" s="230">
        <f t="shared" si="59"/>
        <v>0</v>
      </c>
      <c r="H81" s="230">
        <f t="shared" si="59"/>
        <v>0</v>
      </c>
      <c r="I81" s="230">
        <f t="shared" si="59"/>
        <v>0</v>
      </c>
      <c r="J81" s="230">
        <f t="shared" si="59"/>
        <v>0</v>
      </c>
      <c r="K81" s="230">
        <f t="shared" si="59"/>
        <v>0</v>
      </c>
      <c r="L81" s="230">
        <f t="shared" si="59"/>
        <v>0</v>
      </c>
      <c r="M81" s="230">
        <f t="shared" si="59"/>
        <v>0</v>
      </c>
      <c r="N81" s="230">
        <f t="shared" si="59"/>
        <v>0</v>
      </c>
      <c r="O81" s="230">
        <f t="shared" si="59"/>
        <v>0</v>
      </c>
      <c r="P81" s="230">
        <f t="shared" si="59"/>
        <v>0</v>
      </c>
      <c r="Q81" s="230">
        <f t="shared" si="59"/>
        <v>0</v>
      </c>
      <c r="R81" s="230">
        <f t="shared" si="59"/>
        <v>0</v>
      </c>
      <c r="S81" s="230">
        <f t="shared" si="59"/>
        <v>0</v>
      </c>
      <c r="T81" s="230">
        <f t="shared" si="59"/>
        <v>0</v>
      </c>
      <c r="U81" s="230">
        <f t="shared" si="59"/>
        <v>0</v>
      </c>
      <c r="V81" s="230">
        <f t="shared" si="59"/>
        <v>0</v>
      </c>
      <c r="W81" s="230">
        <f t="shared" si="59"/>
        <v>0</v>
      </c>
      <c r="X81" s="230">
        <f t="shared" si="59"/>
        <v>0</v>
      </c>
      <c r="Y81" s="230">
        <f t="shared" si="59"/>
        <v>0</v>
      </c>
      <c r="Z81" s="230">
        <f t="shared" si="59"/>
        <v>0</v>
      </c>
      <c r="AA81" s="230">
        <f t="shared" si="59"/>
        <v>0</v>
      </c>
      <c r="AB81" s="230">
        <f t="shared" si="59"/>
        <v>0</v>
      </c>
      <c r="AC81" s="230">
        <f t="shared" si="59"/>
        <v>0</v>
      </c>
      <c r="AD81" s="230">
        <f t="shared" si="59"/>
        <v>0</v>
      </c>
      <c r="AE81" s="230">
        <f t="shared" si="59"/>
        <v>0</v>
      </c>
      <c r="AF81" s="230">
        <f t="shared" si="59"/>
        <v>0</v>
      </c>
      <c r="AG81" s="230">
        <f t="shared" si="59"/>
        <v>0</v>
      </c>
    </row>
    <row r="82" spans="1:33" ht="17.25">
      <c r="A82" s="216" t="s">
        <v>710</v>
      </c>
      <c r="B82" s="216"/>
      <c r="C82" s="791"/>
      <c r="D82" s="230">
        <f>IF(D69&gt;D65,(-D69+D65),0)</f>
        <v>0</v>
      </c>
      <c r="E82" s="230">
        <f aca="true" t="shared" si="60" ref="E82:AG82">IF(E69&gt;E65,(-E69+E65),0)</f>
        <v>0</v>
      </c>
      <c r="F82" s="230">
        <f t="shared" si="60"/>
        <v>0</v>
      </c>
      <c r="G82" s="230">
        <f t="shared" si="60"/>
        <v>0</v>
      </c>
      <c r="H82" s="230">
        <f t="shared" si="60"/>
        <v>0</v>
      </c>
      <c r="I82" s="230">
        <f t="shared" si="60"/>
        <v>0</v>
      </c>
      <c r="J82" s="230">
        <f t="shared" si="60"/>
        <v>0</v>
      </c>
      <c r="K82" s="230">
        <f t="shared" si="60"/>
        <v>0</v>
      </c>
      <c r="L82" s="230">
        <f t="shared" si="60"/>
        <v>0</v>
      </c>
      <c r="M82" s="230">
        <f t="shared" si="60"/>
        <v>0</v>
      </c>
      <c r="N82" s="230">
        <f t="shared" si="60"/>
        <v>0</v>
      </c>
      <c r="O82" s="230">
        <f t="shared" si="60"/>
        <v>0</v>
      </c>
      <c r="P82" s="230">
        <f t="shared" si="60"/>
        <v>0</v>
      </c>
      <c r="Q82" s="230">
        <f t="shared" si="60"/>
        <v>0</v>
      </c>
      <c r="R82" s="230">
        <f t="shared" si="60"/>
        <v>0</v>
      </c>
      <c r="S82" s="230">
        <f t="shared" si="60"/>
        <v>0</v>
      </c>
      <c r="T82" s="230">
        <f t="shared" si="60"/>
        <v>0</v>
      </c>
      <c r="U82" s="230">
        <f t="shared" si="60"/>
        <v>0</v>
      </c>
      <c r="V82" s="230">
        <f t="shared" si="60"/>
        <v>0</v>
      </c>
      <c r="W82" s="230">
        <f t="shared" si="60"/>
        <v>0</v>
      </c>
      <c r="X82" s="230">
        <f t="shared" si="60"/>
        <v>0</v>
      </c>
      <c r="Y82" s="230">
        <f t="shared" si="60"/>
        <v>0</v>
      </c>
      <c r="Z82" s="230">
        <f t="shared" si="60"/>
        <v>0</v>
      </c>
      <c r="AA82" s="230">
        <f t="shared" si="60"/>
        <v>0</v>
      </c>
      <c r="AB82" s="230">
        <f t="shared" si="60"/>
        <v>0</v>
      </c>
      <c r="AC82" s="230">
        <f t="shared" si="60"/>
        <v>0</v>
      </c>
      <c r="AD82" s="230">
        <f t="shared" si="60"/>
        <v>0</v>
      </c>
      <c r="AE82" s="230">
        <f t="shared" si="60"/>
        <v>0</v>
      </c>
      <c r="AF82" s="230">
        <f t="shared" si="60"/>
        <v>0</v>
      </c>
      <c r="AG82" s="230">
        <f t="shared" si="60"/>
        <v>0</v>
      </c>
    </row>
    <row r="83" spans="1:33" ht="17.25">
      <c r="A83" s="142" t="s">
        <v>845</v>
      </c>
      <c r="B83" s="142"/>
      <c r="C83" s="142"/>
      <c r="D83" s="230">
        <f>SUM(D80:D82)</f>
        <v>0</v>
      </c>
      <c r="E83" s="230">
        <f aca="true" t="shared" si="61" ref="E83:AG83">SUM(E80:E82)</f>
        <v>0</v>
      </c>
      <c r="F83" s="230">
        <f t="shared" si="61"/>
        <v>0</v>
      </c>
      <c r="G83" s="230">
        <f t="shared" si="61"/>
        <v>0</v>
      </c>
      <c r="H83" s="230">
        <f t="shared" si="61"/>
        <v>0</v>
      </c>
      <c r="I83" s="230">
        <f t="shared" si="61"/>
        <v>0</v>
      </c>
      <c r="J83" s="230">
        <f t="shared" si="61"/>
        <v>0</v>
      </c>
      <c r="K83" s="230">
        <f t="shared" si="61"/>
        <v>0</v>
      </c>
      <c r="L83" s="230">
        <f t="shared" si="61"/>
        <v>0</v>
      </c>
      <c r="M83" s="230">
        <f t="shared" si="61"/>
        <v>0</v>
      </c>
      <c r="N83" s="230">
        <f t="shared" si="61"/>
        <v>0</v>
      </c>
      <c r="O83" s="230">
        <f t="shared" si="61"/>
        <v>0</v>
      </c>
      <c r="P83" s="230">
        <f t="shared" si="61"/>
        <v>0</v>
      </c>
      <c r="Q83" s="230">
        <f t="shared" si="61"/>
        <v>0</v>
      </c>
      <c r="R83" s="230">
        <f t="shared" si="61"/>
        <v>0</v>
      </c>
      <c r="S83" s="230">
        <f t="shared" si="61"/>
        <v>0</v>
      </c>
      <c r="T83" s="230">
        <f t="shared" si="61"/>
        <v>0</v>
      </c>
      <c r="U83" s="230">
        <f t="shared" si="61"/>
        <v>0</v>
      </c>
      <c r="V83" s="230">
        <f t="shared" si="61"/>
        <v>0</v>
      </c>
      <c r="W83" s="230">
        <f t="shared" si="61"/>
        <v>0</v>
      </c>
      <c r="X83" s="230">
        <f t="shared" si="61"/>
        <v>0</v>
      </c>
      <c r="Y83" s="230">
        <f t="shared" si="61"/>
        <v>0</v>
      </c>
      <c r="Z83" s="230">
        <f t="shared" si="61"/>
        <v>0</v>
      </c>
      <c r="AA83" s="230">
        <f t="shared" si="61"/>
        <v>0</v>
      </c>
      <c r="AB83" s="230">
        <f t="shared" si="61"/>
        <v>0</v>
      </c>
      <c r="AC83" s="230">
        <f t="shared" si="61"/>
        <v>0</v>
      </c>
      <c r="AD83" s="230">
        <f t="shared" si="61"/>
        <v>0</v>
      </c>
      <c r="AE83" s="230">
        <f t="shared" si="61"/>
        <v>0</v>
      </c>
      <c r="AF83" s="230">
        <f t="shared" si="61"/>
        <v>0</v>
      </c>
      <c r="AG83" s="230">
        <f t="shared" si="61"/>
        <v>0</v>
      </c>
    </row>
  </sheetData>
  <sheetProtection/>
  <printOptions horizontalCentered="1"/>
  <pageMargins left="0.25" right="0.25" top="0.55" bottom="0.25" header="0.25" footer="0.25"/>
  <pageSetup fitToWidth="2" fitToHeight="1" horizontalDpi="600" verticalDpi="600" orientation="landscape" pageOrder="overThenDown" paperSize="5" scale="37" r:id="rId1"/>
  <headerFooter alignWithMargins="0">
    <oddHeader>&amp;C&amp;"Arial,Bold"&amp;14DRAFT - for discussion purposes only and subject to change&amp;16
MULTIFAMILY CASH FLOW</oddHeader>
    <oddFooter>&amp;L&amp;8&amp;F&amp;A &amp;D</oddFooter>
  </headerFooter>
</worksheet>
</file>

<file path=xl/worksheets/sheet7.xml><?xml version="1.0" encoding="utf-8"?>
<worksheet xmlns="http://schemas.openxmlformats.org/spreadsheetml/2006/main" xmlns:r="http://schemas.openxmlformats.org/officeDocument/2006/relationships">
  <sheetPr>
    <tabColor rgb="FFFFFF00"/>
  </sheetPr>
  <dimension ref="A1:M107"/>
  <sheetViews>
    <sheetView zoomScalePageLayoutView="0" workbookViewId="0" topLeftCell="A1">
      <selection activeCell="L19" sqref="L19"/>
    </sheetView>
  </sheetViews>
  <sheetFormatPr defaultColWidth="8.88671875" defaultRowHeight="15"/>
  <cols>
    <col min="10" max="10" width="4.77734375" style="0" customWidth="1"/>
  </cols>
  <sheetData>
    <row r="1" spans="1:12" ht="15">
      <c r="A1" s="886"/>
      <c r="B1" s="886"/>
      <c r="C1" s="886"/>
      <c r="D1" s="886"/>
      <c r="E1" s="909" t="s">
        <v>1469</v>
      </c>
      <c r="F1" s="886"/>
      <c r="G1" s="886"/>
      <c r="H1" s="886"/>
      <c r="I1" s="886"/>
      <c r="J1" s="886"/>
      <c r="K1" s="886"/>
      <c r="L1" s="886"/>
    </row>
    <row r="2" spans="1:12" ht="15">
      <c r="A2" s="886"/>
      <c r="B2" s="886"/>
      <c r="C2" s="886"/>
      <c r="D2" s="886"/>
      <c r="E2" s="909"/>
      <c r="F2" s="886"/>
      <c r="G2" s="886"/>
      <c r="H2" s="886"/>
      <c r="I2" s="886"/>
      <c r="J2" s="886"/>
      <c r="K2" s="886"/>
      <c r="L2" s="886"/>
    </row>
    <row r="3" spans="1:13" ht="15">
      <c r="A3" s="886"/>
      <c r="B3" s="886"/>
      <c r="C3" s="886"/>
      <c r="D3" s="886"/>
      <c r="E3" s="909" t="s">
        <v>1470</v>
      </c>
      <c r="F3" s="886"/>
      <c r="G3" s="886"/>
      <c r="H3" s="886"/>
      <c r="I3" s="886"/>
      <c r="J3" s="886"/>
      <c r="K3" s="886"/>
      <c r="L3" s="886"/>
      <c r="M3" s="883"/>
    </row>
    <row r="4" spans="1:13" ht="15">
      <c r="A4" s="886"/>
      <c r="B4" s="886"/>
      <c r="C4" s="886"/>
      <c r="D4" s="886"/>
      <c r="E4" s="886"/>
      <c r="F4" s="886"/>
      <c r="G4" s="886"/>
      <c r="H4" s="886"/>
      <c r="I4" s="886"/>
      <c r="J4" s="886"/>
      <c r="K4" s="886"/>
      <c r="L4" s="886"/>
      <c r="M4" s="883"/>
    </row>
    <row r="5" spans="1:13" ht="15">
      <c r="A5" s="883" t="s">
        <v>1471</v>
      </c>
      <c r="B5" s="883"/>
      <c r="C5" s="917">
        <f>'FORM-10 (A-F)'!PREPARER</f>
        <v>0</v>
      </c>
      <c r="D5" s="917"/>
      <c r="E5" s="917"/>
      <c r="F5" s="917"/>
      <c r="G5" s="883"/>
      <c r="H5" s="883"/>
      <c r="I5" s="883"/>
      <c r="J5" s="883"/>
      <c r="K5" s="883"/>
      <c r="L5" s="883"/>
      <c r="M5" s="886"/>
    </row>
    <row r="6" spans="1:13" ht="15">
      <c r="A6" s="883"/>
      <c r="B6" s="883"/>
      <c r="C6" s="883"/>
      <c r="D6" s="883"/>
      <c r="E6" s="883"/>
      <c r="F6" s="883"/>
      <c r="G6" s="883"/>
      <c r="H6" s="883"/>
      <c r="I6" s="883"/>
      <c r="J6" s="883"/>
      <c r="K6" s="883"/>
      <c r="L6" s="883"/>
      <c r="M6" s="886"/>
    </row>
    <row r="7" spans="1:13" ht="15">
      <c r="A7" s="883" t="s">
        <v>708</v>
      </c>
      <c r="B7" s="883"/>
      <c r="C7" s="917">
        <f>'FORM-10 (A-F)'!DEV_NAME</f>
        <v>0</v>
      </c>
      <c r="D7" s="917"/>
      <c r="E7" s="917"/>
      <c r="F7" s="917"/>
      <c r="G7" s="883"/>
      <c r="H7" s="883"/>
      <c r="I7" s="883"/>
      <c r="J7" s="883"/>
      <c r="K7" s="883"/>
      <c r="L7" s="883"/>
      <c r="M7" s="886"/>
    </row>
    <row r="8" spans="1:13" ht="15">
      <c r="A8" s="883"/>
      <c r="B8" s="883"/>
      <c r="C8" s="883"/>
      <c r="D8" s="883"/>
      <c r="E8" s="883"/>
      <c r="F8" s="883"/>
      <c r="G8" s="883"/>
      <c r="H8" s="883"/>
      <c r="I8" s="883"/>
      <c r="J8" s="883"/>
      <c r="K8" s="883"/>
      <c r="L8" s="883"/>
      <c r="M8" s="886"/>
    </row>
    <row r="9" spans="1:13" ht="15">
      <c r="A9" s="883" t="s">
        <v>493</v>
      </c>
      <c r="B9" s="883"/>
      <c r="C9" s="917">
        <f>'FORM-10 (A-F)'!HMFA</f>
        <v>0</v>
      </c>
      <c r="D9" s="917"/>
      <c r="E9" s="883"/>
      <c r="F9" s="883"/>
      <c r="G9" s="883"/>
      <c r="H9" s="883"/>
      <c r="I9" s="883"/>
      <c r="J9" s="883"/>
      <c r="K9" s="883"/>
      <c r="L9" s="883"/>
      <c r="M9" s="886"/>
    </row>
    <row r="10" spans="1:13" ht="15">
      <c r="A10" s="918"/>
      <c r="B10" s="918"/>
      <c r="C10" s="918"/>
      <c r="D10" s="918"/>
      <c r="E10" s="918"/>
      <c r="F10" s="918"/>
      <c r="G10" s="918"/>
      <c r="H10" s="918"/>
      <c r="I10" s="918"/>
      <c r="J10" s="918"/>
      <c r="K10" s="918"/>
      <c r="L10" s="918"/>
      <c r="M10" s="886"/>
    </row>
    <row r="11" spans="1:13" ht="15">
      <c r="A11" s="918" t="s">
        <v>1489</v>
      </c>
      <c r="B11" s="918"/>
      <c r="C11" s="1565"/>
      <c r="D11" s="1565"/>
      <c r="E11" s="918"/>
      <c r="F11" s="918"/>
      <c r="G11" s="918"/>
      <c r="H11" s="918"/>
      <c r="I11" s="918"/>
      <c r="J11" s="918"/>
      <c r="K11" s="918"/>
      <c r="L11" s="918"/>
      <c r="M11" s="886"/>
    </row>
    <row r="12" spans="1:13" ht="15">
      <c r="A12" s="883"/>
      <c r="B12" s="883"/>
      <c r="C12" s="883"/>
      <c r="D12" s="883"/>
      <c r="E12" s="883"/>
      <c r="F12" s="883"/>
      <c r="G12" s="883"/>
      <c r="H12" s="883"/>
      <c r="I12" s="883"/>
      <c r="J12" s="883"/>
      <c r="K12" s="883"/>
      <c r="L12" s="883"/>
      <c r="M12" s="886"/>
    </row>
    <row r="13" spans="1:13" ht="15">
      <c r="A13" s="884" t="s">
        <v>1472</v>
      </c>
      <c r="B13" s="883"/>
      <c r="C13" s="883"/>
      <c r="D13" s="883"/>
      <c r="E13" s="883"/>
      <c r="F13" s="883"/>
      <c r="G13" s="883"/>
      <c r="H13" s="883"/>
      <c r="I13" s="883"/>
      <c r="J13" s="883"/>
      <c r="K13" s="883"/>
      <c r="L13" s="883"/>
      <c r="M13" s="886"/>
    </row>
    <row r="14" spans="1:13" ht="15">
      <c r="A14" s="883"/>
      <c r="B14" s="883"/>
      <c r="C14" s="883"/>
      <c r="D14" s="883"/>
      <c r="E14" s="883"/>
      <c r="F14" s="883"/>
      <c r="G14" s="883"/>
      <c r="H14" s="883"/>
      <c r="I14" s="883"/>
      <c r="J14" s="883"/>
      <c r="K14" s="883"/>
      <c r="L14" s="883"/>
      <c r="M14" s="886"/>
    </row>
    <row r="15" spans="1:13" ht="15">
      <c r="A15" s="883" t="s">
        <v>1473</v>
      </c>
      <c r="B15" s="883"/>
      <c r="C15" s="883"/>
      <c r="D15" s="1566"/>
      <c r="E15" s="1566"/>
      <c r="F15" s="1566"/>
      <c r="G15" s="1566"/>
      <c r="H15" s="1566"/>
      <c r="I15" s="1566"/>
      <c r="J15" s="883"/>
      <c r="K15" s="883"/>
      <c r="L15" s="883"/>
      <c r="M15" s="886"/>
    </row>
    <row r="16" spans="1:13" ht="15">
      <c r="A16" s="883"/>
      <c r="B16" s="883"/>
      <c r="C16" s="883"/>
      <c r="D16" s="883"/>
      <c r="E16" s="883"/>
      <c r="F16" s="883"/>
      <c r="G16" s="883"/>
      <c r="H16" s="883"/>
      <c r="I16" s="883"/>
      <c r="J16" s="883"/>
      <c r="K16" s="883"/>
      <c r="L16" s="883"/>
      <c r="M16" s="886"/>
    </row>
    <row r="17" spans="1:13" ht="15">
      <c r="A17" s="883" t="s">
        <v>1474</v>
      </c>
      <c r="B17" s="883"/>
      <c r="C17" s="1566"/>
      <c r="D17" s="1566"/>
      <c r="E17" s="1566"/>
      <c r="F17" s="1566"/>
      <c r="G17" s="1566"/>
      <c r="H17" s="1566"/>
      <c r="I17" s="910"/>
      <c r="J17" s="883"/>
      <c r="K17" s="883"/>
      <c r="L17" s="883"/>
      <c r="M17" s="886"/>
    </row>
    <row r="18" spans="1:13" ht="15">
      <c r="A18" s="883"/>
      <c r="B18" s="883"/>
      <c r="C18" s="883"/>
      <c r="D18" s="883"/>
      <c r="E18" s="883"/>
      <c r="F18" s="883"/>
      <c r="G18" s="883"/>
      <c r="H18" s="883"/>
      <c r="I18" s="883"/>
      <c r="J18" s="883"/>
      <c r="K18" s="883"/>
      <c r="L18" s="883"/>
      <c r="M18" s="886"/>
    </row>
    <row r="19" spans="1:13" ht="15">
      <c r="A19" s="883" t="s">
        <v>1475</v>
      </c>
      <c r="B19" s="1565">
        <v>0</v>
      </c>
      <c r="C19" s="1565"/>
      <c r="D19" s="883"/>
      <c r="E19" s="883"/>
      <c r="F19" s="883"/>
      <c r="G19" s="883"/>
      <c r="H19" s="883"/>
      <c r="I19" s="883"/>
      <c r="J19" s="883"/>
      <c r="K19" s="883"/>
      <c r="L19" s="883"/>
      <c r="M19" s="886"/>
    </row>
    <row r="20" spans="1:13" ht="15">
      <c r="A20" s="883"/>
      <c r="B20" s="883"/>
      <c r="C20" s="883"/>
      <c r="D20" s="883"/>
      <c r="E20" s="883"/>
      <c r="F20" s="883"/>
      <c r="G20" s="883"/>
      <c r="H20" s="883"/>
      <c r="I20" s="883"/>
      <c r="J20" s="883"/>
      <c r="K20" s="883"/>
      <c r="L20" s="883"/>
      <c r="M20" s="886"/>
    </row>
    <row r="21" spans="1:13" ht="15">
      <c r="A21" s="883" t="s">
        <v>1476</v>
      </c>
      <c r="B21" s="883"/>
      <c r="C21" s="883"/>
      <c r="D21" s="1566"/>
      <c r="E21" s="1566"/>
      <c r="F21" s="1566"/>
      <c r="G21" s="883"/>
      <c r="H21" s="883"/>
      <c r="I21" s="883"/>
      <c r="J21" s="883"/>
      <c r="K21" s="883"/>
      <c r="L21" s="883"/>
      <c r="M21" s="886"/>
    </row>
    <row r="22" spans="1:13" ht="15">
      <c r="A22" s="883"/>
      <c r="B22" s="883"/>
      <c r="C22" s="883"/>
      <c r="D22" s="883"/>
      <c r="E22" s="883"/>
      <c r="F22" s="883"/>
      <c r="G22" s="883"/>
      <c r="H22" s="883"/>
      <c r="I22" s="883"/>
      <c r="J22" s="883"/>
      <c r="K22" s="883"/>
      <c r="L22" s="883"/>
      <c r="M22" s="886"/>
    </row>
    <row r="23" spans="1:13" ht="15">
      <c r="A23" s="883" t="s">
        <v>1477</v>
      </c>
      <c r="B23" s="883"/>
      <c r="C23" s="883"/>
      <c r="D23" s="883"/>
      <c r="E23" s="883"/>
      <c r="F23" s="883"/>
      <c r="G23" s="883"/>
      <c r="H23" s="1565"/>
      <c r="I23" s="1565"/>
      <c r="J23" s="911"/>
      <c r="K23" s="911"/>
      <c r="L23" s="911"/>
      <c r="M23" s="886"/>
    </row>
    <row r="24" spans="1:13" ht="15">
      <c r="A24" s="1565"/>
      <c r="B24" s="1565"/>
      <c r="C24" s="1565"/>
      <c r="D24" s="1565"/>
      <c r="E24" s="1565"/>
      <c r="F24" s="1565"/>
      <c r="G24" s="1565"/>
      <c r="H24" s="1565"/>
      <c r="I24" s="912"/>
      <c r="J24" s="883"/>
      <c r="K24" s="883"/>
      <c r="L24" s="883"/>
      <c r="M24" s="886"/>
    </row>
    <row r="25" spans="1:13" ht="15">
      <c r="A25" s="913"/>
      <c r="B25" s="913"/>
      <c r="C25" s="913"/>
      <c r="D25" s="913"/>
      <c r="E25" s="913"/>
      <c r="F25" s="913"/>
      <c r="G25" s="913"/>
      <c r="H25" s="913"/>
      <c r="I25" s="913"/>
      <c r="J25" s="883"/>
      <c r="K25" s="883"/>
      <c r="L25" s="883"/>
      <c r="M25" s="886"/>
    </row>
    <row r="26" spans="1:13" ht="15">
      <c r="A26" s="883" t="s">
        <v>1478</v>
      </c>
      <c r="B26" s="883"/>
      <c r="C26" s="1566"/>
      <c r="D26" s="1566"/>
      <c r="E26" s="1566"/>
      <c r="F26" s="883"/>
      <c r="G26" s="883"/>
      <c r="H26" s="883"/>
      <c r="I26" s="883"/>
      <c r="J26" s="883"/>
      <c r="K26" s="883"/>
      <c r="L26" s="883"/>
      <c r="M26" s="886"/>
    </row>
    <row r="27" spans="1:13" ht="15">
      <c r="A27" s="883"/>
      <c r="B27" s="883"/>
      <c r="C27" s="883"/>
      <c r="D27" s="883"/>
      <c r="E27" s="883"/>
      <c r="F27" s="883"/>
      <c r="G27" s="883"/>
      <c r="H27" s="883"/>
      <c r="I27" s="883"/>
      <c r="J27" s="883"/>
      <c r="K27" s="883"/>
      <c r="L27" s="883"/>
      <c r="M27" s="886"/>
    </row>
    <row r="28" spans="1:13" ht="15">
      <c r="A28" s="883" t="s">
        <v>1479</v>
      </c>
      <c r="B28" s="883"/>
      <c r="C28" s="917">
        <f>'FORM-10 (A-F)'!MUNICIP</f>
        <v>0</v>
      </c>
      <c r="D28" s="917"/>
      <c r="E28" s="917"/>
      <c r="F28" s="911"/>
      <c r="G28" s="911"/>
      <c r="H28" s="883"/>
      <c r="I28" s="883"/>
      <c r="J28" s="883"/>
      <c r="K28" s="883"/>
      <c r="L28" s="883"/>
      <c r="M28" s="886"/>
    </row>
    <row r="29" spans="1:13" ht="15">
      <c r="A29" s="883"/>
      <c r="B29" s="883"/>
      <c r="C29" s="883"/>
      <c r="D29" s="883"/>
      <c r="E29" s="883"/>
      <c r="F29" s="883"/>
      <c r="G29" s="883"/>
      <c r="H29" s="883"/>
      <c r="I29" s="883"/>
      <c r="J29" s="883"/>
      <c r="K29" s="883"/>
      <c r="L29" s="883"/>
      <c r="M29" s="886"/>
    </row>
    <row r="30" spans="1:13" ht="15">
      <c r="A30" s="883" t="s">
        <v>1480</v>
      </c>
      <c r="B30" s="917">
        <f>'FORM-10 (A-F)'!COUNTY</f>
        <v>0</v>
      </c>
      <c r="C30" s="917"/>
      <c r="D30" s="917"/>
      <c r="E30" s="883"/>
      <c r="F30" s="883"/>
      <c r="G30" s="883"/>
      <c r="H30" s="883"/>
      <c r="I30" s="883"/>
      <c r="J30" s="883"/>
      <c r="K30" s="883"/>
      <c r="L30" s="883"/>
      <c r="M30" s="886"/>
    </row>
    <row r="31" spans="1:13" ht="15">
      <c r="A31" s="883"/>
      <c r="B31" s="883"/>
      <c r="C31" s="883"/>
      <c r="D31" s="883"/>
      <c r="E31" s="883"/>
      <c r="F31" s="883"/>
      <c r="G31" s="883"/>
      <c r="H31" s="883"/>
      <c r="I31" s="883"/>
      <c r="J31" s="883"/>
      <c r="K31" s="883"/>
      <c r="L31" s="883"/>
      <c r="M31" s="886"/>
    </row>
    <row r="32" spans="1:13" ht="15">
      <c r="A32" s="883" t="s">
        <v>1481</v>
      </c>
      <c r="B32" s="883"/>
      <c r="C32" s="910"/>
      <c r="D32" s="910"/>
      <c r="E32" s="910"/>
      <c r="F32" s="910"/>
      <c r="G32" s="910"/>
      <c r="H32" s="910"/>
      <c r="I32" s="910"/>
      <c r="J32" s="883"/>
      <c r="K32" s="883"/>
      <c r="L32" s="883"/>
      <c r="M32" s="886"/>
    </row>
    <row r="33" spans="1:13" ht="15">
      <c r="A33" s="883"/>
      <c r="B33" s="883"/>
      <c r="C33" s="883"/>
      <c r="D33" s="883"/>
      <c r="E33" s="883"/>
      <c r="F33" s="883"/>
      <c r="G33" s="883"/>
      <c r="H33" s="883"/>
      <c r="I33" s="883"/>
      <c r="J33" s="883"/>
      <c r="K33" s="883"/>
      <c r="L33" s="883"/>
      <c r="M33" s="886"/>
    </row>
    <row r="34" spans="1:13" ht="15">
      <c r="A34" s="884" t="s">
        <v>1482</v>
      </c>
      <c r="B34" s="883"/>
      <c r="C34" s="883"/>
      <c r="D34" s="883"/>
      <c r="E34" s="883"/>
      <c r="F34" s="883"/>
      <c r="G34" s="883"/>
      <c r="H34" s="883"/>
      <c r="I34" s="883"/>
      <c r="J34" s="883"/>
      <c r="K34" s="883"/>
      <c r="L34" s="883"/>
      <c r="M34" s="886"/>
    </row>
    <row r="35" spans="1:13" ht="15">
      <c r="A35" s="919" t="s">
        <v>1490</v>
      </c>
      <c r="B35" s="919"/>
      <c r="C35" s="919"/>
      <c r="D35" s="919"/>
      <c r="E35" s="914"/>
      <c r="F35" s="914"/>
      <c r="G35" s="914"/>
      <c r="H35" s="914"/>
      <c r="I35" s="914"/>
      <c r="J35" s="883"/>
      <c r="K35" s="883"/>
      <c r="L35" s="883"/>
      <c r="M35" s="886"/>
    </row>
    <row r="36" spans="1:13" ht="15">
      <c r="A36" s="919" t="s">
        <v>1491</v>
      </c>
      <c r="B36" s="919"/>
      <c r="C36" s="919"/>
      <c r="D36" s="919"/>
      <c r="E36" s="914"/>
      <c r="F36" s="914"/>
      <c r="G36" s="914"/>
      <c r="H36" s="914"/>
      <c r="I36" s="914"/>
      <c r="J36" s="883"/>
      <c r="K36" s="883"/>
      <c r="L36" s="883"/>
      <c r="M36" s="886"/>
    </row>
    <row r="37" spans="1:13" ht="15">
      <c r="A37" s="914"/>
      <c r="B37" s="914"/>
      <c r="C37" s="914"/>
      <c r="D37" s="914"/>
      <c r="E37" s="914"/>
      <c r="F37" s="914"/>
      <c r="G37" s="914"/>
      <c r="H37" s="914"/>
      <c r="I37" s="914"/>
      <c r="J37" s="883"/>
      <c r="K37" s="883"/>
      <c r="L37" s="883"/>
      <c r="M37" s="886"/>
    </row>
    <row r="38" spans="1:13" ht="15">
      <c r="A38" s="914"/>
      <c r="B38" s="914"/>
      <c r="C38" s="914"/>
      <c r="D38" s="914"/>
      <c r="E38" s="914"/>
      <c r="F38" s="914"/>
      <c r="G38" s="914"/>
      <c r="H38" s="914"/>
      <c r="I38" s="914"/>
      <c r="J38" s="883"/>
      <c r="K38" s="883"/>
      <c r="L38" s="883"/>
      <c r="M38" s="886"/>
    </row>
    <row r="39" spans="1:13" ht="15">
      <c r="A39" s="884" t="s">
        <v>1483</v>
      </c>
      <c r="B39" s="883"/>
      <c r="C39" s="883"/>
      <c r="D39" s="883"/>
      <c r="E39" s="883"/>
      <c r="F39" s="883"/>
      <c r="G39" s="883"/>
      <c r="H39" s="883"/>
      <c r="I39" s="883"/>
      <c r="J39" s="883"/>
      <c r="K39" s="883"/>
      <c r="L39" s="883"/>
      <c r="M39" s="886"/>
    </row>
    <row r="40" spans="1:13" ht="15">
      <c r="A40" s="914"/>
      <c r="B40" s="914"/>
      <c r="C40" s="914"/>
      <c r="D40" s="914"/>
      <c r="E40" s="914"/>
      <c r="F40" s="914"/>
      <c r="G40" s="914"/>
      <c r="H40" s="914"/>
      <c r="I40" s="914"/>
      <c r="J40" s="883"/>
      <c r="K40" s="883"/>
      <c r="L40" s="883"/>
      <c r="M40" s="886"/>
    </row>
    <row r="41" spans="1:13" ht="15">
      <c r="A41" s="1568"/>
      <c r="B41" s="1568"/>
      <c r="C41" s="1568"/>
      <c r="D41" s="1568"/>
      <c r="E41" s="1568"/>
      <c r="F41" s="1568"/>
      <c r="G41" s="1568"/>
      <c r="H41" s="1568"/>
      <c r="I41" s="1568"/>
      <c r="J41" s="1568"/>
      <c r="K41" s="1568"/>
      <c r="L41" s="1568"/>
      <c r="M41" s="886"/>
    </row>
    <row r="42" spans="1:13" ht="15">
      <c r="A42" s="920" t="s">
        <v>1492</v>
      </c>
      <c r="B42" s="921"/>
      <c r="C42" s="921"/>
      <c r="D42" s="921"/>
      <c r="E42" s="921"/>
      <c r="F42" s="921"/>
      <c r="G42" s="883"/>
      <c r="H42" s="883"/>
      <c r="I42" s="883"/>
      <c r="J42" s="883"/>
      <c r="K42" s="883"/>
      <c r="L42" s="883"/>
      <c r="M42" s="886"/>
    </row>
    <row r="43" spans="1:13" ht="15">
      <c r="A43" s="884"/>
      <c r="B43" s="883"/>
      <c r="C43" s="883"/>
      <c r="D43" s="883"/>
      <c r="E43" s="883"/>
      <c r="F43" s="883"/>
      <c r="G43" s="883"/>
      <c r="H43" s="883"/>
      <c r="I43" s="883"/>
      <c r="J43" s="883"/>
      <c r="K43" s="883"/>
      <c r="L43" s="883"/>
      <c r="M43" s="886"/>
    </row>
    <row r="44" spans="1:13" ht="15">
      <c r="A44" s="883" t="s">
        <v>1197</v>
      </c>
      <c r="B44" s="883"/>
      <c r="C44" s="914"/>
      <c r="D44" s="883"/>
      <c r="E44" s="883"/>
      <c r="F44" s="883"/>
      <c r="G44" s="883"/>
      <c r="H44" s="883"/>
      <c r="I44" s="883"/>
      <c r="J44" s="883"/>
      <c r="K44" s="883"/>
      <c r="L44" s="883"/>
      <c r="M44" s="886"/>
    </row>
    <row r="45" spans="1:12" ht="15">
      <c r="A45" s="883" t="s">
        <v>1484</v>
      </c>
      <c r="B45" s="883"/>
      <c r="C45" s="914"/>
      <c r="D45" s="883"/>
      <c r="E45" s="883"/>
      <c r="F45" s="883"/>
      <c r="G45" s="883"/>
      <c r="H45" s="883"/>
      <c r="I45" s="883"/>
      <c r="J45" s="883"/>
      <c r="K45" s="883"/>
      <c r="L45" s="883"/>
    </row>
    <row r="46" spans="1:12" ht="15">
      <c r="A46" s="883" t="s">
        <v>1485</v>
      </c>
      <c r="B46" s="883"/>
      <c r="C46" s="914"/>
      <c r="D46" s="883"/>
      <c r="E46" s="883"/>
      <c r="F46" s="883"/>
      <c r="G46" s="883"/>
      <c r="H46" s="883"/>
      <c r="I46" s="883"/>
      <c r="J46" s="883"/>
      <c r="K46" s="883"/>
      <c r="L46" s="883"/>
    </row>
    <row r="47" spans="1:12" ht="15">
      <c r="A47" s="883"/>
      <c r="B47" s="883"/>
      <c r="C47" s="883"/>
      <c r="D47" s="883"/>
      <c r="E47" s="883"/>
      <c r="F47" s="883"/>
      <c r="G47" s="883"/>
      <c r="H47" s="883"/>
      <c r="I47" s="883"/>
      <c r="J47" s="883"/>
      <c r="K47" s="883"/>
      <c r="L47" s="883"/>
    </row>
    <row r="48" spans="1:12" ht="15">
      <c r="A48" s="884" t="s">
        <v>1493</v>
      </c>
      <c r="B48" s="883"/>
      <c r="C48" s="883"/>
      <c r="D48" s="883"/>
      <c r="E48" s="883"/>
      <c r="F48" s="883"/>
      <c r="G48" s="883"/>
      <c r="H48" s="883"/>
      <c r="I48" s="883"/>
      <c r="J48" s="883"/>
      <c r="K48" s="883"/>
      <c r="L48" s="883"/>
    </row>
    <row r="49" spans="1:12" ht="15">
      <c r="A49" s="883"/>
      <c r="B49" s="883"/>
      <c r="C49" s="883"/>
      <c r="D49" s="883"/>
      <c r="E49" s="883"/>
      <c r="F49" s="883"/>
      <c r="G49" s="883"/>
      <c r="H49" s="883"/>
      <c r="I49" s="883"/>
      <c r="J49" s="883"/>
      <c r="K49" s="883"/>
      <c r="L49" s="883"/>
    </row>
    <row r="50" spans="1:12" ht="15">
      <c r="A50" s="883" t="s">
        <v>1486</v>
      </c>
      <c r="B50" s="883"/>
      <c r="C50" s="883"/>
      <c r="D50" s="883"/>
      <c r="E50" s="914"/>
      <c r="F50" s="883"/>
      <c r="G50" s="883"/>
      <c r="H50" s="883"/>
      <c r="I50" s="883"/>
      <c r="J50" s="883"/>
      <c r="K50" s="883"/>
      <c r="L50" s="883"/>
    </row>
    <row r="51" spans="1:12" ht="15">
      <c r="A51" s="883" t="s">
        <v>1487</v>
      </c>
      <c r="B51" s="883"/>
      <c r="C51" s="883"/>
      <c r="D51" s="883"/>
      <c r="E51" s="914"/>
      <c r="F51" s="883"/>
      <c r="G51" s="883"/>
      <c r="H51" s="883"/>
      <c r="I51" s="883"/>
      <c r="J51" s="883"/>
      <c r="K51" s="883"/>
      <c r="L51" s="883"/>
    </row>
    <row r="52" spans="1:12" ht="15">
      <c r="A52" s="883" t="s">
        <v>1488</v>
      </c>
      <c r="B52" s="883"/>
      <c r="C52" s="883"/>
      <c r="D52" s="883"/>
      <c r="E52" s="914"/>
      <c r="F52" s="883"/>
      <c r="G52" s="883"/>
      <c r="H52" s="883"/>
      <c r="I52" s="883"/>
      <c r="J52" s="883"/>
      <c r="K52" s="883"/>
      <c r="L52" s="883"/>
    </row>
    <row r="56" spans="1:12" ht="15">
      <c r="A56" s="883"/>
      <c r="B56" s="883"/>
      <c r="C56" s="883"/>
      <c r="D56" s="883"/>
      <c r="E56" s="883"/>
      <c r="F56" s="883"/>
      <c r="G56" s="883"/>
      <c r="H56" s="883"/>
      <c r="I56" s="883"/>
      <c r="J56" s="883"/>
      <c r="K56" s="883"/>
      <c r="L56" s="883"/>
    </row>
    <row r="57" spans="1:12" ht="15">
      <c r="A57" s="884" t="s">
        <v>1430</v>
      </c>
      <c r="B57" s="883"/>
      <c r="C57" s="883"/>
      <c r="D57" s="1567">
        <f>'RFA Sheet'!H4</f>
        <v>0</v>
      </c>
      <c r="E57" s="1567"/>
      <c r="F57" s="885"/>
      <c r="G57" s="883"/>
      <c r="H57" s="883"/>
      <c r="I57" s="883"/>
      <c r="J57" s="883"/>
      <c r="K57" s="883"/>
      <c r="L57" s="883"/>
    </row>
    <row r="58" spans="1:12" ht="15">
      <c r="A58" s="886"/>
      <c r="B58" s="886"/>
      <c r="C58" s="886"/>
      <c r="D58" s="886"/>
      <c r="E58" s="886"/>
      <c r="F58" s="886"/>
      <c r="G58" s="886"/>
      <c r="H58" s="886"/>
      <c r="I58" s="886"/>
      <c r="J58" s="886"/>
      <c r="K58" s="886"/>
      <c r="L58" s="886"/>
    </row>
    <row r="59" spans="1:12" ht="15">
      <c r="A59" s="886" t="s">
        <v>1431</v>
      </c>
      <c r="B59" s="886"/>
      <c r="C59" s="1567">
        <f>'RFA Sheet'!D8</f>
        <v>0</v>
      </c>
      <c r="D59" s="1567"/>
      <c r="E59" s="886"/>
      <c r="F59" s="886"/>
      <c r="G59" s="886"/>
      <c r="H59" s="886"/>
      <c r="I59" s="1572"/>
      <c r="J59" s="1572"/>
      <c r="K59" s="886"/>
      <c r="L59" s="886"/>
    </row>
    <row r="60" spans="1:12" ht="15">
      <c r="A60" s="886" t="s">
        <v>1432</v>
      </c>
      <c r="B60" s="886"/>
      <c r="C60" s="886"/>
      <c r="D60" s="886"/>
      <c r="E60" s="1564">
        <f>IF(C59&gt;0,C59/D57,0)</f>
        <v>0</v>
      </c>
      <c r="F60" s="1564"/>
      <c r="G60" s="886"/>
      <c r="H60" s="886"/>
      <c r="I60" s="886"/>
      <c r="J60" s="886"/>
      <c r="K60" s="886"/>
      <c r="L60" s="886"/>
    </row>
    <row r="61" spans="1:12" ht="15">
      <c r="A61" s="886"/>
      <c r="B61" s="886"/>
      <c r="C61" s="886"/>
      <c r="D61" s="886"/>
      <c r="E61" s="887"/>
      <c r="F61" s="887"/>
      <c r="G61" s="886"/>
      <c r="H61" s="886"/>
      <c r="I61" s="886"/>
      <c r="J61" s="886"/>
      <c r="K61" s="886"/>
      <c r="L61" s="886"/>
    </row>
    <row r="62" spans="1:12" ht="15">
      <c r="A62" s="886" t="s">
        <v>1433</v>
      </c>
      <c r="B62" s="886"/>
      <c r="C62" s="886"/>
      <c r="D62" s="886"/>
      <c r="E62" s="886"/>
      <c r="F62" s="886"/>
      <c r="G62" s="886"/>
      <c r="H62" s="1571">
        <f>'FORM-10 (A-F)'!J137+'FORM-10 (A-F)'!H142</f>
        <v>0</v>
      </c>
      <c r="I62" s="1571"/>
      <c r="J62" s="886"/>
      <c r="K62" s="886"/>
      <c r="L62" s="886"/>
    </row>
    <row r="63" spans="1:12" ht="15">
      <c r="A63" s="886" t="s">
        <v>1432</v>
      </c>
      <c r="B63" s="886"/>
      <c r="C63" s="886"/>
      <c r="D63" s="886"/>
      <c r="E63" s="1564">
        <f>IF(H62&gt;0,H62/D57,0)</f>
        <v>0</v>
      </c>
      <c r="F63" s="1564"/>
      <c r="G63" s="886"/>
      <c r="H63" s="886"/>
      <c r="I63" s="886"/>
      <c r="J63" s="886"/>
      <c r="K63" s="886"/>
      <c r="L63" s="886"/>
    </row>
    <row r="64" spans="1:12" ht="15">
      <c r="A64" s="886"/>
      <c r="B64" s="886"/>
      <c r="C64" s="886"/>
      <c r="D64" s="886"/>
      <c r="E64" s="886"/>
      <c r="F64" s="886"/>
      <c r="G64" s="886"/>
      <c r="H64" s="886"/>
      <c r="I64" s="886"/>
      <c r="J64" s="886"/>
      <c r="K64" s="886"/>
      <c r="L64" s="886"/>
    </row>
    <row r="65" spans="1:12" ht="15">
      <c r="A65" s="886" t="s">
        <v>1434</v>
      </c>
      <c r="B65" s="886"/>
      <c r="C65" s="886"/>
      <c r="D65" s="1570">
        <f>D57-SUM(C59+H62)</f>
        <v>0</v>
      </c>
      <c r="E65" s="1570"/>
      <c r="F65" s="886"/>
      <c r="G65" s="886"/>
      <c r="H65" s="886"/>
      <c r="I65" s="886"/>
      <c r="J65" s="888"/>
      <c r="K65" s="888"/>
      <c r="L65" s="886"/>
    </row>
    <row r="66" spans="1:12" ht="15">
      <c r="A66" s="886" t="s">
        <v>1432</v>
      </c>
      <c r="B66" s="886"/>
      <c r="C66" s="886"/>
      <c r="D66" s="886"/>
      <c r="E66" s="1564">
        <f>IF(D57&gt;0,D65/D57,0)</f>
        <v>0</v>
      </c>
      <c r="F66" s="1564"/>
      <c r="G66" s="886"/>
      <c r="H66" s="886"/>
      <c r="I66" s="886"/>
      <c r="J66" s="888"/>
      <c r="K66" s="888"/>
      <c r="L66" s="886"/>
    </row>
    <row r="67" spans="1:12" ht="15">
      <c r="A67" s="886" t="s">
        <v>1435</v>
      </c>
      <c r="B67" s="886"/>
      <c r="C67" s="886"/>
      <c r="D67" s="886"/>
      <c r="E67" s="1564">
        <f>IF(H62&gt;0,D65/H62,0)</f>
        <v>0</v>
      </c>
      <c r="F67" s="1564"/>
      <c r="G67" s="886"/>
      <c r="H67" s="886"/>
      <c r="I67" s="886"/>
      <c r="J67" s="886"/>
      <c r="K67" s="886"/>
      <c r="L67" s="886"/>
    </row>
    <row r="68" spans="1:12" ht="15">
      <c r="A68" s="886"/>
      <c r="B68" s="886"/>
      <c r="C68" s="886"/>
      <c r="D68" s="886"/>
      <c r="E68" s="889"/>
      <c r="F68" s="886"/>
      <c r="G68" s="886"/>
      <c r="H68" s="886"/>
      <c r="I68" s="886"/>
      <c r="J68" s="886"/>
      <c r="K68" s="886"/>
      <c r="L68" s="886"/>
    </row>
    <row r="69" spans="1:12" ht="15.75" customHeight="1">
      <c r="A69" s="1569" t="s">
        <v>1436</v>
      </c>
      <c r="B69" s="1569"/>
      <c r="C69" s="1569"/>
      <c r="D69" s="1569"/>
      <c r="E69" s="1569"/>
      <c r="F69" s="1569"/>
      <c r="G69" s="1569"/>
      <c r="H69" s="1569"/>
      <c r="I69" s="1569"/>
      <c r="J69" s="908"/>
      <c r="K69" s="908"/>
      <c r="L69" s="908"/>
    </row>
    <row r="70" spans="1:12" ht="15.75" customHeight="1">
      <c r="A70" s="1569"/>
      <c r="B70" s="1569"/>
      <c r="C70" s="1569"/>
      <c r="D70" s="1569"/>
      <c r="E70" s="1569"/>
      <c r="F70" s="1569"/>
      <c r="G70" s="1569"/>
      <c r="H70" s="1569"/>
      <c r="I70" s="1569"/>
      <c r="J70" s="908"/>
      <c r="K70" s="908"/>
      <c r="L70" s="908"/>
    </row>
    <row r="71" spans="1:12" ht="15">
      <c r="A71" s="886"/>
      <c r="B71" s="886"/>
      <c r="C71" s="886"/>
      <c r="D71" s="886"/>
      <c r="E71" s="886"/>
      <c r="F71" s="886"/>
      <c r="G71" s="886"/>
      <c r="H71" s="886"/>
      <c r="I71" s="886"/>
      <c r="J71" s="886"/>
      <c r="K71" s="886"/>
      <c r="L71" s="886"/>
    </row>
    <row r="72" spans="1:12" ht="15">
      <c r="A72" s="886" t="s">
        <v>1437</v>
      </c>
      <c r="B72" s="886"/>
      <c r="C72" s="886"/>
      <c r="D72" s="1570">
        <f>D65</f>
        <v>0</v>
      </c>
      <c r="E72" s="1570"/>
      <c r="F72" s="886"/>
      <c r="G72" s="886"/>
      <c r="H72" s="886"/>
      <c r="I72" s="886"/>
      <c r="J72" s="886"/>
      <c r="K72" s="886"/>
      <c r="L72" s="886"/>
    </row>
    <row r="73" spans="1:12" ht="15">
      <c r="A73" s="886" t="s">
        <v>1438</v>
      </c>
      <c r="B73" s="886"/>
      <c r="C73" s="886"/>
      <c r="D73" s="886"/>
      <c r="E73" s="886"/>
      <c r="F73" s="886"/>
      <c r="G73" s="886"/>
      <c r="H73" s="886"/>
      <c r="I73" s="886"/>
      <c r="J73" s="886"/>
      <c r="K73" s="886"/>
      <c r="L73" s="886"/>
    </row>
    <row r="74" spans="1:12" ht="15">
      <c r="A74" s="886" t="s">
        <v>1439</v>
      </c>
      <c r="B74" s="886"/>
      <c r="C74" s="886"/>
      <c r="D74" s="1571">
        <v>0</v>
      </c>
      <c r="E74" s="1571"/>
      <c r="F74" s="886"/>
      <c r="G74" s="886"/>
      <c r="H74" s="886"/>
      <c r="I74" s="886"/>
      <c r="J74" s="886"/>
      <c r="K74" s="886"/>
      <c r="L74" s="886"/>
    </row>
    <row r="75" spans="1:12" ht="15">
      <c r="A75" s="886" t="s">
        <v>1440</v>
      </c>
      <c r="B75" s="886"/>
      <c r="C75" s="886"/>
      <c r="D75" s="890"/>
      <c r="E75" s="890"/>
      <c r="F75" s="886"/>
      <c r="G75" s="886"/>
      <c r="H75" s="886"/>
      <c r="I75" s="886"/>
      <c r="J75" s="886"/>
      <c r="K75" s="886"/>
      <c r="L75" s="886"/>
    </row>
    <row r="76" spans="1:12" ht="15">
      <c r="A76" s="886" t="s">
        <v>1441</v>
      </c>
      <c r="B76" s="886"/>
      <c r="C76" s="886"/>
      <c r="D76" s="1571">
        <f>'FORM-10 (A-F)'!F144</f>
        <v>0</v>
      </c>
      <c r="E76" s="1571"/>
      <c r="F76" s="886"/>
      <c r="G76" s="886"/>
      <c r="H76" s="886"/>
      <c r="I76" s="886"/>
      <c r="J76" s="886"/>
      <c r="K76" s="886"/>
      <c r="L76" s="886"/>
    </row>
    <row r="77" spans="1:12" ht="15">
      <c r="A77" s="886" t="s">
        <v>1442</v>
      </c>
      <c r="B77" s="886"/>
      <c r="C77" s="886"/>
      <c r="D77" s="1571">
        <f>'FORM-10 (A-F)'!J179+'FORM-10 (A-F)'!J183+'FORM-10 (A-F)'!J184+'FORM-10 (A-F)'!J185+'FORM-10 (A-F)'!J212</f>
        <v>0</v>
      </c>
      <c r="E77" s="1571"/>
      <c r="F77" s="886"/>
      <c r="G77" s="886"/>
      <c r="H77" s="886"/>
      <c r="I77" s="886"/>
      <c r="J77" s="886"/>
      <c r="K77" s="886"/>
      <c r="L77" s="886"/>
    </row>
    <row r="78" spans="1:12" ht="15">
      <c r="A78" s="886" t="s">
        <v>1443</v>
      </c>
      <c r="B78" s="886"/>
      <c r="C78" s="886"/>
      <c r="D78" s="886"/>
      <c r="E78" s="886"/>
      <c r="F78" s="886"/>
      <c r="G78" s="886"/>
      <c r="H78" s="886"/>
      <c r="I78" s="886"/>
      <c r="J78" s="886"/>
      <c r="K78" s="886"/>
      <c r="L78" s="886"/>
    </row>
    <row r="79" spans="1:12" ht="15">
      <c r="A79" s="886" t="s">
        <v>1444</v>
      </c>
      <c r="B79" s="886"/>
      <c r="C79" s="886"/>
      <c r="D79" s="1571">
        <f>'FORM-10 (A-F)'!H168+'FORM-10 (A-F)'!H169+'FORM-10 (A-F)'!H170+'FORM-10 (A-F)'!H173+'FORM-10 (A-F)'!J211</f>
        <v>0</v>
      </c>
      <c r="E79" s="1571"/>
      <c r="F79" s="886"/>
      <c r="G79" s="886"/>
      <c r="H79" s="886"/>
      <c r="I79" s="886"/>
      <c r="J79" s="886"/>
      <c r="K79" s="886"/>
      <c r="L79" s="886"/>
    </row>
    <row r="80" spans="1:12" ht="15">
      <c r="A80" s="886" t="s">
        <v>976</v>
      </c>
      <c r="B80" s="886"/>
      <c r="C80" s="886"/>
      <c r="D80" s="1570">
        <f>SUM(D74:D79)</f>
        <v>0</v>
      </c>
      <c r="E80" s="1570"/>
      <c r="F80" s="886"/>
      <c r="G80" s="886"/>
      <c r="H80" s="886"/>
      <c r="I80" s="886"/>
      <c r="J80" s="886"/>
      <c r="K80" s="886"/>
      <c r="L80" s="886"/>
    </row>
    <row r="81" spans="1:12" ht="15">
      <c r="A81" s="886"/>
      <c r="B81" s="886"/>
      <c r="C81" s="886"/>
      <c r="D81" s="888"/>
      <c r="E81" s="888"/>
      <c r="F81" s="886"/>
      <c r="G81" s="886"/>
      <c r="H81" s="886"/>
      <c r="I81" s="886"/>
      <c r="J81" s="886"/>
      <c r="K81" s="886"/>
      <c r="L81" s="886"/>
    </row>
    <row r="82" spans="1:12" ht="15">
      <c r="A82" s="886" t="s">
        <v>1445</v>
      </c>
      <c r="B82" s="886"/>
      <c r="C82" s="886"/>
      <c r="D82" s="1570">
        <f>D72-D80</f>
        <v>0</v>
      </c>
      <c r="E82" s="1570"/>
      <c r="F82" s="886"/>
      <c r="G82" s="886"/>
      <c r="H82" s="886"/>
      <c r="I82" s="886"/>
      <c r="J82" s="886"/>
      <c r="K82" s="886"/>
      <c r="L82" s="886"/>
    </row>
    <row r="83" spans="1:12" ht="15">
      <c r="A83" s="886"/>
      <c r="B83" s="886"/>
      <c r="C83" s="886"/>
      <c r="D83" s="886"/>
      <c r="E83" s="888"/>
      <c r="F83" s="888"/>
      <c r="G83" s="886"/>
      <c r="H83" s="886"/>
      <c r="I83" s="886"/>
      <c r="J83" s="886"/>
      <c r="K83" s="886"/>
      <c r="L83" s="886"/>
    </row>
    <row r="84" spans="1:12" ht="15">
      <c r="A84" s="886" t="s">
        <v>1432</v>
      </c>
      <c r="B84" s="886"/>
      <c r="C84" s="886"/>
      <c r="D84" s="886"/>
      <c r="E84" s="1564">
        <f>IF(D57&gt;0,D82/D57,0)</f>
        <v>0</v>
      </c>
      <c r="F84" s="1564"/>
      <c r="G84" s="886"/>
      <c r="H84" s="886"/>
      <c r="I84" s="886"/>
      <c r="J84" s="886"/>
      <c r="K84" s="886"/>
      <c r="L84" s="886"/>
    </row>
    <row r="85" spans="1:12" ht="15">
      <c r="A85" s="886" t="s">
        <v>1435</v>
      </c>
      <c r="B85" s="886"/>
      <c r="C85" s="886"/>
      <c r="D85" s="886"/>
      <c r="E85" s="1564">
        <f>IF(H62&gt;0,D82/H62,0)</f>
        <v>0</v>
      </c>
      <c r="F85" s="1564"/>
      <c r="G85" s="886"/>
      <c r="H85" s="886"/>
      <c r="I85" s="886"/>
      <c r="J85" s="886"/>
      <c r="K85" s="886"/>
      <c r="L85" s="886"/>
    </row>
    <row r="86" spans="1:12" ht="15">
      <c r="A86" s="886"/>
      <c r="B86" s="886"/>
      <c r="C86" s="886"/>
      <c r="D86" s="886"/>
      <c r="E86" s="886"/>
      <c r="F86" s="886"/>
      <c r="G86" s="886"/>
      <c r="H86" s="886"/>
      <c r="I86" s="886"/>
      <c r="J86" s="886"/>
      <c r="K86" s="886"/>
      <c r="L86" s="886"/>
    </row>
    <row r="87" spans="1:12" ht="15">
      <c r="A87" s="891" t="s">
        <v>1446</v>
      </c>
      <c r="B87" s="891"/>
      <c r="C87" s="891"/>
      <c r="D87" s="891"/>
      <c r="E87" s="886"/>
      <c r="F87" s="886"/>
      <c r="G87" s="886"/>
      <c r="H87" s="886"/>
      <c r="I87" s="886"/>
      <c r="J87" s="886"/>
      <c r="K87" s="886"/>
      <c r="L87" s="886"/>
    </row>
    <row r="88" spans="1:12" ht="15">
      <c r="A88" s="886" t="s">
        <v>1422</v>
      </c>
      <c r="B88" s="886"/>
      <c r="C88" s="886"/>
      <c r="D88" s="886"/>
      <c r="E88" s="1570">
        <f>'RFA Sheet'!H4</f>
        <v>0</v>
      </c>
      <c r="F88" s="1570"/>
      <c r="G88" s="886"/>
      <c r="H88" s="1570">
        <f>'RFA Sheet'!H23</f>
        <v>0</v>
      </c>
      <c r="I88" s="1570"/>
      <c r="J88" s="886" t="s">
        <v>1447</v>
      </c>
      <c r="K88" s="886"/>
      <c r="L88" s="886"/>
    </row>
    <row r="89" spans="1:12" ht="15">
      <c r="A89" s="886" t="s">
        <v>1438</v>
      </c>
      <c r="B89" s="886"/>
      <c r="C89" s="886"/>
      <c r="D89" s="886"/>
      <c r="E89" s="886"/>
      <c r="F89" s="886"/>
      <c r="G89" s="886"/>
      <c r="H89" s="886"/>
      <c r="I89" s="886"/>
      <c r="J89" s="886"/>
      <c r="K89" s="886"/>
      <c r="L89" s="886"/>
    </row>
    <row r="90" spans="1:12" ht="15">
      <c r="A90" s="886" t="s">
        <v>1448</v>
      </c>
      <c r="B90" s="886"/>
      <c r="C90" s="886"/>
      <c r="D90" s="886"/>
      <c r="E90" s="886"/>
      <c r="F90" s="886"/>
      <c r="G90" s="886"/>
      <c r="H90" s="886"/>
      <c r="I90" s="886"/>
      <c r="J90" s="886"/>
      <c r="K90" s="886"/>
      <c r="L90" s="886"/>
    </row>
    <row r="91" spans="1:12" ht="15">
      <c r="A91" s="886" t="s">
        <v>1449</v>
      </c>
      <c r="B91" s="886"/>
      <c r="C91" s="886"/>
      <c r="D91" s="886"/>
      <c r="E91" s="1570">
        <f>D80</f>
        <v>0</v>
      </c>
      <c r="F91" s="1570"/>
      <c r="G91" s="886"/>
      <c r="H91" s="1570">
        <f>IF('RFA Sheet'!C6&gt;0,E91/'RFA Sheet'!C6,0)</f>
        <v>0</v>
      </c>
      <c r="I91" s="1570"/>
      <c r="J91" s="886" t="s">
        <v>1447</v>
      </c>
      <c r="K91" s="886"/>
      <c r="L91" s="886"/>
    </row>
    <row r="92" spans="1:12" ht="15">
      <c r="A92" s="886" t="s">
        <v>1450</v>
      </c>
      <c r="B92" s="886"/>
      <c r="C92" s="886"/>
      <c r="D92" s="886"/>
      <c r="E92" s="886"/>
      <c r="F92" s="886"/>
      <c r="G92" s="886"/>
      <c r="H92" s="886"/>
      <c r="I92" s="886"/>
      <c r="J92" s="886"/>
      <c r="K92" s="886"/>
      <c r="L92" s="886"/>
    </row>
    <row r="93" spans="1:12" ht="15">
      <c r="A93" s="886"/>
      <c r="B93" s="886" t="s">
        <v>1451</v>
      </c>
      <c r="C93" s="886"/>
      <c r="D93" s="886"/>
      <c r="E93" s="1571"/>
      <c r="F93" s="1571"/>
      <c r="G93" s="886"/>
      <c r="H93" s="1570">
        <f>IF('RFA Sheet'!C6&gt;0,E93/'RFA Sheet'!C6,0)</f>
        <v>0</v>
      </c>
      <c r="I93" s="1570"/>
      <c r="J93" s="886" t="s">
        <v>1447</v>
      </c>
      <c r="K93" s="886"/>
      <c r="L93" s="886"/>
    </row>
    <row r="94" spans="1:12" ht="15">
      <c r="A94" s="886"/>
      <c r="B94" s="886"/>
      <c r="C94" s="886"/>
      <c r="D94" s="886"/>
      <c r="E94" s="886"/>
      <c r="F94" s="886"/>
      <c r="G94" s="886"/>
      <c r="H94" s="886"/>
      <c r="I94" s="886"/>
      <c r="J94" s="886"/>
      <c r="K94" s="886"/>
      <c r="L94" s="886"/>
    </row>
    <row r="95" spans="1:12" ht="15">
      <c r="A95" s="891" t="s">
        <v>1452</v>
      </c>
      <c r="B95" s="891"/>
      <c r="C95" s="891"/>
      <c r="D95" s="891"/>
      <c r="E95" s="1570">
        <f>E88-SUM(E91+E93)</f>
        <v>0</v>
      </c>
      <c r="F95" s="1570"/>
      <c r="G95" s="886"/>
      <c r="H95" s="1570">
        <f>IF('RFA Sheet'!C6&gt;0,E95/'RFA Sheet'!C6,0)</f>
        <v>0</v>
      </c>
      <c r="I95" s="1570"/>
      <c r="J95" s="886" t="s">
        <v>1447</v>
      </c>
      <c r="K95" s="886"/>
      <c r="L95" s="886"/>
    </row>
    <row r="96" spans="1:12" ht="15">
      <c r="A96" s="886"/>
      <c r="B96" s="886"/>
      <c r="C96" s="886"/>
      <c r="D96" s="886"/>
      <c r="E96" s="886"/>
      <c r="F96" s="886"/>
      <c r="G96" s="886"/>
      <c r="H96" s="886"/>
      <c r="I96" s="886"/>
      <c r="J96" s="886"/>
      <c r="K96" s="886"/>
      <c r="L96" s="886"/>
    </row>
    <row r="97" ht="15">
      <c r="A97" s="922" t="s">
        <v>1494</v>
      </c>
    </row>
    <row r="98" ht="15">
      <c r="A98" s="923" t="s">
        <v>1495</v>
      </c>
    </row>
    <row r="99" ht="15">
      <c r="A99" s="923" t="s">
        <v>1496</v>
      </c>
    </row>
    <row r="100" ht="15">
      <c r="A100" s="923" t="s">
        <v>1497</v>
      </c>
    </row>
    <row r="101" spans="1:8" ht="15">
      <c r="A101" s="884" t="s">
        <v>1498</v>
      </c>
      <c r="B101" s="924"/>
      <c r="C101" s="924"/>
      <c r="D101" s="924"/>
      <c r="E101" s="924"/>
      <c r="F101" s="924"/>
      <c r="G101" s="924"/>
      <c r="H101" s="924"/>
    </row>
    <row r="102" spans="1:8" ht="15">
      <c r="A102" s="886" t="s">
        <v>1499</v>
      </c>
      <c r="B102" s="886"/>
      <c r="C102" s="886"/>
      <c r="D102" s="886"/>
      <c r="E102" s="924"/>
      <c r="F102" s="886" t="s">
        <v>1500</v>
      </c>
      <c r="G102" s="886"/>
      <c r="H102" s="924"/>
    </row>
    <row r="103" spans="1:8" ht="15">
      <c r="A103" s="886" t="s">
        <v>1501</v>
      </c>
      <c r="B103" s="886"/>
      <c r="C103" s="886"/>
      <c r="D103" s="886"/>
      <c r="E103" s="924"/>
      <c r="F103" s="886" t="s">
        <v>1502</v>
      </c>
      <c r="G103" s="886"/>
      <c r="H103" s="924"/>
    </row>
    <row r="104" spans="1:8" ht="15">
      <c r="A104" s="886" t="s">
        <v>1503</v>
      </c>
      <c r="B104" s="886"/>
      <c r="C104" s="886"/>
      <c r="D104" s="886"/>
      <c r="E104" s="924"/>
      <c r="F104" s="886" t="s">
        <v>1504</v>
      </c>
      <c r="G104" s="886"/>
      <c r="H104" s="924"/>
    </row>
    <row r="105" spans="1:8" ht="15">
      <c r="A105" s="886" t="s">
        <v>1505</v>
      </c>
      <c r="B105" s="924"/>
      <c r="C105" s="886"/>
      <c r="D105" s="886"/>
      <c r="E105" s="924"/>
      <c r="F105" s="924"/>
      <c r="G105" s="924"/>
      <c r="H105" s="924"/>
    </row>
    <row r="106" spans="1:8" ht="15">
      <c r="A106" s="886" t="s">
        <v>1506</v>
      </c>
      <c r="B106" s="924"/>
      <c r="C106" s="886"/>
      <c r="D106" s="886"/>
      <c r="E106" s="924"/>
      <c r="F106" s="924"/>
      <c r="G106" s="924"/>
      <c r="H106" s="924"/>
    </row>
    <row r="107" spans="1:8" ht="15">
      <c r="A107" s="886" t="s">
        <v>1507</v>
      </c>
      <c r="B107" s="886"/>
      <c r="C107" s="886"/>
      <c r="D107" s="886"/>
      <c r="E107" s="924"/>
      <c r="F107" s="924"/>
      <c r="G107" s="924"/>
      <c r="H107" s="924"/>
    </row>
  </sheetData>
  <sheetProtection/>
  <mergeCells count="39">
    <mergeCell ref="E67:F67"/>
    <mergeCell ref="E91:F91"/>
    <mergeCell ref="H91:I91"/>
    <mergeCell ref="D79:E79"/>
    <mergeCell ref="D80:E80"/>
    <mergeCell ref="H93:I93"/>
    <mergeCell ref="D82:E82"/>
    <mergeCell ref="E84:F84"/>
    <mergeCell ref="E93:F93"/>
    <mergeCell ref="I59:J59"/>
    <mergeCell ref="E95:F95"/>
    <mergeCell ref="H95:I95"/>
    <mergeCell ref="E85:F85"/>
    <mergeCell ref="E88:F88"/>
    <mergeCell ref="H88:I88"/>
    <mergeCell ref="H62:I62"/>
    <mergeCell ref="E63:F63"/>
    <mergeCell ref="D65:E65"/>
    <mergeCell ref="E66:F66"/>
    <mergeCell ref="E24:F24"/>
    <mergeCell ref="D72:E72"/>
    <mergeCell ref="D74:E74"/>
    <mergeCell ref="D76:E76"/>
    <mergeCell ref="D77:E77"/>
    <mergeCell ref="D15:I15"/>
    <mergeCell ref="C17:H17"/>
    <mergeCell ref="B19:C19"/>
    <mergeCell ref="G24:H24"/>
    <mergeCell ref="C59:D59"/>
    <mergeCell ref="E60:F60"/>
    <mergeCell ref="C11:D11"/>
    <mergeCell ref="C26:E26"/>
    <mergeCell ref="D57:E57"/>
    <mergeCell ref="A41:L41"/>
    <mergeCell ref="A69:I70"/>
    <mergeCell ref="D21:F21"/>
    <mergeCell ref="H23:I23"/>
    <mergeCell ref="A24:B24"/>
    <mergeCell ref="C24:D24"/>
  </mergeCells>
  <printOptions/>
  <pageMargins left="0.7" right="0.7" top="0.75" bottom="0.75" header="0.3" footer="0.3"/>
  <pageSetup horizontalDpi="600" verticalDpi="600" orientation="portrait" scale="82" r:id="rId1"/>
  <colBreaks count="1" manualBreakCount="1">
    <brk id="10" max="65535" man="1"/>
  </colBreaks>
  <ignoredErrors>
    <ignoredError sqref="C5" unlockedFormula="1"/>
  </ignoredErrors>
</worksheet>
</file>

<file path=xl/worksheets/sheet8.xml><?xml version="1.0" encoding="utf-8"?>
<worksheet xmlns="http://schemas.openxmlformats.org/spreadsheetml/2006/main" xmlns:r="http://schemas.openxmlformats.org/officeDocument/2006/relationships">
  <sheetPr codeName="Sheet16"/>
  <dimension ref="A1:J99"/>
  <sheetViews>
    <sheetView workbookViewId="0" topLeftCell="A1">
      <selection activeCell="M79" sqref="M79"/>
    </sheetView>
  </sheetViews>
  <sheetFormatPr defaultColWidth="8.88671875" defaultRowHeight="15"/>
  <cols>
    <col min="1" max="1" width="10.77734375" style="478" customWidth="1"/>
    <col min="2" max="2" width="2.21484375" style="478" customWidth="1"/>
    <col min="3" max="4" width="8.88671875" style="478" customWidth="1"/>
    <col min="5" max="5" width="8.4453125" style="478" customWidth="1"/>
    <col min="6" max="6" width="8.88671875" style="478" customWidth="1"/>
    <col min="7" max="7" width="7.6640625" style="478" customWidth="1"/>
    <col min="8" max="8" width="11.88671875" style="478" customWidth="1"/>
    <col min="9" max="9" width="12.3359375" style="478" customWidth="1"/>
    <col min="10" max="10" width="9.4453125" style="478" customWidth="1"/>
    <col min="11" max="16384" width="8.88671875" style="478" customWidth="1"/>
  </cols>
  <sheetData>
    <row r="1" spans="1:10" ht="15.75" customHeight="1">
      <c r="A1" s="649" t="s">
        <v>43</v>
      </c>
      <c r="B1" s="650"/>
      <c r="C1" s="650"/>
      <c r="D1" s="650"/>
      <c r="E1" s="651"/>
      <c r="F1" s="776" t="s">
        <v>14</v>
      </c>
      <c r="G1" s="779"/>
      <c r="H1" s="652"/>
      <c r="I1" s="653"/>
      <c r="J1" s="654"/>
    </row>
    <row r="2" spans="1:10" ht="12.75" customHeight="1">
      <c r="A2" s="503"/>
      <c r="B2" s="505"/>
      <c r="C2" s="505"/>
      <c r="D2" s="505"/>
      <c r="E2" s="505"/>
      <c r="F2" s="505"/>
      <c r="G2" s="505"/>
      <c r="H2" s="610"/>
      <c r="I2" s="610"/>
      <c r="J2" s="611"/>
    </row>
    <row r="3" spans="1:10" ht="12.75" customHeight="1">
      <c r="A3" s="503"/>
      <c r="B3" s="612" t="s">
        <v>918</v>
      </c>
      <c r="C3" s="687">
        <f>'FORM-10 (A-F)'!DEV_NAME</f>
        <v>0</v>
      </c>
      <c r="D3" s="613"/>
      <c r="E3" s="613"/>
      <c r="F3" s="614"/>
      <c r="G3" s="505"/>
      <c r="H3" s="612" t="s">
        <v>44</v>
      </c>
      <c r="I3" s="687">
        <f>'FORM-10 (A-F)'!HMFA</f>
        <v>0</v>
      </c>
      <c r="J3" s="655"/>
    </row>
    <row r="4" spans="1:10" ht="12.75" customHeight="1">
      <c r="A4" s="503"/>
      <c r="B4" s="676" t="s">
        <v>45</v>
      </c>
      <c r="C4" s="686">
        <f>'FORM-10 (A-F)'!SPONSOR</f>
        <v>0</v>
      </c>
      <c r="D4" s="615"/>
      <c r="E4" s="615"/>
      <c r="F4" s="615"/>
      <c r="G4" s="505"/>
      <c r="H4" s="612" t="s">
        <v>46</v>
      </c>
      <c r="I4" s="771">
        <f>'FORM-10 (A-F)'!G8</f>
        <v>0</v>
      </c>
      <c r="J4" s="770"/>
    </row>
    <row r="5" spans="1:10" ht="12.75" customHeight="1">
      <c r="A5" s="656"/>
      <c r="B5" s="705" t="s">
        <v>47</v>
      </c>
      <c r="C5" s="716"/>
      <c r="D5" s="716"/>
      <c r="E5" s="716"/>
      <c r="F5" s="717"/>
      <c r="G5" s="505"/>
      <c r="H5" s="612" t="s">
        <v>48</v>
      </c>
      <c r="I5" s="772">
        <f>'FORM-10 (A-F)'!PREPARER</f>
        <v>0</v>
      </c>
      <c r="J5" s="770"/>
    </row>
    <row r="6" spans="1:10" ht="12.75" customHeight="1">
      <c r="A6" s="656"/>
      <c r="B6" s="505"/>
      <c r="C6" s="691" t="s">
        <v>376</v>
      </c>
      <c r="D6" s="690"/>
      <c r="E6" s="690"/>
      <c r="F6" s="505"/>
      <c r="G6" s="505"/>
      <c r="H6" s="505"/>
      <c r="I6" s="505"/>
      <c r="J6" s="507"/>
    </row>
    <row r="7" spans="1:10" ht="12.75" customHeight="1">
      <c r="A7" s="506" t="s">
        <v>49</v>
      </c>
      <c r="B7" s="505"/>
      <c r="C7" s="505"/>
      <c r="D7" s="505"/>
      <c r="E7" s="505"/>
      <c r="F7" s="505"/>
      <c r="G7" s="505"/>
      <c r="H7" s="808" t="s">
        <v>976</v>
      </c>
      <c r="I7" s="780" t="s">
        <v>963</v>
      </c>
      <c r="J7" s="692" t="s">
        <v>380</v>
      </c>
    </row>
    <row r="8" spans="1:10" ht="12.75" customHeight="1">
      <c r="A8" s="657" t="s">
        <v>50</v>
      </c>
      <c r="B8" s="505"/>
      <c r="C8" s="505"/>
      <c r="D8" s="505"/>
      <c r="E8" s="505"/>
      <c r="F8" s="505"/>
      <c r="G8" s="505"/>
      <c r="H8" s="808" t="s">
        <v>379</v>
      </c>
      <c r="I8" s="809" t="s">
        <v>964</v>
      </c>
      <c r="J8" s="692" t="s">
        <v>381</v>
      </c>
    </row>
    <row r="9" spans="1:10" ht="12.75" customHeight="1">
      <c r="A9" s="658"/>
      <c r="B9" s="612" t="s">
        <v>51</v>
      </c>
      <c r="C9" s="810" t="s">
        <v>377</v>
      </c>
      <c r="D9" s="718"/>
      <c r="E9" s="718"/>
      <c r="F9" s="916"/>
      <c r="G9" s="719" t="s">
        <v>378</v>
      </c>
      <c r="H9" s="821"/>
      <c r="I9" s="823"/>
      <c r="J9" s="822"/>
    </row>
    <row r="10" spans="1:10" ht="12.75" customHeight="1">
      <c r="A10" s="658"/>
      <c r="B10" s="612" t="s">
        <v>51</v>
      </c>
      <c r="C10" s="688"/>
      <c r="D10" s="688"/>
      <c r="E10" s="688"/>
      <c r="F10" s="688"/>
      <c r="G10" s="915"/>
      <c r="H10" s="824"/>
      <c r="I10" s="693"/>
      <c r="J10" s="782"/>
    </row>
    <row r="11" spans="1:10" ht="12.75" customHeight="1">
      <c r="A11" s="658"/>
      <c r="B11" s="612" t="s">
        <v>51</v>
      </c>
      <c r="C11" s="688"/>
      <c r="D11" s="688"/>
      <c r="E11" s="688"/>
      <c r="F11" s="688"/>
      <c r="G11" s="688"/>
      <c r="H11" s="824"/>
      <c r="I11" s="693"/>
      <c r="J11" s="782"/>
    </row>
    <row r="12" spans="1:10" ht="12.75" customHeight="1">
      <c r="A12" s="658"/>
      <c r="B12" s="612" t="s">
        <v>51</v>
      </c>
      <c r="C12" s="688"/>
      <c r="D12" s="688"/>
      <c r="E12" s="688"/>
      <c r="F12" s="688"/>
      <c r="G12" s="688"/>
      <c r="H12" s="824"/>
      <c r="I12" s="693"/>
      <c r="J12" s="782"/>
    </row>
    <row r="13" spans="1:10" ht="12.75" customHeight="1">
      <c r="A13" s="658"/>
      <c r="B13" s="612" t="s">
        <v>51</v>
      </c>
      <c r="C13" s="720" t="s">
        <v>53</v>
      </c>
      <c r="D13" s="721"/>
      <c r="E13" s="722" t="s">
        <v>382</v>
      </c>
      <c r="F13" s="688" t="s">
        <v>383</v>
      </c>
      <c r="G13" s="721"/>
      <c r="H13" s="824"/>
      <c r="I13" s="723"/>
      <c r="J13" s="782"/>
    </row>
    <row r="14" spans="1:10" ht="12.75" customHeight="1">
      <c r="A14" s="658"/>
      <c r="B14" s="612"/>
      <c r="C14" s="800"/>
      <c r="D14" s="801"/>
      <c r="E14" s="802"/>
      <c r="F14" s="802"/>
      <c r="G14" s="612" t="s">
        <v>384</v>
      </c>
      <c r="H14" s="803">
        <f>SUM(H9:H12)</f>
        <v>0</v>
      </c>
      <c r="I14" s="799"/>
      <c r="J14" s="782"/>
    </row>
    <row r="15" spans="1:10" ht="12.75" customHeight="1">
      <c r="A15" s="658"/>
      <c r="B15" s="617"/>
      <c r="C15" s="618"/>
      <c r="D15" s="505"/>
      <c r="E15" s="505"/>
      <c r="F15" s="505"/>
      <c r="G15" s="504"/>
      <c r="H15" s="612" t="s">
        <v>1203</v>
      </c>
      <c r="I15" s="619">
        <f>SUM(I9:I13)</f>
        <v>0</v>
      </c>
      <c r="J15" s="619">
        <f>SUM(J8:J13)</f>
        <v>0</v>
      </c>
    </row>
    <row r="16" spans="1:10" ht="12.75" customHeight="1">
      <c r="A16" s="658"/>
      <c r="B16" s="612" t="s">
        <v>52</v>
      </c>
      <c r="C16" s="505"/>
      <c r="D16" s="505"/>
      <c r="E16" s="505"/>
      <c r="G16" s="784" t="s">
        <v>55</v>
      </c>
      <c r="H16" s="804">
        <f>IF(H14&lt;I67,(I70-H14),0)</f>
        <v>0</v>
      </c>
      <c r="I16" s="723"/>
      <c r="J16" s="723"/>
    </row>
    <row r="17" spans="1:10" ht="12.75" customHeight="1">
      <c r="A17" s="508"/>
      <c r="B17" s="617"/>
      <c r="C17" s="505"/>
      <c r="D17" s="505"/>
      <c r="E17" s="505"/>
      <c r="F17" s="505"/>
      <c r="G17" s="612" t="s">
        <v>1202</v>
      </c>
      <c r="H17" s="807">
        <f>SUM(H14+H16)</f>
        <v>0</v>
      </c>
      <c r="I17" s="806"/>
      <c r="J17" s="805"/>
    </row>
    <row r="18" spans="1:10" ht="12.75" customHeight="1">
      <c r="A18" s="658"/>
      <c r="B18" s="505"/>
      <c r="C18" s="505"/>
      <c r="D18" s="621"/>
      <c r="E18" s="505"/>
      <c r="F18" s="683"/>
      <c r="G18" s="505"/>
      <c r="H18" s="505"/>
      <c r="I18" s="620"/>
      <c r="J18" s="507"/>
    </row>
    <row r="19" spans="1:10" ht="12.75" customHeight="1">
      <c r="A19" s="658"/>
      <c r="B19" s="505"/>
      <c r="C19" s="505"/>
      <c r="D19" s="621"/>
      <c r="E19" s="505"/>
      <c r="F19" s="683"/>
      <c r="G19" s="505"/>
      <c r="H19" s="622" t="s">
        <v>385</v>
      </c>
      <c r="I19" s="623">
        <f>H17+J15</f>
        <v>0</v>
      </c>
      <c r="J19" s="507"/>
    </row>
    <row r="20" spans="1:10" ht="12.75" customHeight="1">
      <c r="A20" s="694"/>
      <c r="B20" s="695"/>
      <c r="C20" s="696"/>
      <c r="D20" s="696"/>
      <c r="E20" s="696"/>
      <c r="F20" s="695"/>
      <c r="G20" s="695"/>
      <c r="H20" s="696"/>
      <c r="I20" s="696"/>
      <c r="J20" s="697"/>
    </row>
    <row r="21" spans="1:10" ht="12.75" customHeight="1">
      <c r="A21" s="506" t="s">
        <v>54</v>
      </c>
      <c r="B21" s="624"/>
      <c r="C21" s="625"/>
      <c r="D21" s="626"/>
      <c r="E21" s="505"/>
      <c r="F21" s="505"/>
      <c r="G21" s="505"/>
      <c r="H21" s="505"/>
      <c r="I21" s="780" t="s">
        <v>626</v>
      </c>
      <c r="J21" s="507"/>
    </row>
    <row r="22" spans="1:10" ht="12.75" customHeight="1">
      <c r="A22" s="682" t="s">
        <v>59</v>
      </c>
      <c r="B22" s="505"/>
      <c r="C22" s="609" t="s">
        <v>60</v>
      </c>
      <c r="D22" s="628"/>
      <c r="E22" s="626"/>
      <c r="F22" s="609" t="s">
        <v>61</v>
      </c>
      <c r="G22" s="626"/>
      <c r="H22" s="626"/>
      <c r="I22" s="781" t="s">
        <v>627</v>
      </c>
      <c r="J22" s="659" t="s">
        <v>62</v>
      </c>
    </row>
    <row r="23" spans="1:10" ht="12.75" customHeight="1">
      <c r="A23" s="724"/>
      <c r="B23" s="725"/>
      <c r="C23" s="718"/>
      <c r="D23" s="718"/>
      <c r="E23" s="726"/>
      <c r="F23" s="731" t="s">
        <v>386</v>
      </c>
      <c r="G23" s="727"/>
      <c r="H23" s="728"/>
      <c r="I23" s="825"/>
      <c r="J23" s="734"/>
    </row>
    <row r="24" spans="1:10" ht="12.75" customHeight="1">
      <c r="A24" s="729"/>
      <c r="B24" s="698"/>
      <c r="C24" s="688"/>
      <c r="D24" s="688"/>
      <c r="E24" s="730"/>
      <c r="F24" s="685" t="s">
        <v>387</v>
      </c>
      <c r="G24" s="718"/>
      <c r="H24" s="726"/>
      <c r="I24" s="699"/>
      <c r="J24" s="735"/>
    </row>
    <row r="25" spans="1:10" ht="12.75" customHeight="1">
      <c r="A25" s="729"/>
      <c r="B25" s="698"/>
      <c r="C25" s="688"/>
      <c r="D25" s="688"/>
      <c r="E25" s="730"/>
      <c r="F25" s="685" t="s">
        <v>388</v>
      </c>
      <c r="G25" s="688"/>
      <c r="H25" s="730"/>
      <c r="I25" s="699"/>
      <c r="J25" s="735"/>
    </row>
    <row r="26" spans="1:10" ht="12.75" customHeight="1">
      <c r="A26" s="729"/>
      <c r="B26" s="698"/>
      <c r="C26" s="688"/>
      <c r="D26" s="688"/>
      <c r="E26" s="730"/>
      <c r="F26" s="685"/>
      <c r="G26" s="688"/>
      <c r="H26" s="730"/>
      <c r="I26" s="699"/>
      <c r="J26" s="735"/>
    </row>
    <row r="27" spans="1:10" ht="12.75" customHeight="1">
      <c r="A27" s="729"/>
      <c r="B27" s="698"/>
      <c r="C27" s="688"/>
      <c r="D27" s="688"/>
      <c r="E27" s="730"/>
      <c r="F27" s="685"/>
      <c r="G27" s="688"/>
      <c r="H27" s="730"/>
      <c r="I27" s="699"/>
      <c r="J27" s="735"/>
    </row>
    <row r="28" spans="1:10" ht="12.75" customHeight="1">
      <c r="A28" s="729"/>
      <c r="B28" s="698"/>
      <c r="C28" s="688"/>
      <c r="D28" s="688"/>
      <c r="E28" s="730"/>
      <c r="F28" s="685"/>
      <c r="G28" s="688"/>
      <c r="H28" s="730"/>
      <c r="I28" s="699"/>
      <c r="J28" s="735"/>
    </row>
    <row r="29" spans="1:10" ht="12.75" customHeight="1">
      <c r="A29" s="729"/>
      <c r="B29" s="698"/>
      <c r="C29" s="688"/>
      <c r="D29" s="688"/>
      <c r="E29" s="730"/>
      <c r="F29" s="685"/>
      <c r="G29" s="688"/>
      <c r="H29" s="730"/>
      <c r="I29" s="699"/>
      <c r="J29" s="735"/>
    </row>
    <row r="30" spans="1:10" ht="12.75" customHeight="1">
      <c r="A30" s="729"/>
      <c r="B30" s="698"/>
      <c r="C30" s="688"/>
      <c r="D30" s="688"/>
      <c r="E30" s="730"/>
      <c r="F30" s="685"/>
      <c r="G30" s="688"/>
      <c r="H30" s="730"/>
      <c r="I30" s="699"/>
      <c r="J30" s="735"/>
    </row>
    <row r="31" spans="1:10" ht="12.75" customHeight="1">
      <c r="A31" s="729"/>
      <c r="B31" s="698"/>
      <c r="C31" s="688"/>
      <c r="D31" s="688"/>
      <c r="E31" s="730"/>
      <c r="F31" s="685"/>
      <c r="G31" s="688"/>
      <c r="H31" s="730"/>
      <c r="I31" s="699"/>
      <c r="J31" s="735"/>
    </row>
    <row r="32" spans="1:10" ht="12.75" customHeight="1">
      <c r="A32" s="729"/>
      <c r="B32" s="698"/>
      <c r="C32" s="688"/>
      <c r="D32" s="688"/>
      <c r="E32" s="730"/>
      <c r="F32" s="685"/>
      <c r="G32" s="688"/>
      <c r="H32" s="730"/>
      <c r="I32" s="699"/>
      <c r="J32" s="735"/>
    </row>
    <row r="33" spans="1:10" ht="12.75" customHeight="1">
      <c r="A33" s="729"/>
      <c r="B33" s="698"/>
      <c r="C33" s="688"/>
      <c r="D33" s="688"/>
      <c r="E33" s="730"/>
      <c r="F33" s="685"/>
      <c r="G33" s="688"/>
      <c r="H33" s="730"/>
      <c r="I33" s="699"/>
      <c r="J33" s="735"/>
    </row>
    <row r="34" spans="1:10" ht="12.75" customHeight="1">
      <c r="A34" s="729"/>
      <c r="B34" s="698"/>
      <c r="C34" s="688"/>
      <c r="D34" s="688"/>
      <c r="E34" s="730"/>
      <c r="F34" s="685"/>
      <c r="G34" s="688"/>
      <c r="H34" s="730"/>
      <c r="I34" s="699"/>
      <c r="J34" s="735"/>
    </row>
    <row r="35" spans="1:10" ht="12.75" customHeight="1">
      <c r="A35" s="729"/>
      <c r="B35" s="698"/>
      <c r="C35" s="688"/>
      <c r="D35" s="688"/>
      <c r="E35" s="730"/>
      <c r="F35" s="685"/>
      <c r="G35" s="688"/>
      <c r="H35" s="730"/>
      <c r="I35" s="699"/>
      <c r="J35" s="735"/>
    </row>
    <row r="36" spans="1:10" ht="12.75" customHeight="1">
      <c r="A36" s="729"/>
      <c r="B36" s="698"/>
      <c r="C36" s="688"/>
      <c r="D36" s="688"/>
      <c r="E36" s="730"/>
      <c r="F36" s="700"/>
      <c r="G36" s="732"/>
      <c r="H36" s="733"/>
      <c r="I36" s="699"/>
      <c r="J36" s="735"/>
    </row>
    <row r="37" spans="1:10" ht="12.75" customHeight="1">
      <c r="A37" s="660"/>
      <c r="B37" s="630"/>
      <c r="C37" s="631"/>
      <c r="D37" s="505"/>
      <c r="E37" s="505"/>
      <c r="F37" s="632" t="s">
        <v>63</v>
      </c>
      <c r="G37" s="633"/>
      <c r="H37" s="633"/>
      <c r="I37" s="681">
        <f>SUM(I23:I36)</f>
        <v>0</v>
      </c>
      <c r="J37" s="507"/>
    </row>
    <row r="38" spans="1:10" ht="10.5" customHeight="1">
      <c r="A38" s="660"/>
      <c r="B38" s="630"/>
      <c r="C38" s="631"/>
      <c r="D38" s="505"/>
      <c r="E38" s="505"/>
      <c r="F38" s="634"/>
      <c r="G38" s="505"/>
      <c r="H38" s="505"/>
      <c r="I38" s="780" t="s">
        <v>626</v>
      </c>
      <c r="J38" s="507"/>
    </row>
    <row r="39" spans="1:10" ht="13.5" customHeight="1">
      <c r="A39" s="661" t="s">
        <v>64</v>
      </c>
      <c r="B39" s="630"/>
      <c r="C39" s="631"/>
      <c r="D39" s="505"/>
      <c r="E39" s="617"/>
      <c r="F39" s="505"/>
      <c r="G39" s="505"/>
      <c r="H39" s="505"/>
      <c r="I39" s="781" t="s">
        <v>627</v>
      </c>
      <c r="J39" s="659" t="s">
        <v>62</v>
      </c>
    </row>
    <row r="40" spans="1:10" ht="12.75" customHeight="1">
      <c r="A40" s="736"/>
      <c r="B40" s="698"/>
      <c r="C40" s="718" t="s">
        <v>241</v>
      </c>
      <c r="D40" s="718"/>
      <c r="E40" s="737"/>
      <c r="F40" s="718" t="s">
        <v>389</v>
      </c>
      <c r="G40" s="718"/>
      <c r="H40" s="726"/>
      <c r="I40" s="738"/>
      <c r="J40" s="739"/>
    </row>
    <row r="41" spans="1:10" ht="12.75" customHeight="1">
      <c r="A41" s="740"/>
      <c r="B41" s="698"/>
      <c r="C41" s="688" t="s">
        <v>241</v>
      </c>
      <c r="D41" s="688"/>
      <c r="E41" s="741"/>
      <c r="F41" s="688" t="s">
        <v>390</v>
      </c>
      <c r="G41" s="688"/>
      <c r="H41" s="730"/>
      <c r="I41" s="738"/>
      <c r="J41" s="742"/>
    </row>
    <row r="42" spans="1:10" ht="12.75" customHeight="1">
      <c r="A42" s="740"/>
      <c r="B42" s="698"/>
      <c r="C42" s="688" t="s">
        <v>241</v>
      </c>
      <c r="D42" s="688"/>
      <c r="E42" s="741"/>
      <c r="F42" s="743" t="s">
        <v>1156</v>
      </c>
      <c r="G42" s="732"/>
      <c r="H42" s="733"/>
      <c r="I42" s="738"/>
      <c r="J42" s="742"/>
    </row>
    <row r="43" spans="1:10" ht="12.75" customHeight="1">
      <c r="A43" s="740"/>
      <c r="B43" s="698"/>
      <c r="C43" s="688"/>
      <c r="D43" s="688"/>
      <c r="E43" s="741"/>
      <c r="F43" s="732"/>
      <c r="G43" s="732"/>
      <c r="H43" s="733"/>
      <c r="I43" s="738"/>
      <c r="J43" s="742"/>
    </row>
    <row r="44" spans="1:10" ht="12.75" customHeight="1">
      <c r="A44" s="740"/>
      <c r="B44" s="698"/>
      <c r="C44" s="688"/>
      <c r="D44" s="688"/>
      <c r="E44" s="741"/>
      <c r="F44" s="732"/>
      <c r="G44" s="732"/>
      <c r="H44" s="733"/>
      <c r="I44" s="738"/>
      <c r="J44" s="742"/>
    </row>
    <row r="45" spans="1:10" ht="12.75" customHeight="1">
      <c r="A45" s="740"/>
      <c r="B45" s="698"/>
      <c r="C45" s="688"/>
      <c r="D45" s="688"/>
      <c r="E45" s="741"/>
      <c r="F45" s="732"/>
      <c r="G45" s="732"/>
      <c r="H45" s="733"/>
      <c r="I45" s="738"/>
      <c r="J45" s="742"/>
    </row>
    <row r="46" spans="1:10" ht="12.75" customHeight="1">
      <c r="A46" s="661"/>
      <c r="B46" s="630"/>
      <c r="C46" s="509"/>
      <c r="D46" s="509"/>
      <c r="E46" s="675"/>
      <c r="F46" s="678"/>
      <c r="G46" s="679"/>
      <c r="H46" s="680" t="s">
        <v>65</v>
      </c>
      <c r="I46" s="677">
        <f>SUM(I40:I45)</f>
        <v>0</v>
      </c>
      <c r="J46" s="507"/>
    </row>
    <row r="47" spans="1:10" ht="12.75" customHeight="1">
      <c r="A47" s="506" t="s">
        <v>66</v>
      </c>
      <c r="B47" s="505"/>
      <c r="C47" s="636"/>
      <c r="D47" s="626"/>
      <c r="E47" s="626"/>
      <c r="F47" s="505"/>
      <c r="G47" s="505"/>
      <c r="H47" s="505"/>
      <c r="I47" s="505"/>
      <c r="J47" s="507"/>
    </row>
    <row r="48" spans="1:10" ht="12.75" customHeight="1">
      <c r="A48" s="682" t="s">
        <v>59</v>
      </c>
      <c r="B48" s="505"/>
      <c r="C48" s="609" t="s">
        <v>67</v>
      </c>
      <c r="D48" s="627"/>
      <c r="E48" s="505"/>
      <c r="F48" s="609" t="s">
        <v>68</v>
      </c>
      <c r="G48" s="626"/>
      <c r="H48" s="626"/>
      <c r="I48" s="780" t="s">
        <v>626</v>
      </c>
      <c r="J48" s="507"/>
    </row>
    <row r="49" spans="1:10" ht="12.75" customHeight="1">
      <c r="A49" s="762"/>
      <c r="B49" s="762"/>
      <c r="C49" s="762"/>
      <c r="D49" s="762"/>
      <c r="E49" s="762"/>
      <c r="F49" s="760" t="s">
        <v>185</v>
      </c>
      <c r="G49" s="762"/>
      <c r="H49" s="761" t="s">
        <v>182</v>
      </c>
      <c r="I49" s="781" t="s">
        <v>627</v>
      </c>
      <c r="J49" s="659" t="s">
        <v>62</v>
      </c>
    </row>
    <row r="50" spans="1:10" ht="12.75" customHeight="1">
      <c r="A50" s="749" t="s">
        <v>1014</v>
      </c>
      <c r="B50" s="668"/>
      <c r="C50" s="750" t="s">
        <v>725</v>
      </c>
      <c r="D50" s="751"/>
      <c r="E50" s="752"/>
      <c r="F50" s="763"/>
      <c r="G50" s="762"/>
      <c r="H50" s="765"/>
      <c r="I50" s="786">
        <f>F50*H50</f>
        <v>0</v>
      </c>
      <c r="J50" s="739"/>
    </row>
    <row r="51" spans="1:10" ht="12.75" customHeight="1">
      <c r="A51" s="753" t="s">
        <v>1015</v>
      </c>
      <c r="B51" s="668"/>
      <c r="C51" s="684" t="s">
        <v>557</v>
      </c>
      <c r="D51" s="754"/>
      <c r="E51" s="755"/>
      <c r="F51" s="764"/>
      <c r="G51" s="762"/>
      <c r="H51" s="766"/>
      <c r="I51" s="786">
        <f>F51*H51</f>
        <v>0</v>
      </c>
      <c r="J51" s="742"/>
    </row>
    <row r="52" spans="1:10" ht="12.75" customHeight="1">
      <c r="A52" s="753" t="s">
        <v>1016</v>
      </c>
      <c r="B52" s="668"/>
      <c r="C52" s="684" t="s">
        <v>69</v>
      </c>
      <c r="D52" s="754"/>
      <c r="E52" s="755"/>
      <c r="F52" s="629" t="s">
        <v>1021</v>
      </c>
      <c r="G52" s="688"/>
      <c r="H52" s="730"/>
      <c r="I52" s="773">
        <f>'FORM-10 (A-F)'!J185</f>
        <v>0</v>
      </c>
      <c r="J52" s="742"/>
    </row>
    <row r="53" spans="1:10" ht="12.75" customHeight="1">
      <c r="A53" s="753" t="s">
        <v>58</v>
      </c>
      <c r="B53" s="668"/>
      <c r="C53" s="684" t="s">
        <v>56</v>
      </c>
      <c r="D53" s="754"/>
      <c r="E53" s="755"/>
      <c r="F53" s="767" t="s">
        <v>183</v>
      </c>
      <c r="G53" s="688"/>
      <c r="H53" s="730"/>
      <c r="I53" s="773">
        <f>'FORM-10 (A-F)'!J179+'FORM-10 (A-F)'!J180+'FORM-10 (A-F)'!J181</f>
        <v>0</v>
      </c>
      <c r="J53" s="742"/>
    </row>
    <row r="54" spans="1:10" ht="12.75" customHeight="1">
      <c r="A54" s="744"/>
      <c r="B54" s="788"/>
      <c r="C54" s="789"/>
      <c r="D54" s="721"/>
      <c r="E54" s="748"/>
      <c r="F54" s="685"/>
      <c r="G54" s="688"/>
      <c r="H54" s="730"/>
      <c r="I54" s="689"/>
      <c r="J54" s="742"/>
    </row>
    <row r="55" spans="1:10" ht="12.75" customHeight="1">
      <c r="A55" s="744"/>
      <c r="B55" s="788"/>
      <c r="C55" s="789"/>
      <c r="D55" s="721"/>
      <c r="E55" s="748"/>
      <c r="F55" s="629"/>
      <c r="G55" s="688"/>
      <c r="H55" s="730"/>
      <c r="I55" s="689"/>
      <c r="J55" s="742"/>
    </row>
    <row r="56" spans="1:10" ht="12.75" customHeight="1">
      <c r="A56" s="753" t="s">
        <v>1018</v>
      </c>
      <c r="B56" s="668"/>
      <c r="C56" s="757" t="s">
        <v>1017</v>
      </c>
      <c r="D56" s="639"/>
      <c r="E56" s="756"/>
      <c r="F56" s="629" t="s">
        <v>1022</v>
      </c>
      <c r="G56" s="688"/>
      <c r="H56" s="730"/>
      <c r="I56" s="773">
        <f>'FORM-10 (A-F)'!J188</f>
        <v>0</v>
      </c>
      <c r="J56" s="742"/>
    </row>
    <row r="57" spans="1:10" ht="12.75" customHeight="1">
      <c r="A57" s="762"/>
      <c r="B57" s="762"/>
      <c r="C57" s="762"/>
      <c r="D57" s="762"/>
      <c r="E57" s="762"/>
      <c r="F57" s="762"/>
      <c r="G57" s="762"/>
      <c r="H57" s="761" t="s">
        <v>182</v>
      </c>
      <c r="I57" s="787"/>
      <c r="J57" s="787"/>
    </row>
    <row r="58" spans="1:10" ht="12.75" customHeight="1">
      <c r="A58" s="753" t="s">
        <v>1019</v>
      </c>
      <c r="B58" s="668"/>
      <c r="C58" s="757" t="s">
        <v>70</v>
      </c>
      <c r="D58" s="754"/>
      <c r="E58" s="755"/>
      <c r="F58" s="769">
        <v>15</v>
      </c>
      <c r="G58" s="688" t="s">
        <v>184</v>
      </c>
      <c r="H58" s="768"/>
      <c r="I58" s="773">
        <f>F58*H58</f>
        <v>0</v>
      </c>
      <c r="J58" s="742"/>
    </row>
    <row r="59" spans="1:10" ht="12.75" customHeight="1">
      <c r="A59" s="753" t="s">
        <v>1020</v>
      </c>
      <c r="B59" s="668"/>
      <c r="C59" s="684" t="s">
        <v>71</v>
      </c>
      <c r="D59" s="754"/>
      <c r="E59" s="755"/>
      <c r="F59" s="685" t="s">
        <v>391</v>
      </c>
      <c r="G59" s="688"/>
      <c r="H59" s="730"/>
      <c r="I59" s="773">
        <f>'FORM-10 (A-F)'!J187</f>
        <v>0</v>
      </c>
      <c r="J59" s="742"/>
    </row>
    <row r="60" spans="1:10" ht="12.75" customHeight="1">
      <c r="A60" s="744"/>
      <c r="B60" s="668"/>
      <c r="C60" s="745" t="s">
        <v>446</v>
      </c>
      <c r="D60" s="716"/>
      <c r="E60" s="746"/>
      <c r="F60" s="685"/>
      <c r="G60" s="688"/>
      <c r="H60" s="730"/>
      <c r="I60" s="689"/>
      <c r="J60" s="742"/>
    </row>
    <row r="61" spans="1:10" ht="12.75" customHeight="1">
      <c r="A61" s="747"/>
      <c r="B61" s="668"/>
      <c r="C61" s="685"/>
      <c r="D61" s="721"/>
      <c r="E61" s="748"/>
      <c r="F61" s="685"/>
      <c r="G61" s="688"/>
      <c r="H61" s="730"/>
      <c r="I61" s="689"/>
      <c r="J61" s="742"/>
    </row>
    <row r="62" spans="1:10" ht="12.75" customHeight="1">
      <c r="A62" s="747"/>
      <c r="B62" s="668"/>
      <c r="C62" s="638"/>
      <c r="D62" s="721"/>
      <c r="E62" s="748"/>
      <c r="F62" s="685"/>
      <c r="G62" s="688"/>
      <c r="H62" s="730"/>
      <c r="I62" s="689"/>
      <c r="J62" s="742"/>
    </row>
    <row r="63" spans="1:10" ht="12.75" customHeight="1">
      <c r="A63" s="747"/>
      <c r="B63" s="668"/>
      <c r="C63" s="638"/>
      <c r="D63" s="721"/>
      <c r="E63" s="748"/>
      <c r="F63" s="685"/>
      <c r="G63" s="688"/>
      <c r="H63" s="730"/>
      <c r="I63" s="689"/>
      <c r="J63" s="742"/>
    </row>
    <row r="64" spans="1:10" ht="12.75" customHeight="1">
      <c r="A64" s="747"/>
      <c r="B64" s="668"/>
      <c r="C64" s="638"/>
      <c r="D64" s="721"/>
      <c r="E64" s="748"/>
      <c r="F64" s="685"/>
      <c r="G64" s="688"/>
      <c r="H64" s="730"/>
      <c r="I64" s="689"/>
      <c r="J64" s="715"/>
    </row>
    <row r="65" spans="1:10" ht="12.75" customHeight="1">
      <c r="A65" s="667"/>
      <c r="B65" s="618"/>
      <c r="C65" s="637"/>
      <c r="D65" s="637"/>
      <c r="E65" s="505"/>
      <c r="F65" s="666" t="s">
        <v>72</v>
      </c>
      <c r="G65" s="674"/>
      <c r="H65" s="674"/>
      <c r="I65" s="677">
        <f>SUM(I50:I64)</f>
        <v>0</v>
      </c>
      <c r="J65" s="507"/>
    </row>
    <row r="66" spans="1:10" ht="12.75" customHeight="1" thickBot="1">
      <c r="A66" s="785" t="s">
        <v>57</v>
      </c>
      <c r="B66" s="618"/>
      <c r="C66" s="505"/>
      <c r="D66" s="505"/>
      <c r="E66" s="505"/>
      <c r="F66" s="617"/>
      <c r="G66" s="505"/>
      <c r="H66" s="505"/>
      <c r="I66" s="673"/>
      <c r="J66" s="507"/>
    </row>
    <row r="67" spans="1:10" ht="12.75" customHeight="1" thickTop="1">
      <c r="A67" s="701"/>
      <c r="B67" s="696"/>
      <c r="C67" s="696"/>
      <c r="D67" s="695"/>
      <c r="E67" s="702"/>
      <c r="F67" s="695"/>
      <c r="G67" s="695"/>
      <c r="H67" s="703" t="s">
        <v>73</v>
      </c>
      <c r="I67" s="704">
        <f>SUM(I37+I46+I65)</f>
        <v>0</v>
      </c>
      <c r="J67" s="697"/>
    </row>
    <row r="68" spans="1:10" ht="12.75" customHeight="1">
      <c r="A68" s="506" t="s">
        <v>1068</v>
      </c>
      <c r="B68" s="505"/>
      <c r="C68" s="505"/>
      <c r="D68" s="505"/>
      <c r="E68" s="617"/>
      <c r="F68" s="505"/>
      <c r="G68" s="505"/>
      <c r="H68" s="505"/>
      <c r="I68" s="635"/>
      <c r="J68" s="507"/>
    </row>
    <row r="69" spans="1:10" ht="12.75" customHeight="1">
      <c r="A69" s="669"/>
      <c r="B69" s="617" t="s">
        <v>74</v>
      </c>
      <c r="C69" s="505"/>
      <c r="D69" s="505"/>
      <c r="E69" s="505"/>
      <c r="F69" s="505"/>
      <c r="G69" s="505"/>
      <c r="H69" s="505"/>
      <c r="I69" s="672">
        <f>H17</f>
        <v>0</v>
      </c>
      <c r="J69" s="507"/>
    </row>
    <row r="70" spans="1:10" ht="12.75" customHeight="1">
      <c r="A70" s="503"/>
      <c r="B70" s="617" t="s">
        <v>1215</v>
      </c>
      <c r="C70" s="505"/>
      <c r="D70" s="505"/>
      <c r="E70" s="505"/>
      <c r="F70" s="616"/>
      <c r="G70" s="505"/>
      <c r="H70" s="505"/>
      <c r="I70" s="640">
        <f>I67</f>
        <v>0</v>
      </c>
      <c r="J70" s="507"/>
    </row>
    <row r="71" spans="1:10" s="505" customFormat="1" ht="12.75" customHeight="1">
      <c r="A71" s="783" t="s">
        <v>2</v>
      </c>
      <c r="B71" s="706" t="s">
        <v>15</v>
      </c>
      <c r="F71" s="777" t="s">
        <v>16</v>
      </c>
      <c r="G71" s="775"/>
      <c r="H71" s="774"/>
      <c r="I71" s="798">
        <f>I69-I70</f>
        <v>0</v>
      </c>
      <c r="J71" s="507"/>
    </row>
    <row r="72" spans="1:10" s="505" customFormat="1" ht="12.75" customHeight="1" thickBot="1">
      <c r="A72" s="663"/>
      <c r="B72" s="778" t="s">
        <v>415</v>
      </c>
      <c r="C72" s="642"/>
      <c r="D72" s="642"/>
      <c r="E72" s="642"/>
      <c r="F72" s="642"/>
      <c r="G72" s="641"/>
      <c r="H72" s="643"/>
      <c r="I72" s="644"/>
      <c r="J72" s="664"/>
    </row>
    <row r="73" spans="1:10" s="505" customFormat="1" ht="12.75" customHeight="1">
      <c r="A73" s="662" t="s">
        <v>75</v>
      </c>
      <c r="J73" s="507"/>
    </row>
    <row r="74" spans="1:10" s="505" customFormat="1" ht="12.75" customHeight="1">
      <c r="A74" s="503"/>
      <c r="B74" s="645" t="s">
        <v>76</v>
      </c>
      <c r="C74" s="758"/>
      <c r="D74" s="758"/>
      <c r="G74" s="617" t="s">
        <v>77</v>
      </c>
      <c r="J74" s="507"/>
    </row>
    <row r="75" spans="1:10" ht="12.75" customHeight="1">
      <c r="A75" s="662"/>
      <c r="B75" s="505"/>
      <c r="C75" s="505"/>
      <c r="D75" s="505"/>
      <c r="E75" s="505"/>
      <c r="F75" s="505"/>
      <c r="G75" s="505"/>
      <c r="H75" s="505"/>
      <c r="I75" s="505"/>
      <c r="J75" s="507"/>
    </row>
    <row r="76" spans="1:10" ht="12.75" customHeight="1" thickBot="1">
      <c r="A76" s="660" t="s">
        <v>78</v>
      </c>
      <c r="B76" s="670" t="s">
        <v>79</v>
      </c>
      <c r="C76" s="642"/>
      <c r="D76" s="642"/>
      <c r="E76" s="642"/>
      <c r="F76" s="612" t="s">
        <v>78</v>
      </c>
      <c r="G76" s="642" t="s">
        <v>80</v>
      </c>
      <c r="H76" s="642"/>
      <c r="I76" s="642"/>
      <c r="J76" s="507"/>
    </row>
    <row r="77" spans="1:10" ht="12.75" customHeight="1">
      <c r="A77" s="662"/>
      <c r="B77" s="645" t="s">
        <v>81</v>
      </c>
      <c r="C77" s="759"/>
      <c r="D77" s="759"/>
      <c r="E77" s="505"/>
      <c r="F77" s="617"/>
      <c r="G77" s="1408" t="s">
        <v>359</v>
      </c>
      <c r="H77" s="759"/>
      <c r="I77" s="505"/>
      <c r="J77" s="507"/>
    </row>
    <row r="78" spans="1:10" ht="12.75" customHeight="1">
      <c r="A78" s="665" t="s">
        <v>82</v>
      </c>
      <c r="B78" s="505"/>
      <c r="C78" s="505"/>
      <c r="D78" s="505"/>
      <c r="E78" s="505"/>
      <c r="F78" s="505"/>
      <c r="G78" s="505"/>
      <c r="H78" s="505"/>
      <c r="I78" s="505"/>
      <c r="J78" s="507"/>
    </row>
    <row r="79" spans="1:10" ht="12.75" customHeight="1">
      <c r="A79" s="503"/>
      <c r="B79" s="505"/>
      <c r="C79" s="505"/>
      <c r="D79" s="505"/>
      <c r="E79" s="505"/>
      <c r="F79" s="505"/>
      <c r="J79" s="507"/>
    </row>
    <row r="80" spans="1:10" ht="12.75" customHeight="1">
      <c r="A80" s="667" t="s">
        <v>1578</v>
      </c>
      <c r="B80" s="1402"/>
      <c r="C80" s="1403"/>
      <c r="D80" s="1403"/>
      <c r="F80" s="647"/>
      <c r="J80" s="507"/>
    </row>
    <row r="81" spans="1:10" ht="12.75" customHeight="1" thickBot="1">
      <c r="A81" s="1404"/>
      <c r="B81" s="642"/>
      <c r="C81" s="642"/>
      <c r="D81" s="642"/>
      <c r="E81" s="642"/>
      <c r="J81" s="507"/>
    </row>
    <row r="82" spans="1:10" ht="12.75" customHeight="1">
      <c r="A82" s="1404"/>
      <c r="B82" s="1405" t="s">
        <v>1579</v>
      </c>
      <c r="J82" s="507"/>
    </row>
    <row r="83" spans="1:10" ht="12.75" customHeight="1">
      <c r="A83" s="1404"/>
      <c r="C83" s="1405" t="s">
        <v>1581</v>
      </c>
      <c r="D83" s="1405"/>
      <c r="E83" s="1405"/>
      <c r="F83" s="1405"/>
      <c r="J83" s="507"/>
    </row>
    <row r="84" spans="1:10" ht="15">
      <c r="A84" s="1404"/>
      <c r="J84" s="1407"/>
    </row>
    <row r="85" spans="1:10" ht="15">
      <c r="A85" s="503"/>
      <c r="G85" s="1573" t="s">
        <v>393</v>
      </c>
      <c r="H85" s="1574"/>
      <c r="I85" s="1574"/>
      <c r="J85" s="1575"/>
    </row>
    <row r="86" spans="1:10" ht="15" thickBot="1">
      <c r="A86" s="660" t="s">
        <v>78</v>
      </c>
      <c r="B86" s="671"/>
      <c r="C86" s="642"/>
      <c r="D86" s="642"/>
      <c r="E86" s="642"/>
      <c r="G86" s="1576" t="s">
        <v>1533</v>
      </c>
      <c r="H86" s="1577"/>
      <c r="I86" s="1577"/>
      <c r="J86" s="991">
        <v>0</v>
      </c>
    </row>
    <row r="87" spans="1:10" ht="15">
      <c r="A87" s="662"/>
      <c r="B87" s="1406" t="s">
        <v>1580</v>
      </c>
      <c r="C87" s="1403"/>
      <c r="D87" s="1403"/>
      <c r="G87" s="1576" t="s">
        <v>392</v>
      </c>
      <c r="H87" s="1577"/>
      <c r="I87" s="1577"/>
      <c r="J87" s="992">
        <f>J13</f>
        <v>0</v>
      </c>
    </row>
    <row r="88" spans="1:10" ht="15.75" thickBot="1">
      <c r="A88" s="658"/>
      <c r="B88" s="1405" t="s">
        <v>1570</v>
      </c>
      <c r="G88" s="1578" t="s">
        <v>1532</v>
      </c>
      <c r="H88" s="1579"/>
      <c r="I88" s="1579"/>
      <c r="J88" s="990">
        <f>J86-J87</f>
        <v>0</v>
      </c>
    </row>
    <row r="89" spans="1:10" ht="15" thickTop="1">
      <c r="A89" s="666"/>
      <c r="B89" s="559"/>
      <c r="C89" s="559"/>
      <c r="D89" s="559"/>
      <c r="E89" s="559"/>
      <c r="F89" s="559"/>
      <c r="G89" s="559"/>
      <c r="H89" s="988"/>
      <c r="I89" s="646"/>
      <c r="J89" s="989"/>
    </row>
    <row r="90" spans="1:9" ht="15">
      <c r="A90" s="617"/>
      <c r="B90" s="505"/>
      <c r="C90" s="505"/>
      <c r="D90" s="505"/>
      <c r="E90" s="505"/>
      <c r="F90" s="505"/>
      <c r="I90" s="505"/>
    </row>
    <row r="91" spans="1:10" ht="15">
      <c r="A91" s="617"/>
      <c r="B91" s="505"/>
      <c r="C91" s="505"/>
      <c r="D91" s="505"/>
      <c r="E91" s="505"/>
      <c r="F91" s="505"/>
      <c r="G91" s="505"/>
      <c r="H91" s="505"/>
      <c r="I91" s="648"/>
      <c r="J91" s="505"/>
    </row>
    <row r="92" spans="1:10" ht="15">
      <c r="A92" s="617"/>
      <c r="B92" s="505"/>
      <c r="C92" s="505"/>
      <c r="D92" s="505"/>
      <c r="E92" s="505"/>
      <c r="F92" s="505"/>
      <c r="G92" s="505"/>
      <c r="H92" s="505"/>
      <c r="I92" s="648"/>
      <c r="J92" s="505"/>
    </row>
    <row r="93" spans="1:10" ht="15">
      <c r="A93" s="617"/>
      <c r="B93" s="505"/>
      <c r="C93" s="505"/>
      <c r="D93" s="505"/>
      <c r="E93" s="505"/>
      <c r="F93" s="505"/>
      <c r="G93" s="505"/>
      <c r="H93" s="505"/>
      <c r="I93" s="648"/>
      <c r="J93" s="505"/>
    </row>
    <row r="94" spans="1:10" ht="15">
      <c r="A94" s="617"/>
      <c r="B94" s="505"/>
      <c r="C94" s="505"/>
      <c r="D94" s="505"/>
      <c r="E94" s="505"/>
      <c r="F94" s="505"/>
      <c r="G94" s="505"/>
      <c r="H94" s="505"/>
      <c r="I94" s="648"/>
      <c r="J94" s="505"/>
    </row>
    <row r="95" spans="1:10" ht="15">
      <c r="A95" s="617"/>
      <c r="B95" s="505"/>
      <c r="C95" s="505"/>
      <c r="D95" s="505"/>
      <c r="E95" s="505"/>
      <c r="F95" s="505"/>
      <c r="G95" s="505"/>
      <c r="H95" s="505"/>
      <c r="I95" s="648"/>
      <c r="J95" s="505"/>
    </row>
    <row r="96" spans="1:10" ht="15">
      <c r="A96" s="617"/>
      <c r="B96" s="505"/>
      <c r="C96" s="505"/>
      <c r="D96" s="505"/>
      <c r="E96" s="505"/>
      <c r="F96" s="505"/>
      <c r="G96" s="505"/>
      <c r="H96" s="505"/>
      <c r="I96" s="648"/>
      <c r="J96" s="505"/>
    </row>
    <row r="97" spans="1:10" ht="15">
      <c r="A97" s="617"/>
      <c r="B97" s="505"/>
      <c r="C97" s="505"/>
      <c r="D97" s="505"/>
      <c r="E97" s="505"/>
      <c r="F97" s="505"/>
      <c r="G97" s="505"/>
      <c r="H97" s="505"/>
      <c r="I97" s="648"/>
      <c r="J97" s="505"/>
    </row>
    <row r="98" spans="1:10" ht="15">
      <c r="A98" s="617"/>
      <c r="B98" s="505"/>
      <c r="C98" s="505"/>
      <c r="D98" s="505"/>
      <c r="E98" s="505"/>
      <c r="F98" s="505"/>
      <c r="G98" s="505"/>
      <c r="H98" s="505"/>
      <c r="I98" s="648"/>
      <c r="J98" s="505"/>
    </row>
    <row r="99" spans="1:10" ht="15">
      <c r="A99" s="617"/>
      <c r="B99" s="505"/>
      <c r="C99" s="505"/>
      <c r="D99" s="505"/>
      <c r="E99" s="617"/>
      <c r="F99" s="505"/>
      <c r="G99" s="505"/>
      <c r="H99" s="505"/>
      <c r="I99" s="635"/>
      <c r="J99" s="505"/>
    </row>
  </sheetData>
  <sheetProtection/>
  <mergeCells count="4">
    <mergeCell ref="G85:J85"/>
    <mergeCell ref="G86:I86"/>
    <mergeCell ref="G87:I87"/>
    <mergeCell ref="G88:I88"/>
  </mergeCells>
  <printOptions/>
  <pageMargins left="0.75" right="0.25" top="1" bottom="0.25" header="0.25972222222222224" footer="0.5"/>
  <pageSetup horizontalDpi="600" verticalDpi="600" orientation="portrait" paperSize="5" scale="85" r:id="rId3"/>
  <headerFooter alignWithMargins="0">
    <oddHeader>&amp;C&amp;"Arial,Bold"&amp;11DRAFT- for discussion purposes only and subject to change&amp;12
&amp;10New Jersey Housing and Mortgage Finance Agency&amp;12
&amp;9P. O. Box 18550, 637 South Clinton Avenue
Trenton, NJ  08650-2085</oddHeader>
  </headerFooter>
  <drawing r:id="rId2"/>
  <legacyDrawing r:id="rId1"/>
</worksheet>
</file>

<file path=xl/worksheets/sheet9.xml><?xml version="1.0" encoding="utf-8"?>
<worksheet xmlns="http://schemas.openxmlformats.org/spreadsheetml/2006/main" xmlns:r="http://schemas.openxmlformats.org/officeDocument/2006/relationships">
  <sheetPr codeName="Sheet14"/>
  <dimension ref="A1:A1"/>
  <sheetViews>
    <sheetView showGridLines="0" showRowColHeaders="0" defaultGridColor="0" zoomScalePageLayoutView="0" colorId="58" workbookViewId="0" topLeftCell="A1">
      <selection activeCell="O21" sqref="O21"/>
    </sheetView>
  </sheetViews>
  <sheetFormatPr defaultColWidth="7.10546875" defaultRowHeight="15"/>
  <cols>
    <col min="1" max="3" width="7.10546875" style="3" customWidth="1"/>
    <col min="4" max="4" width="4.3359375" style="3" customWidth="1"/>
    <col min="5" max="16384" width="7.10546875" style="3" customWidth="1"/>
  </cols>
  <sheetData/>
  <sheetProtection/>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NJHMFA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lbecerra</dc:creator>
  <cp:keywords/>
  <dc:description/>
  <cp:lastModifiedBy>Laura A. Shields</cp:lastModifiedBy>
  <cp:lastPrinted>2024-03-26T19:14:55Z</cp:lastPrinted>
  <dcterms:created xsi:type="dcterms:W3CDTF">2000-11-14T20:52:06Z</dcterms:created>
  <dcterms:modified xsi:type="dcterms:W3CDTF">2024-03-27T13:14:04Z</dcterms:modified>
  <cp:category/>
  <cp:version/>
  <cp:contentType/>
  <cp:contentStatus/>
</cp:coreProperties>
</file>