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95" windowWidth="9420" windowHeight="4965" tabRatio="660"/>
  </bookViews>
  <sheets>
    <sheet name="Sh A-2" sheetId="6" r:id="rId1"/>
    <sheet name="Sh 3-3c-1" sheetId="5" r:id="rId2"/>
    <sheet name="Sh 3b-2" sheetId="9" r:id="rId3"/>
    <sheet name="Sh 4-11a" sheetId="1" r:id="rId4"/>
    <sheet name="Sh 12-30a" sheetId="2" r:id="rId5"/>
    <sheet name="Sh 31-38" sheetId="3" r:id="rId6"/>
    <sheet name="Sh 39" sheetId="4" r:id="rId7"/>
    <sheet name="Sh 40-42,44" sheetId="7" r:id="rId8"/>
    <sheet name="Sh 43" sheetId="8" r:id="rId9"/>
  </sheets>
  <definedNames>
    <definedName name="_xlnm.Print_Area" localSheetId="4">'Sh 12-30a'!$A$1:$H$880</definedName>
    <definedName name="_xlnm.Print_Area" localSheetId="7">'Sh 40-42,44'!$A$1:$M$181</definedName>
    <definedName name="_xlnm.Print_Area" localSheetId="3">'Sh 4-11a'!$A$1:$E$500</definedName>
  </definedNames>
  <calcPr calcId="124519"/>
</workbook>
</file>

<file path=xl/calcChain.xml><?xml version="1.0" encoding="utf-8"?>
<calcChain xmlns="http://schemas.openxmlformats.org/spreadsheetml/2006/main">
  <c r="C19" i="2"/>
  <c r="D226"/>
  <c r="J494" i="1"/>
  <c r="G86" i="5"/>
  <c r="M875" i="2"/>
  <c r="M874"/>
  <c r="M398"/>
  <c r="M396"/>
  <c r="K396"/>
  <c r="I372"/>
  <c r="J373"/>
  <c r="J321"/>
  <c r="F224"/>
  <c r="F223"/>
  <c r="G221"/>
  <c r="H221" s="1"/>
  <c r="G220"/>
  <c r="H220" s="1"/>
  <c r="G219"/>
  <c r="F219"/>
  <c r="H219" s="1"/>
  <c r="G217"/>
  <c r="H217" s="1"/>
  <c r="H216"/>
  <c r="L870"/>
  <c r="L866"/>
  <c r="L864"/>
  <c r="L865"/>
  <c r="L863"/>
  <c r="L853"/>
  <c r="L843"/>
  <c r="K19"/>
  <c r="M476" i="1" l="1"/>
  <c r="K483" s="1"/>
  <c r="M475"/>
  <c r="K475" s="1"/>
  <c r="H72"/>
  <c r="M477" l="1"/>
  <c r="G93" i="5"/>
  <c r="G92"/>
  <c r="G91"/>
  <c r="G90"/>
  <c r="G89"/>
  <c r="C93"/>
  <c r="C92"/>
  <c r="C91"/>
  <c r="C90"/>
  <c r="C89"/>
  <c r="G88"/>
  <c r="C88"/>
  <c r="G87"/>
  <c r="C87"/>
  <c r="E86"/>
  <c r="C86"/>
  <c r="C28"/>
  <c r="F410" i="1"/>
  <c r="G433" s="1"/>
  <c r="F433"/>
  <c r="G471"/>
  <c r="I410" i="2"/>
  <c r="G388" i="1"/>
  <c r="F388"/>
  <c r="G366"/>
  <c r="F366"/>
  <c r="G343"/>
  <c r="G389" s="1"/>
  <c r="F343"/>
  <c r="F389" s="1"/>
  <c r="L129" i="7"/>
  <c r="F88"/>
  <c r="D110"/>
  <c r="J99"/>
  <c r="J98"/>
  <c r="J97"/>
  <c r="J96"/>
  <c r="K77"/>
  <c r="H53"/>
  <c r="L53"/>
  <c r="L55"/>
  <c r="H54"/>
  <c r="L54" s="1"/>
  <c r="H52"/>
  <c r="H55"/>
  <c r="L52"/>
  <c r="H828" i="2"/>
  <c r="G742"/>
  <c r="F742"/>
  <c r="F740"/>
  <c r="G740"/>
  <c r="H697"/>
  <c r="H696"/>
  <c r="H661"/>
  <c r="H660"/>
  <c r="H659"/>
  <c r="H658"/>
  <c r="H657"/>
  <c r="H656"/>
  <c r="H655"/>
  <c r="H647"/>
  <c r="H646"/>
  <c r="H645"/>
  <c r="H644"/>
  <c r="H643"/>
  <c r="H642"/>
  <c r="H641"/>
  <c r="H636"/>
  <c r="H635"/>
  <c r="H634"/>
  <c r="H621"/>
  <c r="H620"/>
  <c r="H616"/>
  <c r="H615"/>
  <c r="H614"/>
  <c r="H598"/>
  <c r="H597"/>
  <c r="H596"/>
  <c r="H595"/>
  <c r="H594"/>
  <c r="H593"/>
  <c r="H592"/>
  <c r="H576"/>
  <c r="H575"/>
  <c r="H574"/>
  <c r="H573"/>
  <c r="H572"/>
  <c r="H571"/>
  <c r="H551"/>
  <c r="H550"/>
  <c r="H540"/>
  <c r="H539"/>
  <c r="H538"/>
  <c r="H537"/>
  <c r="H536"/>
  <c r="H535"/>
  <c r="H515"/>
  <c r="H514"/>
  <c r="H509"/>
  <c r="H436"/>
  <c r="H435"/>
  <c r="H434"/>
  <c r="H433"/>
  <c r="H431"/>
  <c r="H429"/>
  <c r="H427"/>
  <c r="H426"/>
  <c r="H425"/>
  <c r="H416"/>
  <c r="H414"/>
  <c r="H413"/>
  <c r="H412"/>
  <c r="H411"/>
  <c r="H409"/>
  <c r="H402"/>
  <c r="G410"/>
  <c r="F410"/>
  <c r="H410" s="1"/>
  <c r="H372"/>
  <c r="H371"/>
  <c r="H370"/>
  <c r="H369"/>
  <c r="H368"/>
  <c r="H367"/>
  <c r="H366"/>
  <c r="H365"/>
  <c r="H364"/>
  <c r="H363"/>
  <c r="H362"/>
  <c r="H361"/>
  <c r="H360"/>
  <c r="G305"/>
  <c r="G304"/>
  <c r="G303"/>
  <c r="H303" s="1"/>
  <c r="G302"/>
  <c r="G301"/>
  <c r="G300"/>
  <c r="G299"/>
  <c r="H299" s="1"/>
  <c r="G268"/>
  <c r="G262"/>
  <c r="G260"/>
  <c r="G257"/>
  <c r="H257" s="1"/>
  <c r="G248"/>
  <c r="G245"/>
  <c r="H245" s="1"/>
  <c r="G265"/>
  <c r="G237"/>
  <c r="G238"/>
  <c r="G235"/>
  <c r="H235" s="1"/>
  <c r="G227"/>
  <c r="G196"/>
  <c r="G202"/>
  <c r="G278"/>
  <c r="I198"/>
  <c r="G199"/>
  <c r="F279"/>
  <c r="F278"/>
  <c r="G184"/>
  <c r="G181"/>
  <c r="G178"/>
  <c r="H178" s="1"/>
  <c r="G175"/>
  <c r="G165"/>
  <c r="G161"/>
  <c r="G158"/>
  <c r="H158" s="1"/>
  <c r="G154"/>
  <c r="G155"/>
  <c r="C18" i="4"/>
  <c r="C5"/>
  <c r="C4"/>
  <c r="G142" i="2"/>
  <c r="G139"/>
  <c r="G136"/>
  <c r="G133"/>
  <c r="G120"/>
  <c r="G112"/>
  <c r="G104"/>
  <c r="H104" s="1"/>
  <c r="G98"/>
  <c r="G91"/>
  <c r="G82"/>
  <c r="G79"/>
  <c r="H79" s="1"/>
  <c r="G76"/>
  <c r="G75"/>
  <c r="G73"/>
  <c r="G70"/>
  <c r="H70" s="1"/>
  <c r="G62"/>
  <c r="H62" s="1"/>
  <c r="H318"/>
  <c r="H305"/>
  <c r="H304"/>
  <c r="H302"/>
  <c r="H301"/>
  <c r="H300"/>
  <c r="H297"/>
  <c r="H279"/>
  <c r="H278"/>
  <c r="H268"/>
  <c r="H267"/>
  <c r="H265"/>
  <c r="H264"/>
  <c r="H262"/>
  <c r="H260"/>
  <c r="H259"/>
  <c r="H256"/>
  <c r="H248"/>
  <c r="H247"/>
  <c r="H244"/>
  <c r="H238"/>
  <c r="H237"/>
  <c r="H234"/>
  <c r="H227"/>
  <c r="H226"/>
  <c r="H205"/>
  <c r="H204"/>
  <c r="H202"/>
  <c r="H201"/>
  <c r="H199"/>
  <c r="H198"/>
  <c r="H196"/>
  <c r="H195"/>
  <c r="H184"/>
  <c r="H183"/>
  <c r="H181"/>
  <c r="H180"/>
  <c r="H177"/>
  <c r="H175"/>
  <c r="H174"/>
  <c r="H165"/>
  <c r="H164"/>
  <c r="H161"/>
  <c r="H160"/>
  <c r="H157"/>
  <c r="H155"/>
  <c r="H154"/>
  <c r="H153"/>
  <c r="H143"/>
  <c r="H142"/>
  <c r="H141"/>
  <c r="H139"/>
  <c r="H138"/>
  <c r="H136"/>
  <c r="H135"/>
  <c r="H133"/>
  <c r="H132"/>
  <c r="H124"/>
  <c r="H123"/>
  <c r="H120"/>
  <c r="H119"/>
  <c r="H114"/>
  <c r="H112"/>
  <c r="H111"/>
  <c r="H103"/>
  <c r="H98"/>
  <c r="H97"/>
  <c r="H91"/>
  <c r="H90"/>
  <c r="H82"/>
  <c r="H81"/>
  <c r="H78"/>
  <c r="H76"/>
  <c r="H75"/>
  <c r="H73"/>
  <c r="H72"/>
  <c r="H69"/>
  <c r="G61"/>
  <c r="H61" s="1"/>
  <c r="C16" i="4" l="1"/>
  <c r="C17"/>
  <c r="G53" i="2"/>
  <c r="G52"/>
  <c r="G49"/>
  <c r="G41"/>
  <c r="C13" i="4"/>
  <c r="C11"/>
  <c r="C8"/>
  <c r="C269" i="2" l="1"/>
  <c r="C239"/>
  <c r="K239" s="1"/>
  <c r="C208"/>
  <c r="J208" s="1"/>
  <c r="C185"/>
  <c r="C125"/>
  <c r="C99"/>
  <c r="C92"/>
  <c r="C57"/>
  <c r="C33"/>
  <c r="G38" l="1"/>
  <c r="H38" s="1"/>
  <c r="H56"/>
  <c r="H55"/>
  <c r="H53"/>
  <c r="H52"/>
  <c r="H51"/>
  <c r="H49"/>
  <c r="H48"/>
  <c r="H41"/>
  <c r="H40"/>
  <c r="H37"/>
  <c r="G32"/>
  <c r="H32" s="1"/>
  <c r="G31"/>
  <c r="H31"/>
  <c r="H29"/>
  <c r="H28"/>
  <c r="G26"/>
  <c r="H26" s="1"/>
  <c r="G20"/>
  <c r="H20" s="1"/>
  <c r="G16"/>
  <c r="H16" s="1"/>
  <c r="G13"/>
  <c r="H13" s="1"/>
  <c r="H19"/>
  <c r="H18"/>
  <c r="H15"/>
  <c r="H12"/>
  <c r="H9"/>
  <c r="G10"/>
  <c r="H10" s="1"/>
  <c r="G7"/>
  <c r="H7" s="1"/>
  <c r="H6"/>
  <c r="C340"/>
  <c r="D410" l="1"/>
  <c r="D740"/>
  <c r="D742"/>
  <c r="D738"/>
  <c r="C742"/>
  <c r="C740"/>
  <c r="C738"/>
  <c r="J687"/>
  <c r="J416"/>
  <c r="I437"/>
  <c r="C410"/>
  <c r="I416" s="1"/>
  <c r="D490" i="1"/>
  <c r="E428"/>
  <c r="E43"/>
  <c r="E464" s="1"/>
  <c r="D43"/>
  <c r="D464" s="1"/>
  <c r="C43"/>
  <c r="C464" s="1"/>
  <c r="D428"/>
  <c r="C322"/>
  <c r="C6"/>
  <c r="D850" i="2"/>
  <c r="E850"/>
  <c r="F850"/>
  <c r="G850"/>
  <c r="H850"/>
  <c r="C850"/>
  <c r="D689"/>
  <c r="D322" i="1"/>
  <c r="C27" i="5"/>
  <c r="G322" i="1" l="1"/>
  <c r="G323" s="1"/>
  <c r="H322"/>
  <c r="G488"/>
  <c r="G487"/>
  <c r="I438" i="2"/>
  <c r="J438" s="1"/>
  <c r="K438" s="1"/>
  <c r="C153" i="1"/>
  <c r="E6" l="1"/>
  <c r="C32" i="5"/>
  <c r="D61"/>
  <c r="E63" s="1"/>
  <c r="H882" i="2"/>
  <c r="G882"/>
  <c r="F882"/>
  <c r="E882"/>
  <c r="D882"/>
  <c r="C882"/>
  <c r="C881"/>
  <c r="H269"/>
  <c r="G269"/>
  <c r="F269"/>
  <c r="E269"/>
  <c r="D269"/>
  <c r="H239"/>
  <c r="G239"/>
  <c r="F239"/>
  <c r="E239"/>
  <c r="D239"/>
  <c r="H208"/>
  <c r="G208"/>
  <c r="F208"/>
  <c r="E208"/>
  <c r="D208"/>
  <c r="H16" i="5"/>
  <c r="L135" i="7"/>
  <c r="B122" s="1"/>
  <c r="G185" i="2"/>
  <c r="D6" i="1"/>
  <c r="F163" i="5"/>
  <c r="F128"/>
  <c r="H687" i="2"/>
  <c r="H853" s="1"/>
  <c r="M110" i="7"/>
  <c r="L110"/>
  <c r="K110"/>
  <c r="J110"/>
  <c r="I110"/>
  <c r="H110"/>
  <c r="G110"/>
  <c r="F110"/>
  <c r="E110"/>
  <c r="M88"/>
  <c r="L88"/>
  <c r="K88"/>
  <c r="J88"/>
  <c r="I88"/>
  <c r="H88"/>
  <c r="M66"/>
  <c r="L66"/>
  <c r="K66"/>
  <c r="J66"/>
  <c r="H66"/>
  <c r="I66" s="1"/>
  <c r="G66"/>
  <c r="F66"/>
  <c r="H15" i="5"/>
  <c r="H881" i="2"/>
  <c r="G881"/>
  <c r="G321" s="1"/>
  <c r="F881"/>
  <c r="E881"/>
  <c r="D881"/>
  <c r="L143" i="7"/>
  <c r="C373" i="2"/>
  <c r="C843" s="1"/>
  <c r="E50" i="5"/>
  <c r="H57" i="2"/>
  <c r="H92"/>
  <c r="H125"/>
  <c r="H185"/>
  <c r="H99"/>
  <c r="H289"/>
  <c r="H316"/>
  <c r="G33"/>
  <c r="G57"/>
  <c r="G92"/>
  <c r="G125"/>
  <c r="G99"/>
  <c r="G289"/>
  <c r="G316"/>
  <c r="F33"/>
  <c r="H33" s="1"/>
  <c r="F57"/>
  <c r="F92"/>
  <c r="F125"/>
  <c r="F185"/>
  <c r="F99"/>
  <c r="F289"/>
  <c r="F316"/>
  <c r="E33"/>
  <c r="E57"/>
  <c r="E92"/>
  <c r="E125"/>
  <c r="E185"/>
  <c r="E99"/>
  <c r="E289"/>
  <c r="E316"/>
  <c r="D33"/>
  <c r="D57"/>
  <c r="D92"/>
  <c r="D125"/>
  <c r="D185"/>
  <c r="D99"/>
  <c r="D289"/>
  <c r="D316"/>
  <c r="C316"/>
  <c r="C289"/>
  <c r="F143" i="5"/>
  <c r="C774" i="2"/>
  <c r="L147" i="7" s="1"/>
  <c r="H438" i="2"/>
  <c r="H459"/>
  <c r="H849" s="1"/>
  <c r="H480"/>
  <c r="H501"/>
  <c r="H852" s="1"/>
  <c r="H732"/>
  <c r="H863" s="1"/>
  <c r="D774"/>
  <c r="D864" s="1"/>
  <c r="H689"/>
  <c r="G689"/>
  <c r="F689"/>
  <c r="E689"/>
  <c r="C689"/>
  <c r="J131" i="7"/>
  <c r="B117" s="1"/>
  <c r="L134"/>
  <c r="B118" s="1"/>
  <c r="L127"/>
  <c r="C87" i="1"/>
  <c r="C465" s="1"/>
  <c r="K465" s="1"/>
  <c r="K480" s="1"/>
  <c r="C109"/>
  <c r="C466" s="1"/>
  <c r="C469"/>
  <c r="K469" s="1"/>
  <c r="K476" s="1"/>
  <c r="C131"/>
  <c r="C467" s="1"/>
  <c r="K467" s="1"/>
  <c r="K481" s="1"/>
  <c r="C468"/>
  <c r="J132" i="7"/>
  <c r="L133" s="1"/>
  <c r="C687" i="2"/>
  <c r="I687" s="1"/>
  <c r="C438"/>
  <c r="C848" s="1"/>
  <c r="C459"/>
  <c r="C480"/>
  <c r="C851" s="1"/>
  <c r="C501"/>
  <c r="C732"/>
  <c r="L146" i="7" s="1"/>
  <c r="C789" i="2"/>
  <c r="L148" i="7" s="1"/>
  <c r="L149"/>
  <c r="L150"/>
  <c r="L151"/>
  <c r="C807" i="2"/>
  <c r="C811"/>
  <c r="L153" i="7"/>
  <c r="H9" i="4"/>
  <c r="C14"/>
  <c r="G15"/>
  <c r="H15"/>
  <c r="G17"/>
  <c r="H17"/>
  <c r="C19"/>
  <c r="C23"/>
  <c r="E321" i="2"/>
  <c r="D373"/>
  <c r="D843" s="1"/>
  <c r="E373"/>
  <c r="E843" s="1"/>
  <c r="F373"/>
  <c r="F843" s="1"/>
  <c r="G373"/>
  <c r="G843" s="1"/>
  <c r="H373"/>
  <c r="H843" s="1"/>
  <c r="D438"/>
  <c r="D848" s="1"/>
  <c r="E438"/>
  <c r="E848" s="1"/>
  <c r="F438"/>
  <c r="F848" s="1"/>
  <c r="G438"/>
  <c r="G848" s="1"/>
  <c r="D459"/>
  <c r="D849" s="1"/>
  <c r="E459"/>
  <c r="E849" s="1"/>
  <c r="F459"/>
  <c r="F849" s="1"/>
  <c r="G459"/>
  <c r="D480"/>
  <c r="D851" s="1"/>
  <c r="E480"/>
  <c r="F480"/>
  <c r="F851" s="1"/>
  <c r="G480"/>
  <c r="G851" s="1"/>
  <c r="D501"/>
  <c r="D852" s="1"/>
  <c r="E501"/>
  <c r="E852" s="1"/>
  <c r="F501"/>
  <c r="F852" s="1"/>
  <c r="G501"/>
  <c r="G852" s="1"/>
  <c r="D687"/>
  <c r="E687"/>
  <c r="E688" s="1"/>
  <c r="E854" s="1"/>
  <c r="F687"/>
  <c r="F853" s="1"/>
  <c r="G687"/>
  <c r="D732"/>
  <c r="D863" s="1"/>
  <c r="E732"/>
  <c r="E863" s="1"/>
  <c r="F732"/>
  <c r="F863" s="1"/>
  <c r="G732"/>
  <c r="G863" s="1"/>
  <c r="E774"/>
  <c r="E864" s="1"/>
  <c r="F774"/>
  <c r="F864" s="1"/>
  <c r="G774"/>
  <c r="G864" s="1"/>
  <c r="D789"/>
  <c r="D865" s="1"/>
  <c r="F789"/>
  <c r="F865" s="1"/>
  <c r="G789"/>
  <c r="G865" s="1"/>
  <c r="D807"/>
  <c r="E807"/>
  <c r="F807"/>
  <c r="G807"/>
  <c r="D811"/>
  <c r="E811"/>
  <c r="F811"/>
  <c r="F822" s="1"/>
  <c r="F868" s="1"/>
  <c r="G811"/>
  <c r="D822"/>
  <c r="D868" s="1"/>
  <c r="E822"/>
  <c r="E868" s="1"/>
  <c r="H848"/>
  <c r="C849"/>
  <c r="G849"/>
  <c r="E851"/>
  <c r="H851"/>
  <c r="C852"/>
  <c r="C866"/>
  <c r="D866"/>
  <c r="F866"/>
  <c r="G866"/>
  <c r="C867"/>
  <c r="D867"/>
  <c r="F867"/>
  <c r="G867"/>
  <c r="C869"/>
  <c r="D869"/>
  <c r="F869"/>
  <c r="G869"/>
  <c r="D870"/>
  <c r="F870"/>
  <c r="G870"/>
  <c r="D87" i="1"/>
  <c r="D465" s="1"/>
  <c r="E87"/>
  <c r="E465" s="1"/>
  <c r="D109"/>
  <c r="D466" s="1"/>
  <c r="E109"/>
  <c r="E466" s="1"/>
  <c r="D131"/>
  <c r="D467" s="1"/>
  <c r="E131"/>
  <c r="E467" s="1"/>
  <c r="D153"/>
  <c r="D468" s="1"/>
  <c r="E153"/>
  <c r="E468" s="1"/>
  <c r="D469"/>
  <c r="E322"/>
  <c r="D455"/>
  <c r="E455"/>
  <c r="E470" s="1"/>
  <c r="C461"/>
  <c r="D461"/>
  <c r="E461"/>
  <c r="C462"/>
  <c r="D462"/>
  <c r="E462"/>
  <c r="H10" i="5"/>
  <c r="F86"/>
  <c r="F87"/>
  <c r="F88"/>
  <c r="F89"/>
  <c r="F90"/>
  <c r="F91"/>
  <c r="F92"/>
  <c r="F93"/>
  <c r="D228"/>
  <c r="E228"/>
  <c r="C455" i="1"/>
  <c r="E68" i="5" l="1"/>
  <c r="H48" s="1"/>
  <c r="I853" i="2"/>
  <c r="L848"/>
  <c r="K477" i="1"/>
  <c r="K482"/>
  <c r="K484" s="1"/>
  <c r="G822" i="2"/>
  <c r="G868" s="1"/>
  <c r="G688"/>
  <c r="G854" s="1"/>
  <c r="F321"/>
  <c r="H321"/>
  <c r="H18" i="4"/>
  <c r="G4" s="1"/>
  <c r="G9" s="1"/>
  <c r="C321" i="2"/>
  <c r="K687"/>
  <c r="J795"/>
  <c r="D321"/>
  <c r="C865"/>
  <c r="D853"/>
  <c r="D317"/>
  <c r="D319" s="1"/>
  <c r="D396" s="1"/>
  <c r="E317"/>
  <c r="E319" s="1"/>
  <c r="E396" s="1"/>
  <c r="F317"/>
  <c r="F319" s="1"/>
  <c r="F396" s="1"/>
  <c r="G317"/>
  <c r="G319" s="1"/>
  <c r="G322" s="1"/>
  <c r="H317"/>
  <c r="H319" s="1"/>
  <c r="H322" s="1"/>
  <c r="C863"/>
  <c r="C864"/>
  <c r="H688"/>
  <c r="H690" s="1"/>
  <c r="F688"/>
  <c r="F854" s="1"/>
  <c r="F129" i="5"/>
  <c r="F130" s="1"/>
  <c r="C822" i="2"/>
  <c r="C868" s="1"/>
  <c r="C317"/>
  <c r="C319" s="1"/>
  <c r="L141" i="7" s="1"/>
  <c r="E469" i="1"/>
  <c r="E471" s="1"/>
  <c r="D470"/>
  <c r="D471" s="1"/>
  <c r="D485" s="1"/>
  <c r="D491" s="1"/>
  <c r="C470"/>
  <c r="G18" i="4"/>
  <c r="G21" s="1"/>
  <c r="G23" s="1"/>
  <c r="C688" i="2"/>
  <c r="L142" i="7"/>
  <c r="E853" i="2"/>
  <c r="G853"/>
  <c r="D688"/>
  <c r="D690" s="1"/>
  <c r="E795"/>
  <c r="E824" s="1"/>
  <c r="G690"/>
  <c r="E690"/>
  <c r="C853"/>
  <c r="G795"/>
  <c r="G824" s="1"/>
  <c r="H64" i="5" l="1"/>
  <c r="H65" s="1"/>
  <c r="H52"/>
  <c r="H58" s="1"/>
  <c r="H68" s="1"/>
  <c r="F132"/>
  <c r="F145" s="1"/>
  <c r="F167" s="1"/>
  <c r="F169" s="1"/>
  <c r="I324" i="2"/>
  <c r="C471" i="1"/>
  <c r="H471" s="1"/>
  <c r="K471"/>
  <c r="H795" i="2"/>
  <c r="H824" s="1"/>
  <c r="H396"/>
  <c r="G842"/>
  <c r="G396"/>
  <c r="G845" s="1"/>
  <c r="F322"/>
  <c r="F842"/>
  <c r="D842"/>
  <c r="E842"/>
  <c r="E322"/>
  <c r="D322"/>
  <c r="H842"/>
  <c r="H854"/>
  <c r="F795"/>
  <c r="F824" s="1"/>
  <c r="F826" s="1"/>
  <c r="F836" s="1"/>
  <c r="F871" s="1"/>
  <c r="F690"/>
  <c r="H8" i="5"/>
  <c r="C690" i="2"/>
  <c r="L145" i="7"/>
  <c r="C854" i="2"/>
  <c r="L854" s="1"/>
  <c r="C795"/>
  <c r="L152" i="7"/>
  <c r="C842" i="2"/>
  <c r="C322"/>
  <c r="C396"/>
  <c r="J396" s="1"/>
  <c r="L396" s="1"/>
  <c r="N396" s="1"/>
  <c r="P396" s="1"/>
  <c r="E485" i="1"/>
  <c r="E491" s="1"/>
  <c r="D854" i="2"/>
  <c r="D795"/>
  <c r="D824" s="1"/>
  <c r="D826" s="1"/>
  <c r="D836" s="1"/>
  <c r="D871" s="1"/>
  <c r="J495" i="1" s="1"/>
  <c r="J496" s="1"/>
  <c r="F845" i="2"/>
  <c r="E826"/>
  <c r="E836" s="1"/>
  <c r="E871" s="1"/>
  <c r="E845"/>
  <c r="D845"/>
  <c r="I325" l="1"/>
  <c r="J322"/>
  <c r="H845"/>
  <c r="I872"/>
  <c r="L842"/>
  <c r="K845"/>
  <c r="L128" i="7"/>
  <c r="C485" i="1"/>
  <c r="G826" i="2"/>
  <c r="G836" s="1"/>
  <c r="G871" s="1"/>
  <c r="H826"/>
  <c r="H836" s="1"/>
  <c r="H7" i="5"/>
  <c r="I795" i="2"/>
  <c r="L155" i="7"/>
  <c r="C824" i="2"/>
  <c r="H9" i="5" s="1"/>
  <c r="C845" i="2"/>
  <c r="H5" i="5"/>
  <c r="L845" i="2" l="1"/>
  <c r="M872" s="1"/>
  <c r="C487" i="1" s="1"/>
  <c r="H12" i="5"/>
  <c r="H871" i="2"/>
  <c r="I873" s="1"/>
  <c r="H837"/>
  <c r="J871"/>
  <c r="K795"/>
  <c r="C826"/>
  <c r="K487" i="1" l="1"/>
  <c r="M487" s="1"/>
  <c r="N487" s="1"/>
  <c r="C490"/>
  <c r="L130" i="7"/>
  <c r="H14" i="5"/>
  <c r="C836" i="2"/>
  <c r="H11" i="5" s="1"/>
  <c r="J826" i="2"/>
  <c r="B116" i="7" l="1"/>
  <c r="L136"/>
  <c r="N155" s="1"/>
  <c r="G490" i="1"/>
  <c r="G491" s="1"/>
  <c r="H491" s="1"/>
  <c r="C491"/>
  <c r="C871" i="2"/>
  <c r="J836"/>
  <c r="K491" i="1" l="1"/>
  <c r="G494"/>
  <c r="H494" s="1"/>
  <c r="I871" i="2"/>
  <c r="G495" i="1"/>
  <c r="M871" i="2"/>
  <c r="M873" s="1"/>
  <c r="M876" s="1"/>
  <c r="G496" i="1" l="1"/>
</calcChain>
</file>

<file path=xl/sharedStrings.xml><?xml version="1.0" encoding="utf-8"?>
<sst xmlns="http://schemas.openxmlformats.org/spreadsheetml/2006/main" count="3444" uniqueCount="1539">
  <si>
    <t>Motor Vehicle Agency Security Reimbursement</t>
  </si>
  <si>
    <t>41-833</t>
  </si>
  <si>
    <t>41-831</t>
  </si>
  <si>
    <t>41-744</t>
  </si>
  <si>
    <t>21-180-2</t>
  </si>
  <si>
    <t>22-195-1</t>
  </si>
  <si>
    <t>22-195-2</t>
  </si>
  <si>
    <t>Office of Aging &amp; Disabled Services</t>
  </si>
  <si>
    <t>27-330-1</t>
  </si>
  <si>
    <t>27-330-2</t>
  </si>
  <si>
    <t>Social Services</t>
  </si>
  <si>
    <t>Division of Consumer Protection</t>
  </si>
  <si>
    <t>Division of Youth Services</t>
  </si>
  <si>
    <t>27-360-2</t>
  </si>
  <si>
    <t>STATUTORY AGENCIES</t>
  </si>
  <si>
    <t>Museum</t>
  </si>
  <si>
    <t>Office of Emergency Management</t>
  </si>
  <si>
    <t>Planning Board</t>
  </si>
  <si>
    <t>COMMENTS OR CHANGES REQUIRED AS A CONDITION OF CERTIFICATION OF DIRECTOR OF LOCAL GOVERNMENT SERVICES</t>
  </si>
  <si>
    <t>Additional Appropriations Offset by Revenues</t>
  </si>
  <si>
    <t>The changes or comments which follow must be considered in connection with further action on this budget.</t>
  </si>
  <si>
    <t>Solid Waste Recycling Tax</t>
  </si>
  <si>
    <t xml:space="preserve">(C)  Capital Improvements </t>
  </si>
  <si>
    <t xml:space="preserve">Total Capital Improvements Excluded from "CAPS" </t>
  </si>
  <si>
    <t xml:space="preserve">Prior Year's Sewer Charges </t>
  </si>
  <si>
    <t xml:space="preserve">Subtotal: </t>
  </si>
  <si>
    <t xml:space="preserve">(brought forward) </t>
  </si>
  <si>
    <t xml:space="preserve">Cap Base Adjustment </t>
  </si>
  <si>
    <t xml:space="preserve">DEPARTMENT OF PUBLIC SAFETY </t>
  </si>
  <si>
    <t xml:space="preserve">Gas </t>
  </si>
  <si>
    <t>Defined Contribution Retirement Program</t>
  </si>
  <si>
    <t>Police and Firemen's Retirement System of N.J.</t>
  </si>
  <si>
    <t>3. Miscellaneous Revenues - Section F: Special Items of General Revenue Anticipated
          With Prior Written Consent of the Director of Local Government Services -
          Public and Private Revenues Offset with Appropriations:</t>
  </si>
  <si>
    <t>3. Miscellaneous Revenues - Section F: Special Items of General Revenue Anticipated
          With Prior Written Consent of the Director of Local Government Services -
          Public and Private Revenues Offset with Appropriations (continued):</t>
  </si>
  <si>
    <t>3. Miscellaneous Revenues - Section G: Special Items of General Revenue Anticipated
          With Prior Written Consent of the Director of Local Government Services -
          Other Special Items:</t>
  </si>
  <si>
    <t>3. Miscellaneous Revenues - Section G: Special Items of General Revenue Anticipated
          With Prior Written Consent of the Director of Local Government Services -
          Other Special Items (continued):</t>
  </si>
  <si>
    <r>
      <t xml:space="preserve">              City             </t>
    </r>
    <r>
      <rPr>
        <b/>
        <sz val="10"/>
        <rFont val="Arial"/>
        <family val="2"/>
      </rPr>
      <t>of</t>
    </r>
    <r>
      <rPr>
        <b/>
        <u/>
        <sz val="10"/>
        <rFont val="Arial"/>
        <family val="2"/>
      </rPr>
      <t xml:space="preserve">          Paterson              </t>
    </r>
    <r>
      <rPr>
        <b/>
        <sz val="10"/>
        <rFont val="Arial"/>
        <family val="2"/>
      </rPr>
      <t>, County of</t>
    </r>
    <r>
      <rPr>
        <b/>
        <u/>
        <sz val="10"/>
        <rFont val="Arial"/>
        <family val="2"/>
      </rPr>
      <t xml:space="preserve">           Passaic       </t>
    </r>
  </si>
  <si>
    <t>MUNICIPAL BUDGET NOTICE</t>
  </si>
  <si>
    <t>Section 1.</t>
  </si>
  <si>
    <r>
      <t>Be It Further Resolved, that said Budget be published in the</t>
    </r>
    <r>
      <rPr>
        <b/>
        <u/>
        <sz val="12"/>
        <rFont val="Arial"/>
        <family val="2"/>
      </rPr>
      <t xml:space="preserve">                           </t>
    </r>
    <r>
      <rPr>
        <u/>
        <sz val="10"/>
        <rFont val="Arial"/>
        <family val="2"/>
      </rPr>
      <t>North Jersey Herald &amp; News</t>
    </r>
    <r>
      <rPr>
        <b/>
        <u/>
        <sz val="12"/>
        <rFont val="Arial"/>
        <family val="2"/>
      </rPr>
      <t xml:space="preserve">                                             </t>
    </r>
  </si>
  <si>
    <t>RECORDED VOTE</t>
  </si>
  <si>
    <t xml:space="preserve">Other Expenses </t>
  </si>
  <si>
    <t xml:space="preserve">Street Repair </t>
  </si>
  <si>
    <t>09-001</t>
  </si>
  <si>
    <t>Uniform Construction Code Fees</t>
  </si>
  <si>
    <t>08-002</t>
  </si>
  <si>
    <t>11-001</t>
  </si>
  <si>
    <t>08-003</t>
  </si>
  <si>
    <t>10-001</t>
  </si>
  <si>
    <t>08-004</t>
  </si>
  <si>
    <t>08-001</t>
  </si>
  <si>
    <t>13-099</t>
  </si>
  <si>
    <t>13-199</t>
  </si>
  <si>
    <t>07-199</t>
  </si>
  <si>
    <t>13-299</t>
  </si>
  <si>
    <t>34-199</t>
  </si>
  <si>
    <t>34-201</t>
  </si>
  <si>
    <t>34-201-1</t>
  </si>
  <si>
    <t>34-201-2</t>
  </si>
  <si>
    <t>34-209</t>
  </si>
  <si>
    <t>34-299</t>
  </si>
  <si>
    <t>34-300</t>
  </si>
  <si>
    <t>22-999</t>
  </si>
  <si>
    <t>42-999</t>
  </si>
  <si>
    <t>34-303</t>
  </si>
  <si>
    <t>40-999</t>
  </si>
  <si>
    <t>34-305</t>
  </si>
  <si>
    <t>34-305-1</t>
  </si>
  <si>
    <t>34-305-2</t>
  </si>
  <si>
    <t>44-999</t>
  </si>
  <si>
    <t>45-999</t>
  </si>
  <si>
    <t>46-999</t>
  </si>
  <si>
    <t>34-309</t>
  </si>
  <si>
    <t>48-999</t>
  </si>
  <si>
    <t>29-409</t>
  </si>
  <si>
    <t>29-410</t>
  </si>
  <si>
    <t>34-399</t>
  </si>
  <si>
    <t>34-400</t>
  </si>
  <si>
    <t>34-499</t>
  </si>
  <si>
    <t>08-599</t>
  </si>
  <si>
    <t>55-599</t>
  </si>
  <si>
    <t>51-101</t>
  </si>
  <si>
    <t>51-885</t>
  </si>
  <si>
    <t>51-899</t>
  </si>
  <si>
    <t>51-920</t>
  </si>
  <si>
    <t>51-925</t>
  </si>
  <si>
    <t>51-999</t>
  </si>
  <si>
    <t>52-101</t>
  </si>
  <si>
    <t>52-885</t>
  </si>
  <si>
    <t>52-899</t>
  </si>
  <si>
    <t>52-920</t>
  </si>
  <si>
    <t>52-925</t>
  </si>
  <si>
    <t>52-999</t>
  </si>
  <si>
    <t>53-101</t>
  </si>
  <si>
    <t>53-885</t>
  </si>
  <si>
    <t>53-899</t>
  </si>
  <si>
    <t>53-920</t>
  </si>
  <si>
    <t>53-925</t>
  </si>
  <si>
    <t>53-999</t>
  </si>
  <si>
    <t>33-199</t>
  </si>
  <si>
    <t>33-299</t>
  </si>
  <si>
    <t>33-399</t>
  </si>
  <si>
    <t>54-190</t>
  </si>
  <si>
    <t>54-113</t>
  </si>
  <si>
    <t>54-299</t>
  </si>
  <si>
    <t>(Insert last name)</t>
  </si>
  <si>
    <t>Ayes</t>
  </si>
  <si>
    <t>Nays</t>
  </si>
  <si>
    <t>Absent  {</t>
  </si>
  <si>
    <t>29-390-1</t>
  </si>
  <si>
    <t>29-390-2</t>
  </si>
  <si>
    <t>21-185-1</t>
  </si>
  <si>
    <t>21-185-2</t>
  </si>
  <si>
    <t>25-252-1</t>
  </si>
  <si>
    <t>25-252-2</t>
  </si>
  <si>
    <t>STATUTORY AGENCIES - (continued)</t>
  </si>
  <si>
    <t>Youth Guidance Council</t>
  </si>
  <si>
    <t>Historic Preservation Commission</t>
  </si>
  <si>
    <t>20-175-1</t>
  </si>
  <si>
    <t>20-175-2</t>
  </si>
  <si>
    <t>Uniform Construction Code -</t>
  </si>
  <si>
    <t>Appropriations Offset by Dedicated
Revenues (N.J.A.C. 5:23-4.17)</t>
  </si>
  <si>
    <t>xxxxxx</t>
  </si>
  <si>
    <t>xxxxxxxxxxx</t>
  </si>
  <si>
    <t>(A) Operations - within "CAPS"- (continued)</t>
  </si>
  <si>
    <t>Community Improvements</t>
  </si>
  <si>
    <t>UNCLASSIFIED:</t>
  </si>
  <si>
    <t>State of N.J.-Dept. of Community Affairs:</t>
  </si>
  <si>
    <t>Bureau of Fire Safety Life Hazard Use</t>
  </si>
  <si>
    <t>Electricity</t>
  </si>
  <si>
    <t>Telephone Service</t>
  </si>
  <si>
    <t>Fuel Oil</t>
  </si>
  <si>
    <t>Director
Division of Local Government Services
Department of Community Affairs
P.O. Box 803
Trenton, NJ  08625</t>
  </si>
  <si>
    <t>B. Contingent</t>
  </si>
  <si>
    <t>Detail:</t>
  </si>
  <si>
    <t>31-430-2</t>
  </si>
  <si>
    <t>31-435-2</t>
  </si>
  <si>
    <t>31-440-2</t>
  </si>
  <si>
    <t>31-446-2</t>
  </si>
  <si>
    <t>31-447-2</t>
  </si>
  <si>
    <t>31-460-2</t>
  </si>
  <si>
    <t>35-470</t>
  </si>
  <si>
    <t>(E) Deferred Charges and Statutory Expenditures -
     Municipal within "CAPS"</t>
  </si>
  <si>
    <t>(1) DEFERRED CHARGES</t>
  </si>
  <si>
    <t>Emergency Authorizations</t>
  </si>
  <si>
    <t>46-870</t>
  </si>
  <si>
    <t>31-410</t>
  </si>
  <si>
    <t>(E) Deferred Charges and Statutory Expenditures -
     Municipal within "CAPS" - (continued)</t>
  </si>
  <si>
    <t>(2) STATUTORY EXPENDITURES:</t>
  </si>
  <si>
    <t>Social Security System (O.A.S.I.)</t>
  </si>
  <si>
    <t>Medicare</t>
  </si>
  <si>
    <t>Unemployment Compensation Insurance</t>
  </si>
  <si>
    <t>Early Retirement PERS</t>
  </si>
  <si>
    <t>Early Retirement PFRS</t>
  </si>
  <si>
    <t>36-471</t>
  </si>
  <si>
    <t>36-472</t>
  </si>
  <si>
    <t>36-474</t>
  </si>
  <si>
    <t>36-475</t>
  </si>
  <si>
    <t>23-220</t>
  </si>
  <si>
    <t>23-225</t>
  </si>
  <si>
    <t>46-885</t>
  </si>
  <si>
    <t>Increased Retirement Allowance
Pursuant to:C143-L-1958</t>
  </si>
  <si>
    <t>Recycling Tonnage Grant</t>
  </si>
  <si>
    <t>Consolidated Police and Firemen's
Pension Fund</t>
  </si>
  <si>
    <t>(A) Operations - Excluded from  "CAPS"</t>
  </si>
  <si>
    <t>Public Defender (P.L. 1997, c.256)</t>
  </si>
  <si>
    <t>43-490-1</t>
  </si>
  <si>
    <t>43-490-2</t>
  </si>
  <si>
    <t>43-495</t>
  </si>
  <si>
    <t>43-495-1</t>
  </si>
  <si>
    <t>43-495-2</t>
  </si>
  <si>
    <t>Social Security</t>
  </si>
  <si>
    <t>31-455</t>
  </si>
  <si>
    <t>29-390</t>
  </si>
  <si>
    <t>(n) Transferred to Board of Education for Use of Local Schools (N.J.S. 40:48-17.1 &amp; 17.3)</t>
  </si>
  <si>
    <r>
      <t xml:space="preserve">MUNICIPALITY  </t>
    </r>
    <r>
      <rPr>
        <b/>
        <u/>
        <sz val="12"/>
        <rFont val="Arial"/>
        <family val="2"/>
      </rPr>
      <t>PATERSON</t>
    </r>
    <r>
      <rPr>
        <b/>
        <sz val="12"/>
        <rFont val="Arial"/>
        <family val="2"/>
      </rPr>
      <t xml:space="preserve">   MUNICIPAL OPEN SPACE, RECREATION, FARMLAND AND HISTORIC PRESERVATION TRUST FUND</t>
    </r>
  </si>
  <si>
    <t>25-240</t>
  </si>
  <si>
    <t>25-250-1</t>
  </si>
  <si>
    <t>Public Assistance Local Share Prior Years</t>
  </si>
  <si>
    <t>37-345</t>
  </si>
  <si>
    <t>Division of Treasury</t>
  </si>
  <si>
    <t>Uniform Construction Code</t>
  </si>
  <si>
    <t>Total Uniform Construction Code Appropriations</t>
  </si>
  <si>
    <t>Interlocal Municipal Service Agreements</t>
  </si>
  <si>
    <t>Additional Appropriations Offset by
Revenues (N.J.S.40A:4-45.3h)</t>
  </si>
  <si>
    <t>Total Additional Appropriations Offset by
Revenues (N.J.S. 40A:4-45.3h)</t>
  </si>
  <si>
    <t>Public and Private Programs Offset by Revenues</t>
  </si>
  <si>
    <t>Public and Private Programs Offset by Revenues (continued)</t>
  </si>
  <si>
    <t>(A) Operations - Excluded from  "CAPS" - (continued)</t>
  </si>
  <si>
    <t>U.S. Department of Justice:</t>
  </si>
  <si>
    <t>U.S. Environmental Protection Agency:</t>
  </si>
  <si>
    <t>U.S. Department of Commerce:</t>
  </si>
  <si>
    <t>U.S. Department of Health &amp; Human Services:</t>
  </si>
  <si>
    <t>U.S. Federal Emergency Management Agency:</t>
  </si>
  <si>
    <t>41-720</t>
  </si>
  <si>
    <t>State of New Jersey-Dept. of Health &amp; Senior Services:</t>
  </si>
  <si>
    <t>Private Host Benefit Fees Prior Year</t>
  </si>
  <si>
    <t>BONDS AND NOTES</t>
  </si>
  <si>
    <t>41-731</t>
  </si>
  <si>
    <t>EXPLANATORY STATEMENT - (Continued)
BUDGET MESSAGE</t>
  </si>
  <si>
    <t>Reserve for Uncollected Taxes</t>
  </si>
  <si>
    <t>NOTE:</t>
  </si>
  <si>
    <t>MANDATORY MINIMUM BUDGET MESSAGE MUST INCLUDE A SUMMARY OF:</t>
  </si>
  <si>
    <t>08-155</t>
  </si>
  <si>
    <t>figures for purposes of citizen understanding.)</t>
  </si>
  <si>
    <t>Sheet 3b</t>
  </si>
  <si>
    <t>Capital Fund (DEP Settlement)</t>
  </si>
  <si>
    <t>(e.g. if Police S&amp;W appears in the regular section and is also under "Operations Excluded from "CAPS" section, combine the</t>
  </si>
  <si>
    <t>DEPARTMENT OF HUMAN SERVICES</t>
  </si>
  <si>
    <t>DEPARTMENT OF HUMAN SERVICES - (continued)</t>
  </si>
  <si>
    <t>BUDGET CATEGORY</t>
  </si>
  <si>
    <r>
      <t xml:space="preserve">CITY
</t>
    </r>
    <r>
      <rPr>
        <u/>
        <sz val="10"/>
        <rFont val="Arial"/>
        <family val="2"/>
      </rPr>
      <t>APPROPRIATIONS</t>
    </r>
  </si>
  <si>
    <r>
      <t xml:space="preserve">OTHER
</t>
    </r>
    <r>
      <rPr>
        <u/>
        <sz val="10"/>
        <rFont val="Arial"/>
        <family val="2"/>
      </rPr>
      <t>APPROPRIATIONS</t>
    </r>
  </si>
  <si>
    <t>Sheet 3b-1</t>
  </si>
  <si>
    <t>Address</t>
  </si>
  <si>
    <t>DO NOT USE THESE SPACES</t>
  </si>
  <si>
    <t>Sheet 1</t>
  </si>
  <si>
    <t>Recycling Tax Appropriation</t>
  </si>
  <si>
    <t>Sheet 3b-3</t>
  </si>
  <si>
    <t>Summary Levy Cap Calculation - (continued)</t>
  </si>
  <si>
    <t>Model Tax Levy Calculation Worksheet - (continued)</t>
  </si>
  <si>
    <t>(Do not advertise this Certification form)</t>
  </si>
  <si>
    <t>It is hereby certified that the amount to be raised by taxation for local purposes has been compared with
the approved Budget previously certified by me and any changes required as a condition to such
approval has been made.  The adopted budget is certified with respect to the foregoing only.</t>
  </si>
  <si>
    <t>STATE OF NEW JERSEY
Department of Community Affairs
Director of the Division of Local Government Services</t>
  </si>
  <si>
    <r>
      <t xml:space="preserve">CERTIFICATION OF </t>
    </r>
    <r>
      <rPr>
        <b/>
        <u/>
        <sz val="10"/>
        <rFont val="Arial"/>
        <family val="2"/>
      </rPr>
      <t xml:space="preserve">ADOPTED </t>
    </r>
    <r>
      <rPr>
        <b/>
        <sz val="10"/>
        <rFont val="Arial"/>
        <family val="2"/>
      </rPr>
      <t>BUDGET</t>
    </r>
  </si>
  <si>
    <r>
      <t xml:space="preserve">CERTIFICATION OF </t>
    </r>
    <r>
      <rPr>
        <b/>
        <u/>
        <sz val="10"/>
        <rFont val="Arial"/>
        <family val="2"/>
      </rPr>
      <t>APPROVED</t>
    </r>
    <r>
      <rPr>
        <b/>
        <sz val="10"/>
        <rFont val="Arial"/>
        <family val="2"/>
      </rPr>
      <t xml:space="preserve"> BUDGET</t>
    </r>
  </si>
  <si>
    <t>It is hereby certified that the Approved Budget made part hereof complies with the requirements of law, and
approval is given pursuant to N.J.S. 40A:4-79.</t>
  </si>
  <si>
    <t>Dated:_____________________________</t>
  </si>
  <si>
    <t>By:_________________________________</t>
  </si>
  <si>
    <t>State of New Jersey - Department of
   Environmental Protection:</t>
  </si>
  <si>
    <t>State of New Jersey - Department of
   Commerce &amp; Economic Development:</t>
  </si>
  <si>
    <t>Urban Enterprise Zone - Admin. Budget</t>
  </si>
  <si>
    <t>41-768</t>
  </si>
  <si>
    <t>19-102</t>
  </si>
  <si>
    <r>
      <t xml:space="preserve">       </t>
    </r>
    <r>
      <rPr>
        <b/>
        <sz val="10"/>
        <rFont val="Arial"/>
        <family val="2"/>
      </rPr>
      <t>Total Surplus Anticipated</t>
    </r>
  </si>
  <si>
    <t>State of New Jersey-Department of Human Services:</t>
  </si>
  <si>
    <t>Passaic County:</t>
  </si>
  <si>
    <t>Library Fringe Benefits:</t>
  </si>
  <si>
    <t>Other:</t>
  </si>
  <si>
    <t>Emergency</t>
  </si>
  <si>
    <t xml:space="preserve">(C) Capital Improvements - Excluded from  "CAPS" </t>
  </si>
  <si>
    <t>Capital Improvement Fund</t>
  </si>
  <si>
    <t>44-902</t>
  </si>
  <si>
    <t>44-901</t>
  </si>
  <si>
    <t>Public and Private Programs Offset by Revenues:</t>
  </si>
  <si>
    <t xml:space="preserve">(D) Municipal Debt Service - Excluded from  "CAPS" </t>
  </si>
  <si>
    <t>Payment of Bond Principal</t>
  </si>
  <si>
    <t>Payment of Bond Anticipation Notes and Capital Notes</t>
  </si>
  <si>
    <t>Interest on Bonds</t>
  </si>
  <si>
    <t>Interest on Notes</t>
  </si>
  <si>
    <t>GREEN TRUST LOAN PROGRAM:</t>
  </si>
  <si>
    <t>Loan Repayments for Principal and Interest</t>
  </si>
  <si>
    <t>Payment of Principal</t>
  </si>
  <si>
    <t>Payment of Interest</t>
  </si>
  <si>
    <t>45-920</t>
  </si>
  <si>
    <t>45-925</t>
  </si>
  <si>
    <t>CAP CALCULATION</t>
  </si>
  <si>
    <t>Allowable Operating Apprpriations before</t>
  </si>
  <si>
    <t xml:space="preserve">Assessed Value of New Construction per </t>
  </si>
  <si>
    <t>Assessor's Certification</t>
  </si>
  <si>
    <t>COLA Rate Ordinance</t>
  </si>
  <si>
    <t>Total Additional</t>
  </si>
  <si>
    <t>Total Allowable Appropriations Within "CAPS"</t>
  </si>
  <si>
    <t xml:space="preserve">Total Exceptions </t>
  </si>
  <si>
    <t>45-930</t>
  </si>
  <si>
    <t>45-935</t>
  </si>
  <si>
    <t>45-940</t>
  </si>
  <si>
    <t>(E) Deferred Charges - Municipal -
        Excluded from "CAPS"</t>
  </si>
  <si>
    <r>
      <t xml:space="preserve">3. AMOUNT TO BE RAISED BY TAXATION FOR </t>
    </r>
    <r>
      <rPr>
        <u/>
        <sz val="10"/>
        <rFont val="Arial"/>
        <family val="2"/>
      </rPr>
      <t xml:space="preserve">SCHOOLS IN TYPE I </t>
    </r>
    <r>
      <rPr>
        <sz val="10"/>
        <rFont val="Arial"/>
        <family val="2"/>
      </rPr>
      <t xml:space="preserve"> SCHOOL DISTRICTS ONLY:
            Item 6, Sheet 42</t>
    </r>
  </si>
  <si>
    <t>2. AMOUNT TO BE RAISED BY TAXATION FOR MUNICIPAL PURPOSES (Item 6(a), Sheet 11a)</t>
  </si>
  <si>
    <t>Item 6 (b), Sheet 11a (N.J.S. 40A:4-14)</t>
  </si>
  <si>
    <r>
      <t xml:space="preserve">4. To Be Added TO THE CERTIFICATE FOR AMOUNT TO BE RAISED BY TAXATION FOR </t>
    </r>
    <r>
      <rPr>
        <u/>
        <sz val="10"/>
        <rFont val="Arial"/>
        <family val="2"/>
      </rPr>
      <t>SCHOOLS  IN TYPE II</t>
    </r>
    <r>
      <rPr>
        <sz val="10"/>
        <rFont val="Arial"/>
        <family val="2"/>
      </rPr>
      <t xml:space="preserve"> SCHOOL DISTRICTS ONLY:
            Item 6(b), Sheet 11a (N.J.S. 40A:4-14)</t>
    </r>
  </si>
  <si>
    <t>Analysis of Compensated Absence Liability</t>
  </si>
  <si>
    <t>(N) Transferred to Board of Education for Use of
      Local Schools (N.J.S.A. 40:48-17.1 &amp; 17.3)</t>
  </si>
  <si>
    <t>29-405</t>
  </si>
  <si>
    <t>37-480</t>
  </si>
  <si>
    <t>(1) DEFERRED CHARGES:</t>
  </si>
  <si>
    <t>Special Emergency Authorizations -
       3 Years (N.J.S. 40A:4-55.1 &amp; 40A:4-55.13)</t>
  </si>
  <si>
    <t>46-875</t>
  </si>
  <si>
    <t>Model Tax Levy Calculation Worksheet</t>
  </si>
  <si>
    <t>Levy Cap Calculation</t>
  </si>
  <si>
    <t>Exclusions:</t>
  </si>
  <si>
    <t>Additions:</t>
  </si>
  <si>
    <t>New Ratables - Increase in Valuations (New Construction
and Additions)</t>
  </si>
  <si>
    <t>Prior Year's Local Municipal Purpose Tax Rate (per $100)</t>
  </si>
  <si>
    <t>New Ratable Adjustment to Levy</t>
  </si>
  <si>
    <t>Amounts approved by Referendum</t>
  </si>
  <si>
    <t>Sheet 3b-2</t>
  </si>
  <si>
    <t>Summary Levy Cap Calculation</t>
  </si>
  <si>
    <t>46-871</t>
  </si>
  <si>
    <t>For Local District School Purposes -
Excluded from "CAPS"</t>
  </si>
  <si>
    <t>Payment of Bond Anticipation Notes</t>
  </si>
  <si>
    <t>48-920</t>
  </si>
  <si>
    <t>48-925</t>
  </si>
  <si>
    <t>48-930</t>
  </si>
  <si>
    <t>48-935</t>
  </si>
  <si>
    <t>Total of Type 1 District School Debt Service
- Excluded from "CAPS"</t>
  </si>
  <si>
    <t>Emergency Authorizations - Schools</t>
  </si>
  <si>
    <t>Capital Project for Land, Building or Equipment
N.J.S. 18A:22-20</t>
  </si>
  <si>
    <t>29-406</t>
  </si>
  <si>
    <t>29-407</t>
  </si>
  <si>
    <t>Total of Deferred Charges and Statutory Expend-
itures - Local School - Excluded from "CAPS"</t>
  </si>
  <si>
    <t>For Local District School Purposes -
Excluded from "CAPS" - (continued)</t>
  </si>
  <si>
    <t>(K) Total Municipal Appropriations for Local District School
Purposes {Items (I) and (J)}-Excluded from "CAPS"</t>
  </si>
  <si>
    <t>50-899</t>
  </si>
  <si>
    <t>Summary of Appropriations</t>
  </si>
  <si>
    <t>(A)  Operations - Excluded from "CAPS"</t>
  </si>
  <si>
    <t>Salaries &amp; Wages Detail Sheet 17A</t>
  </si>
  <si>
    <t>(K)  Local District School Purposes</t>
  </si>
  <si>
    <t>(N)  Transferred to Board of Education</t>
  </si>
  <si>
    <r>
      <t xml:space="preserve">Ayes        </t>
    </r>
    <r>
      <rPr>
        <b/>
        <sz val="48"/>
        <rFont val="Arial"/>
        <family val="2"/>
      </rPr>
      <t>{</t>
    </r>
  </si>
  <si>
    <r>
      <t xml:space="preserve">Nays        </t>
    </r>
    <r>
      <rPr>
        <b/>
        <sz val="48"/>
        <rFont val="Arial"/>
        <family val="2"/>
      </rPr>
      <t>{</t>
    </r>
  </si>
  <si>
    <r>
      <t xml:space="preserve">Abstained </t>
    </r>
    <r>
      <rPr>
        <b/>
        <sz val="14"/>
        <rFont val="Arial"/>
        <family val="2"/>
      </rPr>
      <t>{</t>
    </r>
  </si>
  <si>
    <r>
      <t xml:space="preserve">Absent  </t>
    </r>
    <r>
      <rPr>
        <b/>
        <sz val="14"/>
        <rFont val="Arial"/>
        <family val="2"/>
      </rPr>
      <t>{</t>
    </r>
  </si>
  <si>
    <t>Modified</t>
  </si>
  <si>
    <t>Expended</t>
  </si>
  <si>
    <t>Reserve</t>
  </si>
  <si>
    <t>P.I.L.O.T.S.:</t>
  </si>
  <si>
    <t>Aspen Hamilton</t>
  </si>
  <si>
    <t>Colt Arms</t>
  </si>
  <si>
    <t>Governor Paterson Towers</t>
  </si>
  <si>
    <t>504 Madison Avenue</t>
  </si>
  <si>
    <t>Incca for Housing - Carroll Street</t>
  </si>
  <si>
    <t>Jackson Slater</t>
  </si>
  <si>
    <t>Cooke Building Associates</t>
  </si>
  <si>
    <t>General Government</t>
  </si>
  <si>
    <t>Administration</t>
  </si>
  <si>
    <t>Finance</t>
  </si>
  <si>
    <t>Legal</t>
  </si>
  <si>
    <t>Public Safety</t>
  </si>
  <si>
    <t>Public Works</t>
  </si>
  <si>
    <t>Community Development</t>
  </si>
  <si>
    <t>Human Services</t>
  </si>
  <si>
    <t>Statutory Agencies</t>
  </si>
  <si>
    <t>Grants</t>
  </si>
  <si>
    <t>08-121</t>
  </si>
  <si>
    <t>It is hereby certified that the Budget and Capital Budget annexed hereto and hereby made a part</t>
  </si>
  <si>
    <t>hereof is a true copy of the Budget and Capital Budget approved by resolution of the Governing Body on the</t>
  </si>
  <si>
    <t>Phone Number</t>
  </si>
  <si>
    <r>
      <t>Clerk</t>
    </r>
    <r>
      <rPr>
        <sz val="10"/>
        <rFont val="Arial"/>
      </rPr>
      <t xml:space="preserve">
155 Market Street</t>
    </r>
  </si>
  <si>
    <r>
      <t>Address</t>
    </r>
    <r>
      <rPr>
        <sz val="10"/>
        <rFont val="Arial"/>
      </rPr>
      <t xml:space="preserve">
Paterson, New Jersey 07505-1124</t>
    </r>
  </si>
  <si>
    <r>
      <t>Address</t>
    </r>
    <r>
      <rPr>
        <sz val="10"/>
        <rFont val="Arial"/>
      </rPr>
      <t xml:space="preserve">
(973)  321-1310</t>
    </r>
  </si>
  <si>
    <t>and that public advertisement will be made in accordance with the provisions of N.J.S. 40A:4-6 and
N.J.A.C. 5:30-4.4(d).</t>
  </si>
  <si>
    <t>Cultural Affairs</t>
  </si>
  <si>
    <t>Garret Heights</t>
  </si>
  <si>
    <t>446-460 E. 19th Street</t>
  </si>
  <si>
    <t>Belmont/McBride Apts.</t>
  </si>
  <si>
    <t>Sheltering Arms</t>
  </si>
  <si>
    <t>Less: Prior Year Recycling Tax</t>
  </si>
  <si>
    <t>Hope 98 North Main Scattered Sites</t>
  </si>
  <si>
    <t>Hope 98 Van Houten Street</t>
  </si>
  <si>
    <t>Cable Communication Third Party Rent</t>
  </si>
  <si>
    <t xml:space="preserve">Energy Receipts Tax (P.L. 1997, Chapters 162 &amp; 167) </t>
  </si>
  <si>
    <t>08-152</t>
  </si>
  <si>
    <t>08-154</t>
  </si>
  <si>
    <t>Private Host Benefit Fees</t>
  </si>
  <si>
    <t xml:space="preserve">              The amounts appropriated under the
   title of "Other Expenses" are for operating
   costs other than "Salaries &amp; Wages."</t>
  </si>
  <si>
    <t xml:space="preserve">              Some of the items included in "Other
   Expenses" are:</t>
  </si>
  <si>
    <t xml:space="preserve">              Contractual services for garbage and
   trash removal, fire hydrant service, aid to
   volunteer fire companies, etc.;</t>
  </si>
  <si>
    <t xml:space="preserve">              Materials, supplies and non-bondable
   equipment;</t>
  </si>
  <si>
    <t>Trust Fund Surplus</t>
  </si>
  <si>
    <t>08-158</t>
  </si>
  <si>
    <t>08-161</t>
  </si>
  <si>
    <t>10-720</t>
  </si>
  <si>
    <t>10-785</t>
  </si>
  <si>
    <t>10-731</t>
  </si>
  <si>
    <t>Total Section C:  Dedicated Uniform Construction Code Fees Offset with Appropriations</t>
  </si>
  <si>
    <t>6. Amount to be Raised by Taxes for Support of Municipal Budget:</t>
  </si>
  <si>
    <t>b) Addition to Local District School Tax</t>
  </si>
  <si>
    <t>15-499</t>
  </si>
  <si>
    <t>Total Section E:  Special Items of General Revenue Anticipated with Prior Written Consent of
                           Director of Local Government Services - Additional Revenues</t>
  </si>
  <si>
    <t>Sheet 4</t>
  </si>
  <si>
    <t>Sheet 3a</t>
  </si>
  <si>
    <t>Budget Appropriations - Adopted Budget</t>
  </si>
  <si>
    <t>Budget Appropriations Added by N.J.S. 40A:4-87</t>
  </si>
  <si>
    <t>Emergency Appropriations</t>
  </si>
  <si>
    <t>08-171</t>
  </si>
  <si>
    <t>Total Appropriations</t>
  </si>
  <si>
    <t>This section is included with the Annual Budget pursuant to N.J.A.C. 5:30-4.  It does not in itself confer any authorization to raise or expend funds.</t>
  </si>
  <si>
    <t>in this section must be granted elsewhere, by a separate bond ordinance, by inclusion of a line item in the Capital Improvement Section of this budget, by an</t>
  </si>
  <si>
    <t>ordinance taking the money from the Capital Improvement Fund or other lawful means.</t>
  </si>
  <si>
    <t>CAPITAL BUDGET</t>
  </si>
  <si>
    <t>Total capital expenditures this year do not  exceed $25,000, including appropriations for Capital Improvement fund,
Capital Line Items and Down Payments on Improvements.</t>
  </si>
  <si>
    <t>No bond ordinances are planned this year.</t>
  </si>
  <si>
    <t>- A plan for all capital expenditures for the current fiscal year.
  If no capital Budget is included, check the reason why.</t>
  </si>
  <si>
    <t>- A multi-year list of planned capital projects, including the current year.  Check appropriate box for number of years covered, including current year:</t>
  </si>
  <si>
    <t>CAPITAL IMPROVEMENT PROGRAM</t>
  </si>
  <si>
    <t>3 years. (Population under 10,000)</t>
  </si>
  <si>
    <t>6 years. (Over 10,000 and all county governments)</t>
  </si>
  <si>
    <t xml:space="preserve">  Check if municipality is under 10,000, has not expended more than $25,000 annually for capital purposes in immediately
previous three years, and is not adopting CIP.</t>
  </si>
  <si>
    <t>Sheet 40</t>
  </si>
  <si>
    <t>C-1</t>
  </si>
  <si>
    <t>_____ years. (Exceeding minimum time period)</t>
  </si>
  <si>
    <t>Sheet 40a</t>
  </si>
  <si>
    <t>C-2</t>
  </si>
  <si>
    <t>NARRATIVE FOR CAPITAL IMPROVEMENT PROGRAM</t>
  </si>
  <si>
    <t>Unexpended Balances Canceled</t>
  </si>
  <si>
    <t>Total Expenditures and Unexpended
Balances Cancelled</t>
  </si>
  <si>
    <t>Overexpenditures*</t>
  </si>
  <si>
    <t>General Budget</t>
  </si>
  <si>
    <t>Water Utility</t>
  </si>
  <si>
    <t>Utility</t>
  </si>
  <si>
    <r>
      <t>Expenditures:</t>
    </r>
    <r>
      <rPr>
        <sz val="10"/>
        <rFont val="Arial"/>
        <family val="2"/>
      </rPr>
      <t xml:space="preserve">
           Paid or Charged (Including Reserve for
                                     Uncollected Taxes)</t>
    </r>
  </si>
  <si>
    <t xml:space="preserve">Street Lighting </t>
  </si>
  <si>
    <t>Explanation of Appropriations for
"Other Expenses"</t>
  </si>
  <si>
    <t>Sheet 4a</t>
  </si>
  <si>
    <t>Sheet 5</t>
  </si>
  <si>
    <t>Sheet 5a</t>
  </si>
  <si>
    <t>Sheet 6</t>
  </si>
  <si>
    <t>Sheet 7</t>
  </si>
  <si>
    <t>Sheet 8</t>
  </si>
  <si>
    <t>Sheet 9</t>
  </si>
  <si>
    <t>Sheet 9a</t>
  </si>
  <si>
    <t>Sheet 9b</t>
  </si>
  <si>
    <t>Sheet 9c</t>
  </si>
  <si>
    <t>Sheet 9d</t>
  </si>
  <si>
    <t>Sheet 9e</t>
  </si>
  <si>
    <t>Sheet 9f</t>
  </si>
  <si>
    <t>Sheet 9g</t>
  </si>
  <si>
    <t>Sheet 10</t>
  </si>
  <si>
    <t>Sheet 10a</t>
  </si>
  <si>
    <t>Sheet 10b</t>
  </si>
  <si>
    <t>Sheet 10c</t>
  </si>
  <si>
    <t>Sheet 10d</t>
  </si>
  <si>
    <t>Sheet 11</t>
  </si>
  <si>
    <t>Sheet 11a</t>
  </si>
  <si>
    <t xml:space="preserve">HIV Counseling, Testing and Referral  </t>
  </si>
  <si>
    <t>Hope 98 Beech Street</t>
  </si>
  <si>
    <t>State of New Jersey-Dept. of Treasury:</t>
  </si>
  <si>
    <r>
      <t>*</t>
    </r>
    <r>
      <rPr>
        <b/>
        <sz val="10"/>
        <rFont val="Arial"/>
        <family val="2"/>
      </rPr>
      <t>Fiscal Year Reporting Basis Defined Throughout Budget Document:
 SFY=State Fiscal Year (July 1 thru June 30)</t>
    </r>
  </si>
  <si>
    <t>State of New Jersey - Department of Law &amp; Public Safety:</t>
  </si>
  <si>
    <t>State of New Jersey - Department of Environmental Protection:</t>
  </si>
  <si>
    <t>State Disability</t>
  </si>
  <si>
    <t>State of New Jersey - Department of Commerce &amp; Economic Development:</t>
  </si>
  <si>
    <t>Summary of Appropriations - (continued)</t>
  </si>
  <si>
    <t>Sheet 12</t>
  </si>
  <si>
    <t>Sheet 13</t>
  </si>
  <si>
    <t>Sheet 14</t>
  </si>
  <si>
    <t>Sheet 15</t>
  </si>
  <si>
    <t>Sheet 16</t>
  </si>
  <si>
    <t>Sheet 15a</t>
  </si>
  <si>
    <t>Sheet 15b</t>
  </si>
  <si>
    <t>Sheet 15c</t>
  </si>
  <si>
    <t>Sheet 15d</t>
  </si>
  <si>
    <t>Sheet 15e</t>
  </si>
  <si>
    <t>Sheet 15f</t>
  </si>
  <si>
    <t>Sheet 15g</t>
  </si>
  <si>
    <t>Sheet 15h</t>
  </si>
  <si>
    <t>Sheet 15i</t>
  </si>
  <si>
    <t>Sheet 17</t>
  </si>
  <si>
    <t>Sheet 18</t>
  </si>
  <si>
    <t>Sheet 19</t>
  </si>
  <si>
    <t>Sheet 17a</t>
  </si>
  <si>
    <t>Sheet 19a</t>
  </si>
  <si>
    <t>Capital Lease Obligations Approved Prior To 7/1/2007</t>
  </si>
  <si>
    <t>Capital Lease Obligations Approved After 7/1/2007</t>
  </si>
  <si>
    <t>Principal</t>
  </si>
  <si>
    <t>Interest</t>
  </si>
  <si>
    <t>45-941</t>
  </si>
  <si>
    <t xml:space="preserve">Street Lighting - O.E. </t>
  </si>
  <si>
    <t>Employee Group Health Insurance (P.L. 2007, C.62)</t>
  </si>
  <si>
    <t>44-905</t>
  </si>
  <si>
    <t>Sheet 20</t>
  </si>
  <si>
    <t>Sheet 20a</t>
  </si>
  <si>
    <t>Sheet 21</t>
  </si>
  <si>
    <t>Sheet 22</t>
  </si>
  <si>
    <t>Sheet 23</t>
  </si>
  <si>
    <t>Sheet 24</t>
  </si>
  <si>
    <t>Sheet 24a</t>
  </si>
  <si>
    <t>Sheet 24b</t>
  </si>
  <si>
    <t>Sheet 24c</t>
  </si>
  <si>
    <t>Sheet 24f</t>
  </si>
  <si>
    <t>Sheet 24h</t>
  </si>
  <si>
    <t>Sheet 24i</t>
  </si>
  <si>
    <t>Sheet 24k</t>
  </si>
  <si>
    <t>Sheet 25</t>
  </si>
  <si>
    <t>Sheet 26</t>
  </si>
  <si>
    <t>Sheet 26a</t>
  </si>
  <si>
    <t>Sheet 27</t>
  </si>
  <si>
    <t>Sheet 28</t>
  </si>
  <si>
    <t>Sheet 29</t>
  </si>
  <si>
    <t>Sheet 29a</t>
  </si>
  <si>
    <t>Sheet 30</t>
  </si>
  <si>
    <t>Sheet 30a</t>
  </si>
  <si>
    <t>Councilman William C.  McKoy</t>
  </si>
  <si>
    <t xml:space="preserve">Interest on Investments and Deposits </t>
  </si>
  <si>
    <t xml:space="preserve">Sexually Transmitted Disease Control Program </t>
  </si>
  <si>
    <t xml:space="preserve">Paterson Housing Authority </t>
  </si>
  <si>
    <t xml:space="preserve">200 Godwin Avenue </t>
  </si>
  <si>
    <t xml:space="preserve">PVWC Fire Hydrant Testing Reimbursement </t>
  </si>
  <si>
    <t>Sexually Transmitted Disease Control Program</t>
  </si>
  <si>
    <t>Summary of Revenues - (continued)</t>
  </si>
  <si>
    <t>36-477</t>
  </si>
  <si>
    <t>Shared Service Agreements</t>
  </si>
  <si>
    <t>Total Shared Service Agreements</t>
  </si>
  <si>
    <t>New Jersey Department of Transportation</t>
  </si>
  <si>
    <t>(m) Reserve for Uncollected Taxes (Include Other Reserves if Any)</t>
  </si>
  <si>
    <t xml:space="preserve">          It is hereby certified that the approved Budget annexed hereto and hereby made a part is an exact copy of the original on file with the Clerk of the Governing Body, that all additions are
correct, all statements contained herein are in proof, the total of anticipated revenues equals the total of appropriations and the budget is in full compliance with the Local Budget Law, N.J.S. 40A:4-1 et seq.</t>
  </si>
  <si>
    <t>10. DEDICATED REVENUES FROM WATER UTILITY</t>
  </si>
  <si>
    <t>DEDICATED WATER UTILITY BUDGET</t>
  </si>
  <si>
    <t>Operating Surplus Anticipated</t>
  </si>
  <si>
    <t>Operating Surplus Anticipated with Prior Written
    Consent of Director of Local Government Services</t>
  </si>
  <si>
    <t>Total Operating Surplus Anticipated</t>
  </si>
  <si>
    <t>30-420-1</t>
  </si>
  <si>
    <t>Rents</t>
  </si>
  <si>
    <t>Fire Hydrant Service</t>
  </si>
  <si>
    <t>Miscellaneous</t>
  </si>
  <si>
    <t>Sheet 31</t>
  </si>
  <si>
    <t>Special Items of General Revenue Anticipated with Prior
Written Consent of Director of Local Government Services</t>
  </si>
  <si>
    <t>Deficit (General Budget)</t>
  </si>
  <si>
    <t>Total Water Utility Revenues</t>
  </si>
  <si>
    <t>08-501</t>
  </si>
  <si>
    <t>08-502</t>
  </si>
  <si>
    <t>08-500</t>
  </si>
  <si>
    <t>08-503</t>
  </si>
  <si>
    <t>08-504</t>
  </si>
  <si>
    <t>08-505</t>
  </si>
  <si>
    <t>08-549</t>
  </si>
  <si>
    <r>
      <t xml:space="preserve"> * </t>
    </r>
    <r>
      <rPr>
        <b/>
        <i/>
        <u/>
        <sz val="10"/>
        <rFont val="Arial"/>
        <family val="2"/>
      </rPr>
      <t>Note:</t>
    </r>
    <r>
      <rPr>
        <b/>
        <sz val="10"/>
        <rFont val="Arial"/>
        <family val="2"/>
      </rPr>
      <t xml:space="preserve"> Use pages 31, 32 and 33 for water utility only.</t>
    </r>
  </si>
  <si>
    <t xml:space="preserve"> All other utilities use sheets 34, 35 and 36.</t>
  </si>
  <si>
    <t>DEDICATED WATER UTILITY BUDGET - (continued)</t>
  </si>
  <si>
    <t>11. APPROPRIATIONS FOR WATER UTILITY</t>
  </si>
  <si>
    <t>Anticipated</t>
  </si>
  <si>
    <t>Appropriated</t>
  </si>
  <si>
    <t>Sheet 32</t>
  </si>
  <si>
    <t>Operating:</t>
  </si>
  <si>
    <t>Capital Improvements:</t>
  </si>
  <si>
    <t>Down Payments on Improvements</t>
  </si>
  <si>
    <t>Capital Outlay</t>
  </si>
  <si>
    <t>Payment of Bond Anticipation Notes and
Capital Notes</t>
  </si>
  <si>
    <t>Debt Service:</t>
  </si>
  <si>
    <t>55-501</t>
  </si>
  <si>
    <t>55-502</t>
  </si>
  <si>
    <t>55-510</t>
  </si>
  <si>
    <t>55-511</t>
  </si>
  <si>
    <t>55-512</t>
  </si>
  <si>
    <t>55-520</t>
  </si>
  <si>
    <t>55-521</t>
  </si>
  <si>
    <t>55-522</t>
  </si>
  <si>
    <t>55-523</t>
  </si>
  <si>
    <t>Deferred Charges and Statutory Expenditures</t>
  </si>
  <si>
    <t>DEFERRED CHARGES:</t>
  </si>
  <si>
    <t>55-530</t>
  </si>
  <si>
    <t>STATUTORY EXPENDITURES:</t>
  </si>
  <si>
    <t>Contribution To:
     Public Employees' Retirement System</t>
  </si>
  <si>
    <t>55-540</t>
  </si>
  <si>
    <t>55-541</t>
  </si>
  <si>
    <t>55-542</t>
  </si>
  <si>
    <t>Unemployment Compensation Insurance
  (N.J.S.A. 43:21-3 et. Seq.)</t>
  </si>
  <si>
    <t>Judgements</t>
  </si>
  <si>
    <t>55-531</t>
  </si>
  <si>
    <t>55-532</t>
  </si>
  <si>
    <t>55-545</t>
  </si>
  <si>
    <t>SUMMARY OF ANTICIPATED FUNDING SOURCES AND AMOUNTS</t>
  </si>
  <si>
    <t>7A
General</t>
  </si>
  <si>
    <t>7b
Self
Liquidating</t>
  </si>
  <si>
    <t>7c
Assessment</t>
  </si>
  <si>
    <t>7d
School</t>
  </si>
  <si>
    <t>1
Project Title</t>
  </si>
  <si>
    <t>2
Estimated
Total Cost</t>
  </si>
  <si>
    <t>BUDGET APPROPRIATIONS</t>
  </si>
  <si>
    <t>3b
Future Years</t>
  </si>
  <si>
    <t>4
Capital
Improve-
ment Fund</t>
  </si>
  <si>
    <t>5
Capital
Surplus</t>
  </si>
  <si>
    <t>6
Grants-In-
Aid and
Other Funds</t>
  </si>
  <si>
    <t xml:space="preserve">Interest and Costs on Taxes </t>
  </si>
  <si>
    <t xml:space="preserve">City-wide Recycling Revenues </t>
  </si>
  <si>
    <t xml:space="preserve">Board of Adjustment </t>
  </si>
  <si>
    <t>Sheet 27a</t>
  </si>
  <si>
    <t>10-718</t>
  </si>
  <si>
    <t>TOTALS-
ALL PROJECTS</t>
  </si>
  <si>
    <t>Deficit in Operations in Prior Years</t>
  </si>
  <si>
    <t>Surplus (General Budget)</t>
  </si>
  <si>
    <t>TOTAL WATER UTILITY APPROPRIATIONS</t>
  </si>
  <si>
    <t>Sheet 33</t>
  </si>
  <si>
    <t>Sheet 34</t>
  </si>
  <si>
    <t>Total…………  Utility Revenues</t>
  </si>
  <si>
    <t>Bayonne, N.J.  07002</t>
  </si>
  <si>
    <t>310 Broadway</t>
  </si>
  <si>
    <t>201-437-9000</t>
  </si>
  <si>
    <t>DEDICATED ……………………...   UTILITY BUDGET</t>
  </si>
  <si>
    <t>10. DEDICATED REVENUES FROM
       ………………….  UTILITY</t>
  </si>
  <si>
    <t>DEDICATED ……………………...   UTILITY BUDGET - (continued)</t>
  </si>
  <si>
    <t>11. APPROPRIATIONS FOR
       …………………………….  UTILITY</t>
  </si>
  <si>
    <t>Sheet 35</t>
  </si>
  <si>
    <t>TOTAL …………. UTILITY  APPROPRIATIONS</t>
  </si>
  <si>
    <t>Sheet 36</t>
  </si>
  <si>
    <t>Sheet 37</t>
  </si>
  <si>
    <t>DEDICATED ASSESSMENT BUDGET</t>
  </si>
  <si>
    <t>Assessment Cash</t>
  </si>
  <si>
    <t>Total Assessment Revenues</t>
  </si>
  <si>
    <t>15. APPROPRIATIONS FOR ASSESSMENT DEBT</t>
  </si>
  <si>
    <t>14. DEDICATED REVENUES FROM</t>
  </si>
  <si>
    <t>Total Assessment Appropriations</t>
  </si>
  <si>
    <t>Deficit Water Utility Budget</t>
  </si>
  <si>
    <t>Total  Water Utility Assessment Revenues</t>
  </si>
  <si>
    <t>Total  Water Utility Assessment
Appropriations</t>
  </si>
  <si>
    <t>Surplus Anticipated</t>
  </si>
  <si>
    <t>Miscellaneous Revenues Anticipated</t>
  </si>
  <si>
    <t>Total Amount to be Raised by  Taxation for Schools in Type I School Districts Only</t>
  </si>
  <si>
    <t>Total Revenues</t>
  </si>
  <si>
    <t>Sheet 41</t>
  </si>
  <si>
    <t>07-190</t>
  </si>
  <si>
    <t>07-195</t>
  </si>
  <si>
    <t>07-191</t>
  </si>
  <si>
    <t>SUMMARY OF APPROPRIATIONS</t>
  </si>
  <si>
    <t>5. GENERAL APPROPRIATIONS:</t>
  </si>
  <si>
    <t>Within  "CAPS"</t>
  </si>
  <si>
    <t>(a&amp;b) Operations Including  Contingent</t>
  </si>
  <si>
    <t>(e) Deferred Charges and Statutory Expenditures - Municipal</t>
  </si>
  <si>
    <t>(g) Cash Deficit</t>
  </si>
  <si>
    <t>Excluded from "CAPS"</t>
  </si>
  <si>
    <t>(a) Operations - Total Operations "Excluded from "CAPS"</t>
  </si>
  <si>
    <t>(c) Capital Improvements</t>
  </si>
  <si>
    <t>(d) Municipal Debt Service</t>
  </si>
  <si>
    <t>(f) Judgements</t>
  </si>
  <si>
    <t>(k) For Local District School Purposes</t>
  </si>
  <si>
    <t>6. SCHOOL APPROPRIATIONS - TYPE I SCHOOL DISTRICTS ONLY (N.J.S. 40A:4-13)</t>
  </si>
  <si>
    <t>Sheet 42</t>
  </si>
  <si>
    <t>(e) Deferred Charges - Municipal</t>
  </si>
  <si>
    <t>XXXXXXXX</t>
  </si>
  <si>
    <t>XXXXXXXXXXXXXXXXXXXX</t>
  </si>
  <si>
    <t>DEDICATED WATER UTILITY ASSESSMENT BUDGET</t>
  </si>
  <si>
    <t>DEDICATED ASSESSMENT BUDGET________________________UTILITY</t>
  </si>
  <si>
    <t>Deficit (___________Utility Budget)</t>
  </si>
  <si>
    <t>Total______________Utility Assessment Revenues</t>
  </si>
  <si>
    <t>Total______________Utility
Assessment Appropriations</t>
  </si>
  <si>
    <t>Sheet 38</t>
  </si>
  <si>
    <t>Bequest, Escheat; Construction Code Fees Due Hackensack Meadowlands Development Commission; Outside Employment of Off-Duty Municipal Police</t>
  </si>
  <si>
    <t>RESOLUTION</t>
  </si>
  <si>
    <r>
      <t xml:space="preserve">FAX # :  </t>
    </r>
    <r>
      <rPr>
        <u/>
        <sz val="10"/>
        <rFont val="Arial"/>
        <family val="2"/>
      </rPr>
      <t>(973)  321-1311</t>
    </r>
  </si>
  <si>
    <t>23-210-2</t>
  </si>
  <si>
    <t>23-215-2</t>
  </si>
  <si>
    <t>23-220-2</t>
  </si>
  <si>
    <t>Appropriations Offset by Increased
Fee Revenues (N.J.A.C. 5:23-4.17)</t>
  </si>
  <si>
    <r>
      <t xml:space="preserve">Be it Resolved by the </t>
    </r>
    <r>
      <rPr>
        <u/>
        <sz val="10"/>
        <rFont val="Arial"/>
        <family val="2"/>
      </rPr>
      <t xml:space="preserve">                                Municipal Council                     </t>
    </r>
    <r>
      <rPr>
        <sz val="10"/>
        <rFont val="Arial"/>
        <family val="2"/>
      </rPr>
      <t>of the</t>
    </r>
    <r>
      <rPr>
        <u/>
        <sz val="10"/>
        <rFont val="Arial"/>
        <family val="2"/>
      </rPr>
      <t xml:space="preserve">                                            City                                                    
</t>
    </r>
    <r>
      <rPr>
        <sz val="10"/>
        <rFont val="Arial"/>
        <family val="2"/>
      </rPr>
      <t xml:space="preserve">of </t>
    </r>
    <r>
      <rPr>
        <u/>
        <sz val="10"/>
        <rFont val="Arial"/>
        <family val="2"/>
      </rPr>
      <t xml:space="preserve">                         Paterson                               </t>
    </r>
    <r>
      <rPr>
        <sz val="10"/>
        <rFont val="Arial"/>
        <family val="2"/>
      </rPr>
      <t xml:space="preserve">, County of </t>
    </r>
    <r>
      <rPr>
        <u/>
        <sz val="10"/>
        <rFont val="Arial"/>
        <family val="2"/>
      </rPr>
      <t xml:space="preserve">                        Passaic                             </t>
    </r>
    <r>
      <rPr>
        <sz val="10"/>
        <rFont val="Arial"/>
        <family val="2"/>
      </rPr>
      <t>that the budget hereinbefore set forth is hereby
adopted and shall constitute an appropriation for the purposes stated of the sums therein set forth as appropriations, and authorization of the amount of:</t>
    </r>
  </si>
  <si>
    <t>(a) $</t>
  </si>
  <si>
    <t>(Item 2 below) for municipal purposes, and</t>
  </si>
  <si>
    <t>(Item 3 below) for school purposes in Type I School Districts only (N.J.S. 18A:9-2) to be raised by taxation and,</t>
  </si>
  <si>
    <t>54-385-1</t>
  </si>
  <si>
    <t>54-385-2</t>
  </si>
  <si>
    <t>54-375-1</t>
  </si>
  <si>
    <t>54-375-2</t>
  </si>
  <si>
    <t>54-176-1</t>
  </si>
  <si>
    <t>54-176-2</t>
  </si>
  <si>
    <t>54-915-2</t>
  </si>
  <si>
    <t>54-916-2</t>
  </si>
  <si>
    <t>54-902-2</t>
  </si>
  <si>
    <t>54-920-2</t>
  </si>
  <si>
    <t>54-925-2</t>
  </si>
  <si>
    <t>54-930-2</t>
  </si>
  <si>
    <t>54-935-2</t>
  </si>
  <si>
    <t>54-950-2</t>
  </si>
  <si>
    <t>54-499</t>
  </si>
  <si>
    <t>(Date)</t>
  </si>
  <si>
    <t>(Acres)</t>
  </si>
  <si>
    <t>(Item 4 below)  to be added to the certificate of amount to be raised by taxation for local school purposes in</t>
  </si>
  <si>
    <t>Type II School Districts only (N.J.S. 18A:9-3) and certification to the County Board of Taxation of</t>
  </si>
  <si>
    <t>the following summary of general revenues and appropriations.</t>
  </si>
  <si>
    <t>(b) $</t>
  </si>
  <si>
    <t>(c) $</t>
  </si>
  <si>
    <t>(d) $</t>
  </si>
  <si>
    <t>SUMMARY OF REVENUES</t>
  </si>
  <si>
    <t>1. General Revenues</t>
  </si>
  <si>
    <t>are hereby anticipated as revenue and are hereby appropriated for the purposes to which said revenue is dedicated by statute or other legal requirement."</t>
  </si>
  <si>
    <t>EXPLANATORY STATEMENT
SUMMARY OF CURRRENT FUND SECTION OF APPROVED BUDGET</t>
  </si>
  <si>
    <t>General Appropriations For: (Reference to item and sheet number should be omitted in advertised budget)</t>
  </si>
  <si>
    <t>1. Appropriations within "CAPS" -</t>
  </si>
  <si>
    <t>2. Appropriations excluded from "CAPS"</t>
  </si>
  <si>
    <t>(b) Local District School Purposes in Municipal  (Item K, Sheet 29a)</t>
  </si>
  <si>
    <t>6. Difference: Amount to be Raised by Taxes for Support of Municipal Budget (as follows)</t>
  </si>
  <si>
    <t>Sheet 3</t>
  </si>
  <si>
    <t>XXXXXXXXXXXXXXX</t>
  </si>
  <si>
    <t>(Insert additional, appropriate titles in space above when applicable, if resolution for rider has been approved by the Director)</t>
  </si>
  <si>
    <t>APPENDIX TO BUDGET STATEMENT</t>
  </si>
  <si>
    <t>COMPARATIVE STATEMENT OF CURRENT FUND OPERATIONS AND CHANGE
IN CURRENT SURPLUS</t>
  </si>
  <si>
    <t>ASSETS</t>
  </si>
  <si>
    <t>Cash and Investments</t>
  </si>
  <si>
    <t>Due from State of N.J. (c. 20, P. L. 1981)</t>
  </si>
  <si>
    <t>Federal and State Grants Receivable</t>
  </si>
  <si>
    <t>Receivables with Offsetting Reserves:</t>
  </si>
  <si>
    <t>Taxes Receivable</t>
  </si>
  <si>
    <t>Tax Title Liens Receivable</t>
  </si>
  <si>
    <t>Property Acquired by Tax Title Lien
Liquidation</t>
  </si>
  <si>
    <t>Other Receivables</t>
  </si>
  <si>
    <t>Frederick J. Tomkins</t>
  </si>
  <si>
    <t>CR00327</t>
  </si>
  <si>
    <t>Total Assets</t>
  </si>
  <si>
    <t>1110100</t>
  </si>
  <si>
    <t>1111000</t>
  </si>
  <si>
    <t>Christopher Columbus Development</t>
  </si>
  <si>
    <t>1110200</t>
  </si>
  <si>
    <t>XXXXXX</t>
  </si>
  <si>
    <t>1110300</t>
  </si>
  <si>
    <t>1110400</t>
  </si>
  <si>
    <t>1110500</t>
  </si>
  <si>
    <t>1110600</t>
  </si>
  <si>
    <t>1110700</t>
  </si>
  <si>
    <t>1110800</t>
  </si>
  <si>
    <t>1110900</t>
  </si>
  <si>
    <t>LIABILITIES, RESERVES AND SURPLUS</t>
  </si>
  <si>
    <t>*Cash Liabilities</t>
  </si>
  <si>
    <t>Reserves for Receivables</t>
  </si>
  <si>
    <t>Surplus</t>
  </si>
  <si>
    <t>Total Liabilities, Reserves and Surplus</t>
  </si>
  <si>
    <t>2110100</t>
  </si>
  <si>
    <t>2110200</t>
  </si>
  <si>
    <t>2110300</t>
  </si>
  <si>
    <t>2220100</t>
  </si>
  <si>
    <t>2220200</t>
  </si>
  <si>
    <t>2220300</t>
  </si>
  <si>
    <t>School Tax Levy Unpaid</t>
  </si>
  <si>
    <t>Less: School Tax Deferred</t>
  </si>
  <si>
    <t>*Balance Included in Above "Cash Liabilities"</t>
  </si>
  <si>
    <t>(Important: This appendix must be included in advertisement of budget.)</t>
  </si>
  <si>
    <t>Sheet 39</t>
  </si>
  <si>
    <t>XXXXXXXXXXXXX</t>
  </si>
  <si>
    <t>Surplus Balance, July 1st</t>
  </si>
  <si>
    <t>2310100</t>
  </si>
  <si>
    <t>2310200</t>
  </si>
  <si>
    <t>2310300</t>
  </si>
  <si>
    <t>2310400</t>
  </si>
  <si>
    <t>2310500</t>
  </si>
  <si>
    <t>2310600</t>
  </si>
  <si>
    <t>2310700</t>
  </si>
  <si>
    <t>2310800</t>
  </si>
  <si>
    <t>2310900</t>
  </si>
  <si>
    <t>2311000</t>
  </si>
  <si>
    <t>2311200</t>
  </si>
  <si>
    <t>2311300</t>
  </si>
  <si>
    <t>2311400</t>
  </si>
  <si>
    <t>2311100</t>
  </si>
  <si>
    <r>
      <t xml:space="preserve">Explanatory Statement  - (continued)
</t>
    </r>
    <r>
      <rPr>
        <b/>
        <sz val="12"/>
        <rFont val="Arial"/>
        <family val="2"/>
      </rPr>
      <t>Budget Message</t>
    </r>
  </si>
  <si>
    <t>Legal basis for benefit
(check applicable items)</t>
  </si>
  <si>
    <t>Gross Days of
Accumulated
Absence</t>
  </si>
  <si>
    <t>Value of Compensated
Absences</t>
  </si>
  <si>
    <t>Approved
Labor
Agreement</t>
  </si>
  <si>
    <t>Local
Ordinance</t>
  </si>
  <si>
    <t>Individual
Employment
Agreements</t>
  </si>
  <si>
    <t>Sheet 3c</t>
  </si>
  <si>
    <t>Sheet 3c-1</t>
  </si>
  <si>
    <r>
      <t xml:space="preserve">Annual List of Change Orders Approved
Pursuant to </t>
    </r>
    <r>
      <rPr>
        <b/>
        <u/>
        <sz val="10"/>
        <rFont val="Arial"/>
        <family val="2"/>
      </rPr>
      <t>N.J.A.C.</t>
    </r>
    <r>
      <rPr>
        <b/>
        <sz val="10"/>
        <rFont val="Arial"/>
        <family val="2"/>
      </rPr>
      <t xml:space="preserve"> 5:30-11</t>
    </r>
  </si>
  <si>
    <r>
      <t xml:space="preserve">Contracting Unit: </t>
    </r>
    <r>
      <rPr>
        <u/>
        <sz val="10"/>
        <rFont val="Arial"/>
        <family val="2"/>
      </rPr>
      <t>City of Paterson</t>
    </r>
  </si>
  <si>
    <t>Sheet 44</t>
  </si>
  <si>
    <t>1.</t>
  </si>
  <si>
    <t>2.</t>
  </si>
  <si>
    <t>3.</t>
  </si>
  <si>
    <t>4.</t>
  </si>
  <si>
    <t>Date</t>
  </si>
  <si>
    <t>Clerk of the Governing Body</t>
  </si>
  <si>
    <t>Sheet 43</t>
  </si>
  <si>
    <t>DEDICATED REVENUES
FROM TRUST FUND</t>
  </si>
  <si>
    <t>Amount To Be Raised
By Taxation</t>
  </si>
  <si>
    <t>Interest Income</t>
  </si>
  <si>
    <t>Reserve Funds:</t>
  </si>
  <si>
    <t>Total Trust Fund Revenues:</t>
  </si>
  <si>
    <t>APPROPRIATIONS</t>
  </si>
  <si>
    <t>Development of Lands for
Recreation and Conservation:</t>
  </si>
  <si>
    <t>Maintenance of Lands for
Recreation and Conservation:</t>
  </si>
  <si>
    <t>Historic Preservation</t>
  </si>
  <si>
    <t>Acquisition of Lands for Recreation
and Conservation</t>
  </si>
  <si>
    <t>Acquisition of Farmland</t>
  </si>
  <si>
    <t>Payment of Bond Anticipation
Notes and Capital Notes</t>
  </si>
  <si>
    <t>Reserve for Future Use</t>
  </si>
  <si>
    <t>Total Trust Fund Appropriations:</t>
  </si>
  <si>
    <t>Summary of Program</t>
  </si>
  <si>
    <t>Year Referendum Passed/Implemented:</t>
  </si>
  <si>
    <t>Rate Assessed:</t>
  </si>
  <si>
    <t>Total Tax Collected to date</t>
  </si>
  <si>
    <t>Total Expended to  date:</t>
  </si>
  <si>
    <t>Total Acreage Preserved to date</t>
  </si>
  <si>
    <t>Delinquent Taxes</t>
  </si>
  <si>
    <t>Other Revenues and Additions to Income</t>
  </si>
  <si>
    <t>Total Funds</t>
  </si>
  <si>
    <t>School Taxes (Including Local and Regional</t>
  </si>
  <si>
    <t>County Taxes (Including Added Tax Amounts)</t>
  </si>
  <si>
    <t>Special District Taxes</t>
  </si>
  <si>
    <t>Other Expenditures and Deductions from Income</t>
  </si>
  <si>
    <t>Total Expenditures and Tax Requirements</t>
  </si>
  <si>
    <t>Less: Expenditures to be Raised by Future Taxes</t>
  </si>
  <si>
    <t>Total Adjusted Expenditures and Tax Requirements</t>
  </si>
  <si>
    <t>*Nearest even percentage may be used</t>
  </si>
  <si>
    <t>2311500</t>
  </si>
  <si>
    <t>2311600</t>
  </si>
  <si>
    <t>2311700</t>
  </si>
  <si>
    <t>EXPENDITURES AND TAX REQUIREMENTS:
            Municipal Appropriations</t>
  </si>
  <si>
    <t>Surplus Balance Remaining</t>
  </si>
  <si>
    <t>Surplus Balance - June 30th</t>
  </si>
  <si>
    <t>1. Surplus Anticipated</t>
  </si>
  <si>
    <t>2. Surplus Anticipated with Prior Consent of Director of Local Government Services</t>
  </si>
  <si>
    <t>3. Miscellaneous Revenues - Section A: Local Revenues</t>
  </si>
  <si>
    <t>08-101</t>
  </si>
  <si>
    <t>GENERAL REVENUES</t>
  </si>
  <si>
    <t>FCOA</t>
  </si>
  <si>
    <t>CURRENT FUND - ANTICIPATED REVENUES</t>
  </si>
  <si>
    <t>SFY</t>
  </si>
  <si>
    <t>Sheet 2</t>
  </si>
  <si>
    <r>
      <t>Notice is hereby given that the Budget and Tax Resolution was approved by the</t>
    </r>
    <r>
      <rPr>
        <b/>
        <u/>
        <sz val="12"/>
        <rFont val="Arial"/>
        <family val="2"/>
      </rPr>
      <t xml:space="preserve">         </t>
    </r>
    <r>
      <rPr>
        <u/>
        <sz val="10"/>
        <rFont val="Arial"/>
        <family val="2"/>
      </rPr>
      <t>Municipal Council</t>
    </r>
    <r>
      <rPr>
        <b/>
        <u/>
        <sz val="12"/>
        <rFont val="Arial"/>
        <family val="2"/>
      </rPr>
      <t xml:space="preserve">          </t>
    </r>
    <r>
      <rPr>
        <b/>
        <sz val="12"/>
        <rFont val="Arial"/>
        <family val="2"/>
      </rPr>
      <t>of the</t>
    </r>
    <r>
      <rPr>
        <b/>
        <u/>
        <sz val="12"/>
        <rFont val="Arial"/>
        <family val="2"/>
      </rPr>
      <t xml:space="preserve">    </t>
    </r>
    <r>
      <rPr>
        <u/>
        <sz val="10"/>
        <rFont val="Arial"/>
        <family val="2"/>
      </rPr>
      <t>City</t>
    </r>
    <r>
      <rPr>
        <b/>
        <u/>
        <sz val="12"/>
        <rFont val="Arial"/>
        <family val="2"/>
      </rPr>
      <t xml:space="preserve">      </t>
    </r>
  </si>
  <si>
    <t xml:space="preserve">              Repairs and maintenance of buildings,
   equipment, roads, etc.</t>
  </si>
  <si>
    <t>Rather it is a document used as part of the local unit's planning and management program.  Specific authorization to expend funds for purposes described</t>
  </si>
  <si>
    <t>Abstained {</t>
  </si>
  <si>
    <t>taxpayers or other interested persons.</t>
  </si>
  <si>
    <t>Sheet 1a</t>
  </si>
  <si>
    <t>Realized in Cash</t>
  </si>
  <si>
    <t xml:space="preserve">                         Anticipated</t>
  </si>
  <si>
    <t>08-102</t>
  </si>
  <si>
    <t>08-100</t>
  </si>
  <si>
    <t>08-103</t>
  </si>
  <si>
    <t>08-104</t>
  </si>
  <si>
    <t>08-105</t>
  </si>
  <si>
    <t>08-110</t>
  </si>
  <si>
    <t>08-109</t>
  </si>
  <si>
    <t>08-112</t>
  </si>
  <si>
    <t>08-115</t>
  </si>
  <si>
    <t>08-113</t>
  </si>
  <si>
    <t>08-114</t>
  </si>
  <si>
    <t>xxxxxxxx</t>
  </si>
  <si>
    <t>xxxxxxxxxxxxxxxxx</t>
  </si>
  <si>
    <t>xxxxxxxxxxxxxxxx</t>
  </si>
  <si>
    <t>Licenses:</t>
  </si>
  <si>
    <t>Other</t>
  </si>
  <si>
    <t>Fees and Permits</t>
  </si>
  <si>
    <t>Fines and Costs:</t>
  </si>
  <si>
    <t>Municipal Court</t>
  </si>
  <si>
    <t>3. Miscellaneous Revenues - Section A: Local Revenues (continued)</t>
  </si>
  <si>
    <t>Department of Public Works</t>
  </si>
  <si>
    <t>Division of Health</t>
  </si>
  <si>
    <t>Board of Adjustment</t>
  </si>
  <si>
    <t>Sale of Copies of Public Records</t>
  </si>
  <si>
    <t>Ambulance Fees</t>
  </si>
  <si>
    <t>Municipal Towing Contract Fees</t>
  </si>
  <si>
    <t>Municipal Sewer Use Charges - Current Year</t>
  </si>
  <si>
    <t>08-120</t>
  </si>
  <si>
    <t>08-117</t>
  </si>
  <si>
    <t>Fire Dept. Combustibles Inspection Revenues</t>
  </si>
  <si>
    <t>Livery &amp; Taxi License Fees</t>
  </si>
  <si>
    <t>08-118</t>
  </si>
  <si>
    <t>08-119</t>
  </si>
  <si>
    <t>3. Miscellaneous Revenues - Section B: State Aid Without Offsetting Appropriations</t>
  </si>
  <si>
    <t>Extraordinary Aid (N.J.S.A. 52:27D-118.35)</t>
  </si>
  <si>
    <t>Consolidated Municipal Property Tax Relief Aid</t>
  </si>
  <si>
    <t>Supplemental Energy Receipts Tax</t>
  </si>
  <si>
    <t>09-204</t>
  </si>
  <si>
    <t>09-200</t>
  </si>
  <si>
    <t>09-202</t>
  </si>
  <si>
    <t>09-203</t>
  </si>
  <si>
    <t>Building Aid Allowance for Schools</t>
  </si>
  <si>
    <t>Watershed Moratorium Offset Aid</t>
  </si>
  <si>
    <t>09-212</t>
  </si>
  <si>
    <t>09-213</t>
  </si>
  <si>
    <t>09-214</t>
  </si>
  <si>
    <t>3. Miscellaneous Revenues - Section C: Dedicated Uniform Construction Code Fees</t>
  </si>
  <si>
    <t>Offset with Appropriations (N.J.S. 40A:4-36 and N.J.A.C. 5:23-4.17)</t>
  </si>
  <si>
    <t>08-160</t>
  </si>
  <si>
    <t>Councilman Andre Sayegh</t>
  </si>
  <si>
    <t>Councilman Julio Tavarez</t>
  </si>
  <si>
    <t>Uniform Construction Code Fee</t>
  </si>
  <si>
    <t>CURRENT FUND - ANTICIPATED REVENUES - (Continued)</t>
  </si>
  <si>
    <t xml:space="preserve">Special Item of General Revenue Anticipated with Prior Written
Consent of Director of Local Government Services:                              </t>
  </si>
  <si>
    <t>Total Section C: Dedicated Uniform Construction Code Fees Offset with Appropriations</t>
  </si>
  <si>
    <t>10-725</t>
  </si>
  <si>
    <t>41-725</t>
  </si>
  <si>
    <t>Fees and Permits:</t>
  </si>
  <si>
    <t>Construction Code Official</t>
  </si>
  <si>
    <t>10-839</t>
  </si>
  <si>
    <t>41-839</t>
  </si>
  <si>
    <t>Additional Dedicated Uniform Construction Code Fees Offset with Appropriations
(N.J.S. 40A:4-45.3h and N.J.A.C. 5:23-4.17):</t>
  </si>
  <si>
    <t>Total Section E: Special Item of General Revenue Anticipated with Prior Written</t>
  </si>
  <si>
    <t>Consent of Director of Local Government Services - Additional Revenues</t>
  </si>
  <si>
    <t>Public Health Priority Funding - 1977</t>
  </si>
  <si>
    <t>N.J. Transportation Trust Fund Authority Act</t>
  </si>
  <si>
    <t>Drunk Driving Enforcement Fund</t>
  </si>
  <si>
    <t>Clean Communities Program</t>
  </si>
  <si>
    <t>Alcohol Education and Rehabilitation Fund</t>
  </si>
  <si>
    <t>Safe and Secure Communities Program - P.L. 1995, Chapter 220</t>
  </si>
  <si>
    <t>Neighborhood Preservation - Balanced Housing</t>
  </si>
  <si>
    <t>Handicapped Recreation Opportunities Grant</t>
  </si>
  <si>
    <t>10-865</t>
  </si>
  <si>
    <t>10-701</t>
  </si>
  <si>
    <t>10-745</t>
  </si>
  <si>
    <t>10-770</t>
  </si>
  <si>
    <t>10-702</t>
  </si>
  <si>
    <t>10-703</t>
  </si>
  <si>
    <t>10-704</t>
  </si>
  <si>
    <t>10-705</t>
  </si>
  <si>
    <t>10-706</t>
  </si>
  <si>
    <t>Total Section F: Special Items of General Revenue Anticipated with Prior Written</t>
  </si>
  <si>
    <t>Utility Operating Surplus of Prior Year</t>
  </si>
  <si>
    <t>08-116</t>
  </si>
  <si>
    <t>08-106</t>
  </si>
  <si>
    <t>Uniform Fire Safety Act</t>
  </si>
  <si>
    <t>Total Section G: Special Items of General Revenue Anticipated with Prior Written</t>
  </si>
  <si>
    <t>STATE FISCAL YEAR</t>
  </si>
  <si>
    <t>Mayor's  Name</t>
  </si>
  <si>
    <t>Term Expires</t>
  </si>
  <si>
    <t>Municipal Officials</t>
  </si>
  <si>
    <t>Tax Collector</t>
  </si>
  <si>
    <t>Date of Orig. Appt.</t>
  </si>
  <si>
    <t>Cert. No.</t>
  </si>
  <si>
    <t>Cert No.</t>
  </si>
  <si>
    <t>Lic No.</t>
  </si>
  <si>
    <t>Chief Financial Officer</t>
  </si>
  <si>
    <t>Registered Municipal Accountant</t>
  </si>
  <si>
    <t>Official Mailing Address of Municipality</t>
  </si>
  <si>
    <t>155 Market Street</t>
  </si>
  <si>
    <t>Paterson, New Jersey 07505</t>
  </si>
  <si>
    <t>Kathleen Gibson</t>
  </si>
  <si>
    <t>Governing Body Members</t>
  </si>
  <si>
    <t>Name</t>
  </si>
  <si>
    <t>Councilman Kenneth Morris</t>
  </si>
  <si>
    <t>Sheet A</t>
  </si>
  <si>
    <t>Division Use Only</t>
  </si>
  <si>
    <t>Municode:_________________</t>
  </si>
  <si>
    <t>Public Hearing Date:_________</t>
  </si>
  <si>
    <t>{</t>
  </si>
  <si>
    <r>
      <t>MUNICIPALITY:</t>
    </r>
    <r>
      <rPr>
        <sz val="12"/>
        <rFont val="Arial"/>
        <family val="2"/>
      </rPr>
      <t xml:space="preserve">     </t>
    </r>
    <r>
      <rPr>
        <u/>
        <sz val="12"/>
        <rFont val="Arial"/>
        <family val="2"/>
      </rPr>
      <t xml:space="preserve">City of Paterson </t>
    </r>
    <r>
      <rPr>
        <sz val="12"/>
        <rFont val="Arial"/>
        <family val="2"/>
      </rPr>
      <t xml:space="preserve">                           </t>
    </r>
    <r>
      <rPr>
        <b/>
        <sz val="12"/>
        <rFont val="Arial"/>
        <family val="2"/>
      </rPr>
      <t>COUNTY:</t>
    </r>
    <r>
      <rPr>
        <sz val="12"/>
        <rFont val="Arial"/>
        <family val="2"/>
      </rPr>
      <t xml:space="preserve">     </t>
    </r>
    <r>
      <rPr>
        <u/>
        <sz val="12"/>
        <rFont val="Arial"/>
        <family val="2"/>
      </rPr>
      <t>Passaic</t>
    </r>
  </si>
  <si>
    <t>Summary of Revenues</t>
  </si>
  <si>
    <t>1. Surplus Anticipated (Sheet 4, #1)</t>
  </si>
  <si>
    <t>Organization/Department Eligible for Benefit</t>
  </si>
  <si>
    <t>10-749</t>
  </si>
  <si>
    <t>2. Surplus Anticipated with Prior Written Consent of Director of Local Government Services (Sheet 4, #2)</t>
  </si>
  <si>
    <t>3. Miscellaneous Revenues:</t>
  </si>
  <si>
    <t>CURRENT FUND - APPROPRIATIONS</t>
  </si>
  <si>
    <t>8. GENERAL APPROPRIATIONS</t>
  </si>
  <si>
    <t>(A) Operations - within "CAPS"</t>
  </si>
  <si>
    <t>Paid or
Charged</t>
  </si>
  <si>
    <t xml:space="preserve">                 Appropriated</t>
  </si>
  <si>
    <t>Reserved</t>
  </si>
  <si>
    <t xml:space="preserve">Salaries &amp; Wages </t>
  </si>
  <si>
    <t>Other Expenses</t>
  </si>
  <si>
    <t>City Council</t>
  </si>
  <si>
    <t>Office of the City Clerk</t>
  </si>
  <si>
    <t>Elections</t>
  </si>
  <si>
    <t>Insurance</t>
  </si>
  <si>
    <t>20-110-1</t>
  </si>
  <si>
    <t>20-110-2</t>
  </si>
  <si>
    <t>20-120-1</t>
  </si>
  <si>
    <t>20-120-2</t>
  </si>
  <si>
    <t>23-220-1</t>
  </si>
  <si>
    <t>Office of the Mayor</t>
  </si>
  <si>
    <t>GENERAL GOVERNMENT</t>
  </si>
  <si>
    <t>GENERAL GOVERNMENT - (continued)</t>
  </si>
  <si>
    <t>Auditing Services &amp; Costs</t>
  </si>
  <si>
    <t>Annual Audit</t>
  </si>
  <si>
    <t>Other Audits</t>
  </si>
  <si>
    <t>20-135-2</t>
  </si>
  <si>
    <t>30-420-2</t>
  </si>
  <si>
    <t>DEPARTMENT OF ADMINISTRATION</t>
  </si>
  <si>
    <t>Office of the Business Administrator</t>
  </si>
  <si>
    <t>Salaries &amp; Wages</t>
  </si>
  <si>
    <t>Division of Personnel</t>
  </si>
  <si>
    <t>20-100-1</t>
  </si>
  <si>
    <t>20-100-2</t>
  </si>
  <si>
    <t>20-105-1</t>
  </si>
  <si>
    <t>20-105-2</t>
  </si>
  <si>
    <t>DEPARTMENT OF ADMINISTRATION - (continued)</t>
  </si>
  <si>
    <t>Division of Purchasing</t>
  </si>
  <si>
    <t>Division of Data Processing</t>
  </si>
  <si>
    <t>CAPITAL BUDGET (Current Year Action)</t>
  </si>
  <si>
    <r>
      <t xml:space="preserve">Local Unit   </t>
    </r>
    <r>
      <rPr>
        <b/>
        <u/>
        <sz val="12"/>
        <rFont val="Arial"/>
        <family val="2"/>
      </rPr>
      <t xml:space="preserve">         </t>
    </r>
    <r>
      <rPr>
        <u/>
        <sz val="10"/>
        <rFont val="Arial"/>
        <family val="2"/>
      </rPr>
      <t>City of Paterson</t>
    </r>
    <r>
      <rPr>
        <b/>
        <u/>
        <sz val="12"/>
        <rFont val="Arial"/>
        <family val="2"/>
      </rPr>
      <t xml:space="preserve">     </t>
    </r>
  </si>
  <si>
    <t>1
PROJECT TITLE</t>
  </si>
  <si>
    <t>2
PROJECT
NUMBER</t>
  </si>
  <si>
    <t>3
ESTIMATED
TOTAL
COST</t>
  </si>
  <si>
    <t>4
AMOUNTS
RESERVED
IN PRIOR
YEARS</t>
  </si>
  <si>
    <t>6
TO BE
FUNDED IN
FUTURE
YEARS</t>
  </si>
  <si>
    <t>08-165</t>
  </si>
  <si>
    <t>Rising Dove Senior Housing</t>
  </si>
  <si>
    <t xml:space="preserve">Capital Surplus  </t>
  </si>
  <si>
    <t>08-180</t>
  </si>
  <si>
    <t>5b
Capital Im-
provement Fund</t>
  </si>
  <si>
    <t>5c
Capital
Surplus</t>
  </si>
  <si>
    <t>5d
Grants in Aid
and Other
Funds</t>
  </si>
  <si>
    <t>5e
Debt
Authorized</t>
  </si>
  <si>
    <t>C-3</t>
  </si>
  <si>
    <t>Sheet 40b</t>
  </si>
  <si>
    <t>TOTALS-ALL PROJECTS</t>
  </si>
  <si>
    <t>Sheet 40c</t>
  </si>
  <si>
    <t>C-4</t>
  </si>
  <si>
    <t>Anticipated Project Schedule and Funding Requirements</t>
  </si>
  <si>
    <t>4
ESTIMATED
COMPLETION
TIME</t>
  </si>
  <si>
    <t>41-834</t>
  </si>
  <si>
    <t>Recycling Tire Fees</t>
  </si>
  <si>
    <t>Housing Authority Garbage Reimbursement</t>
  </si>
  <si>
    <t>08-172</t>
  </si>
  <si>
    <t>Sheet 40d</t>
  </si>
  <si>
    <t>C-5</t>
  </si>
  <si>
    <t>DEPARTMENT OF FINANCE</t>
  </si>
  <si>
    <t>Office of the Director</t>
  </si>
  <si>
    <t>20-140-1</t>
  </si>
  <si>
    <t>20-140-2</t>
  </si>
  <si>
    <t>20-130-1</t>
  </si>
  <si>
    <t>20-130-2</t>
  </si>
  <si>
    <t>DEPARTMENT OF FINANCE - (continued)</t>
  </si>
  <si>
    <t>08-167</t>
  </si>
  <si>
    <t>Division of Accounts &amp; Control</t>
  </si>
  <si>
    <t>Division of Sewer Collection</t>
  </si>
  <si>
    <t>Division of Assessments</t>
  </si>
  <si>
    <t>Division of Revenue Collection</t>
  </si>
  <si>
    <t>20-145-1</t>
  </si>
  <si>
    <t>20-145-2</t>
  </si>
  <si>
    <t>20-150-1</t>
  </si>
  <si>
    <t>20-150-2</t>
  </si>
  <si>
    <t>(J) Deferred Charges and Statutory Expenditures
    - Local School - Excluded from "CAPS"</t>
  </si>
  <si>
    <t>Office of Internal Audit</t>
  </si>
  <si>
    <t>DEPARTMENT OF LAW</t>
  </si>
  <si>
    <t>Office of the Corporation Counsel</t>
  </si>
  <si>
    <t>20-135-1</t>
  </si>
  <si>
    <t>20-155-1</t>
  </si>
  <si>
    <t>20-155-2</t>
  </si>
  <si>
    <t>25-240-1</t>
  </si>
  <si>
    <t>25-240-2</t>
  </si>
  <si>
    <t>Taxicab Division</t>
  </si>
  <si>
    <t>Division of Fire</t>
  </si>
  <si>
    <t>Division of Police</t>
  </si>
  <si>
    <t>U.S. Department of Energy:</t>
  </si>
  <si>
    <t>Animal Control</t>
  </si>
  <si>
    <t>25-265-1</t>
  </si>
  <si>
    <t>25-265-2</t>
  </si>
  <si>
    <t>27-340-1</t>
  </si>
  <si>
    <t>27-340-2</t>
  </si>
  <si>
    <t>DEPARTMENT OF PUBLIC WORKS</t>
  </si>
  <si>
    <t>Division of Engineering</t>
  </si>
  <si>
    <t>Division of Traffic &amp; Lighting</t>
  </si>
  <si>
    <t>Division of Water and Sewers</t>
  </si>
  <si>
    <t>Sewer Repairs</t>
  </si>
  <si>
    <t>26-290-1</t>
  </si>
  <si>
    <t>26-290-2</t>
  </si>
  <si>
    <t>20-165-1</t>
  </si>
  <si>
    <t>20-165-2</t>
  </si>
  <si>
    <t>26-311-1</t>
  </si>
  <si>
    <t>26-311-2</t>
  </si>
  <si>
    <t>DEPARTMENT OF PUBLIC WORKS - (continued)</t>
  </si>
  <si>
    <t>Division of Streets</t>
  </si>
  <si>
    <t>Snow Removal</t>
  </si>
  <si>
    <t>Division of Auto Maintenance</t>
  </si>
  <si>
    <t>Division of Public Properties</t>
  </si>
  <si>
    <t>Parks and Shade Trees Section</t>
  </si>
  <si>
    <t>Public Buildings Section</t>
  </si>
  <si>
    <t>26-315-1</t>
  </si>
  <si>
    <t>26-315-2</t>
  </si>
  <si>
    <t>28-375-1</t>
  </si>
  <si>
    <t>28-375-2</t>
  </si>
  <si>
    <t>Division of Recreation</t>
  </si>
  <si>
    <t>Division of Recycling</t>
  </si>
  <si>
    <t>Cable Communications</t>
  </si>
  <si>
    <t>26-310-1</t>
  </si>
  <si>
    <t>26-310-2</t>
  </si>
  <si>
    <t>28-370-1</t>
  </si>
  <si>
    <t>28-370-2</t>
  </si>
  <si>
    <t>26-305-1</t>
  </si>
  <si>
    <t>26-305-2</t>
  </si>
  <si>
    <t>26-300-1</t>
  </si>
  <si>
    <t>26-300-2</t>
  </si>
  <si>
    <t>DEPARTMENT OF COMMUNITY DEVELOPMENT</t>
  </si>
  <si>
    <t>Division of Planning &amp; Zoning</t>
  </si>
  <si>
    <t>Division of Community Improvements</t>
  </si>
  <si>
    <t>21-180-1</t>
  </si>
  <si>
    <t>10-831</t>
  </si>
  <si>
    <t>10-833</t>
  </si>
  <si>
    <r>
      <t xml:space="preserve">DEPARTMENT OF PUBLIC SAFETY </t>
    </r>
    <r>
      <rPr>
        <sz val="10"/>
        <rFont val="Arial"/>
        <family val="2"/>
      </rPr>
      <t>- continued</t>
    </r>
  </si>
  <si>
    <t>40-702</t>
  </si>
  <si>
    <t>10-744</t>
  </si>
  <si>
    <t>Rosa Park - 400 Broadway</t>
  </si>
  <si>
    <t xml:space="preserve">(b) Addition to Local District School Tax (Item 6(b), Sheet 11a) </t>
  </si>
  <si>
    <t>3. Miscellaneous Revenues - Section D: Special Items of General Revenue Anticipated
          With Prior Written Consent of the Director of Local Government Services - 
          Shared Service Agreements Offset With Appropriations:</t>
  </si>
  <si>
    <t>Open Space Pilot Aid (Garden State Trust)</t>
  </si>
  <si>
    <t xml:space="preserve"> </t>
  </si>
  <si>
    <t>Emergency Authorizations - Insurance</t>
  </si>
  <si>
    <t>X</t>
  </si>
  <si>
    <t>41-734</t>
  </si>
  <si>
    <t>Sheet 10e</t>
  </si>
  <si>
    <t>08-162</t>
  </si>
  <si>
    <t xml:space="preserve">Less: Prior Year Deferred Charges to Future Taxation Unfunded </t>
  </si>
  <si>
    <t>Receipts from Delinquent Taxes and Additional Receipts from Delinguent Taxes</t>
  </si>
  <si>
    <t xml:space="preserve">Public Health Preparedness &amp; Response for Bioterrorism  </t>
  </si>
  <si>
    <t>Federation Apartments</t>
  </si>
  <si>
    <t xml:space="preserve">Sewer Rent - Third Party </t>
  </si>
  <si>
    <t xml:space="preserve">4a. Additional Receipts from Delinguent Taxes </t>
  </si>
  <si>
    <t xml:space="preserve">Payment of Bond Principal </t>
  </si>
  <si>
    <t xml:space="preserve">Interest on Bonds </t>
  </si>
  <si>
    <t xml:space="preserve">(F) Judgements (N.J.S. 40A:4-45.3cc) </t>
  </si>
  <si>
    <t xml:space="preserve">(F)  Judgements </t>
  </si>
  <si>
    <t xml:space="preserve">Deferred Charges to Future Taxation Unfunded </t>
  </si>
  <si>
    <t>Cash Deficit of Preceding Year</t>
  </si>
  <si>
    <t>Exceptions Less:</t>
  </si>
  <si>
    <t xml:space="preserve">Total Other Operations </t>
  </si>
  <si>
    <t>Total Public - Private Offset</t>
  </si>
  <si>
    <t>Total Capital Improvement</t>
  </si>
  <si>
    <t xml:space="preserve">Total Debt Service </t>
  </si>
  <si>
    <t xml:space="preserve">Total Deferred Charges </t>
  </si>
  <si>
    <t>Total Approp for School Purp</t>
  </si>
  <si>
    <t>Additional Exceptions per N.J.S.A. 40A:4-45.3</t>
  </si>
  <si>
    <t xml:space="preserve">Division of Economic Development </t>
  </si>
  <si>
    <t>(c) Minimum Library Tax</t>
  </si>
  <si>
    <t>3. A SUMMARY BY FUNCTION OF THE APPROPRIATIONS THAT ARE SPREAD AMONG MORE THAN ONE OFFICIAL LINE ITEM</t>
  </si>
  <si>
    <t>4. INFORMATION OR A SCHEDULE SHOWING THE AMOUNTS CONTRIBUTED FROM EMPLOYEES, THE EMPLOYER SHARE</t>
  </si>
  <si>
    <t>AND THE TOTAL COST OF HEALTH CARE COVERAGE (Refer to LFN 2011-4).</t>
  </si>
  <si>
    <t>8. FINAL YEAR GRANT AWARDS</t>
  </si>
  <si>
    <t>07-192</t>
  </si>
  <si>
    <t>300000-00</t>
  </si>
  <si>
    <t>(e) $</t>
  </si>
  <si>
    <t>(Sheet 43) Open space, Recreation, Farmland and Historic Preservation Trust Fund Levy</t>
  </si>
  <si>
    <t>(Item 5 below) Minimum Library Tax</t>
  </si>
  <si>
    <t xml:space="preserve">5.  AMOUNT TO BE RAISED BY TAXATION MINIMUM LIBRARY LEVY </t>
  </si>
  <si>
    <r>
      <t xml:space="preserve">    For each change order listed above, submit with introduced budget a copy of the governing body resolution authorizing the change order and an Affidavit of Publication for the
newspaper notice required by </t>
    </r>
    <r>
      <rPr>
        <u/>
        <sz val="10"/>
        <rFont val="Arial"/>
        <family val="2"/>
      </rPr>
      <t>N.J.A.C.</t>
    </r>
    <r>
      <rPr>
        <sz val="10"/>
        <rFont val="Arial"/>
        <family val="2"/>
      </rPr>
      <t xml:space="preserve"> 5:30-11.9(d).  (Affidavit must include a copy of the newspaper notice.)
    If you have not had a change order exceeding the 20 percent threshold for the year indicated above, please check here </t>
    </r>
    <r>
      <rPr>
        <u/>
        <sz val="10"/>
        <rFont val="Arial"/>
        <family val="2"/>
      </rPr>
      <t xml:space="preserve">      </t>
    </r>
    <r>
      <rPr>
        <sz val="10"/>
        <rFont val="Arial"/>
        <family val="2"/>
      </rPr>
      <t>and certify below.</t>
    </r>
  </si>
  <si>
    <t>Changes in Service Provider: Transfer of Service/Function</t>
  </si>
  <si>
    <t>Plus:  Assumption of Service/Function</t>
  </si>
  <si>
    <t>Allowable Shared Service Agreements Increase</t>
  </si>
  <si>
    <t>Allowable LOSAP Increase</t>
  </si>
  <si>
    <t>Allowable Capital Improvements Increase</t>
  </si>
  <si>
    <t>10-721</t>
  </si>
  <si>
    <t xml:space="preserve">Division of Redevelopment </t>
  </si>
  <si>
    <t>41-736</t>
  </si>
  <si>
    <t>10-760</t>
  </si>
  <si>
    <t>41-760</t>
  </si>
  <si>
    <t>08-184</t>
  </si>
  <si>
    <t>c) Minimum Library Tax</t>
  </si>
  <si>
    <t>July 2016</t>
  </si>
  <si>
    <t>Councilwoman Ruby N. Cotton</t>
  </si>
  <si>
    <t xml:space="preserve">Insurance - Other Expenses </t>
  </si>
  <si>
    <t xml:space="preserve">Insurance - Liability </t>
  </si>
  <si>
    <t xml:space="preserve">Paterson Station House Adjustment Program </t>
  </si>
  <si>
    <t xml:space="preserve">Congdon Mill </t>
  </si>
  <si>
    <t xml:space="preserve">PVSC Rebate Incentive Program </t>
  </si>
  <si>
    <t xml:space="preserve">Additional Ambulance Fees Shared Service Agreement </t>
  </si>
  <si>
    <t xml:space="preserve">Other Expenses  </t>
  </si>
  <si>
    <t>Surveys and General - Other Expenses</t>
  </si>
  <si>
    <t xml:space="preserve">911 Salaries &amp; Wages - Police </t>
  </si>
  <si>
    <t xml:space="preserve">911 Salaries &amp; Wages - Fire </t>
  </si>
  <si>
    <t>Paterson Station House Adjustment Program</t>
  </si>
  <si>
    <t>Total Municipal Debt Service - Excluded from "CAPS"</t>
  </si>
  <si>
    <t xml:space="preserve">Special Emergency Authorizations -
       5 Years (N.J.S. 40A:4-55) </t>
  </si>
  <si>
    <t xml:space="preserve">Total Deferred Charges - Municipal -
  Excluded from "CAPS" </t>
  </si>
  <si>
    <t xml:space="preserve">(D)  Municipal Debt Service </t>
  </si>
  <si>
    <t>41-735</t>
  </si>
  <si>
    <t>Belmont 2007</t>
  </si>
  <si>
    <t>Heritage Alexander Hamilton</t>
  </si>
  <si>
    <t>Brooke Sloate Audit Adj.</t>
  </si>
  <si>
    <t>HUD Audit - Repayment</t>
  </si>
  <si>
    <t>Cap Base Adjustment (+/-)</t>
  </si>
  <si>
    <t>Revenues at Risk</t>
  </si>
  <si>
    <t>Non-recurring current appropriations</t>
  </si>
  <si>
    <t>Future Year Appropriation Increases</t>
  </si>
  <si>
    <t>Structural Imbalance Offsets</t>
  </si>
  <si>
    <r>
      <t xml:space="preserve">
                    </t>
    </r>
    <r>
      <rPr>
        <b/>
        <sz val="12"/>
        <rFont val="Arial"/>
        <family val="2"/>
      </rPr>
      <t>Line Item.</t>
    </r>
    <r>
      <rPr>
        <sz val="10"/>
        <rFont val="Arial"/>
        <family val="2"/>
      </rPr>
      <t xml:space="preserve">
        Put "X" in cell to the left that
corresponds to the type of imbalance.
</t>
    </r>
  </si>
  <si>
    <t>Amount</t>
  </si>
  <si>
    <t>Comment/Explanation</t>
  </si>
  <si>
    <t>BUDGET MESSAGE - STRUCTURAL BUDGET IMBALANCES</t>
  </si>
  <si>
    <t>EXPLANATORY STATEMENT</t>
  </si>
  <si>
    <t>Sheet 3b-4</t>
  </si>
  <si>
    <t>10-790</t>
  </si>
  <si>
    <t>10-783</t>
  </si>
  <si>
    <t>41-790</t>
  </si>
  <si>
    <t>41-783</t>
  </si>
  <si>
    <t>Councilman Mohammed Akhtaruzzaman</t>
  </si>
  <si>
    <t>41-785</t>
  </si>
  <si>
    <t>41-770</t>
  </si>
  <si>
    <t>10-795</t>
  </si>
  <si>
    <t>41-786</t>
  </si>
  <si>
    <t>41-795</t>
  </si>
  <si>
    <t>SFY 2014</t>
  </si>
  <si>
    <t xml:space="preserve">Parks - Salaries and Wages </t>
  </si>
  <si>
    <t xml:space="preserve">Streets - Salaries &amp; Wages </t>
  </si>
  <si>
    <t xml:space="preserve">Prior Year Amount to be Raised by Taxation for Municipal Purposes </t>
  </si>
  <si>
    <t xml:space="preserve">Allowable Pension Obligations Increase </t>
  </si>
  <si>
    <t>Current Year Deferred Charges:  Emergencies</t>
  </si>
  <si>
    <t xml:space="preserve">Alcoholic Beverages </t>
  </si>
  <si>
    <t xml:space="preserve">Total Section A: Local Revenues </t>
  </si>
  <si>
    <t xml:space="preserve">Childhood Lead Poisoning Control Program </t>
  </si>
  <si>
    <t xml:space="preserve">Safe &amp; Secure Communities Program </t>
  </si>
  <si>
    <t xml:space="preserve">Total Section A:  Local Revenues </t>
  </si>
  <si>
    <r>
      <t>4. Receipts from Delinquent Taxes</t>
    </r>
    <r>
      <rPr>
        <sz val="10"/>
        <rFont val="Arial"/>
        <family val="2"/>
      </rPr>
      <t xml:space="preserve"> </t>
    </r>
  </si>
  <si>
    <t>TOTAL - DEPARTMENT OF ADMINISTRATION</t>
  </si>
  <si>
    <t xml:space="preserve">TOTAL DEPARTMENT OF FINANCE </t>
  </si>
  <si>
    <t>TOTAL - DEPARTMENT OF PUBLIC WORKS</t>
  </si>
  <si>
    <t xml:space="preserve">Solid Waste </t>
  </si>
  <si>
    <t xml:space="preserve">Contribution to:
      Public Employees' Retirement System </t>
  </si>
  <si>
    <t xml:space="preserve">    Police and Firemen's Retirement System
</t>
  </si>
  <si>
    <t xml:space="preserve">(G) Cash Deficit of Preceeding Year </t>
  </si>
  <si>
    <t xml:space="preserve">Safe &amp; Secure -  Local Share </t>
  </si>
  <si>
    <t>FEMA Assistance to Firefighters Grant Match</t>
  </si>
  <si>
    <t>Safe &amp; Secure Communities Program</t>
  </si>
  <si>
    <t>School Based Youth Services Program</t>
  </si>
  <si>
    <t xml:space="preserve">(G) With Prior Consent of Local Finance Board:
      Cash Deficit of Preceeding Year </t>
  </si>
  <si>
    <t xml:space="preserve">  2. Statutory Expenditures </t>
  </si>
  <si>
    <t>(G)  Cash Deficit - With Prior Consent of LFB</t>
  </si>
  <si>
    <t>FY14</t>
  </si>
  <si>
    <t>Belmont  2007 Audit Adj. '12</t>
  </si>
  <si>
    <t>City of Paterson Parking Authority Cooperative Agreement 7/1 - 12/31/13</t>
  </si>
  <si>
    <t>City of Paterson Parking Authority Cooperative Agreement 1/1 - 6/30/14</t>
  </si>
  <si>
    <t>Urban Enterprise Zone - Amenities - Receptacles</t>
  </si>
  <si>
    <t>19-101</t>
  </si>
  <si>
    <t>Alcoholic Education Enforcement Fund</t>
  </si>
  <si>
    <t>10-782</t>
  </si>
  <si>
    <t>41-782</t>
  </si>
  <si>
    <t>41-733</t>
  </si>
  <si>
    <t>Acting Municipal Attorney</t>
  </si>
  <si>
    <t>Dominick Stampone</t>
  </si>
  <si>
    <t>(I) Type 1 District School Debt Service</t>
  </si>
  <si>
    <t>10-791</t>
  </si>
  <si>
    <t>10-792</t>
  </si>
  <si>
    <t>10-722</t>
  </si>
  <si>
    <t>41-791</t>
  </si>
  <si>
    <t>41-792</t>
  </si>
  <si>
    <t>41-722</t>
  </si>
  <si>
    <t>41-763</t>
  </si>
  <si>
    <t>08-163</t>
  </si>
  <si>
    <r>
      <t>TOTAL UNCLASSIFIED</t>
    </r>
    <r>
      <rPr>
        <sz val="10"/>
        <rFont val="Arial"/>
        <family val="2"/>
      </rPr>
      <t xml:space="preserve"> - as amended</t>
    </r>
  </si>
  <si>
    <t>10-793</t>
  </si>
  <si>
    <t>41-793</t>
  </si>
  <si>
    <t>Library S&amp;W Detail Sheet 20 - as amended</t>
  </si>
  <si>
    <r>
      <t xml:space="preserve">Amount to be Raised by Taxation for Municipal Purposes Under/Over Cap (+/-) </t>
    </r>
    <r>
      <rPr>
        <sz val="11"/>
        <rFont val="Arial"/>
        <family val="2"/>
      </rPr>
      <t>-</t>
    </r>
  </si>
  <si>
    <t xml:space="preserve">(a) Municipal Purposes {(Item H-1, Sheet 19a) (N.J.S. 40A:4-45.2)} </t>
  </si>
  <si>
    <t xml:space="preserve">(a) Municipal Purposes {(Item H-2, Sheet 28) (N.J.S. 40A:4-45.3 as amended)} </t>
  </si>
  <si>
    <t xml:space="preserve">Total General Appropriations excluded from "CAPS" (Item O, Sheet 29a) </t>
  </si>
  <si>
    <t xml:space="preserve">4. Total General Appropriations (Item 9, Sheet 29a) </t>
  </si>
  <si>
    <t xml:space="preserve">(a) Local Tax for Municipal Purposes Including Reserve for Uncollected Taxes (Item 6(a), Sheet 11a) </t>
  </si>
  <si>
    <t>Available from Banking - 2014</t>
  </si>
  <si>
    <t>2. 2015 "CAP" LEVY CAP WORKBOOK SUMMARY</t>
  </si>
  <si>
    <t>Insurance -Worker Compensation</t>
  </si>
  <si>
    <t xml:space="preserve">Police - Salaries and Wages </t>
  </si>
  <si>
    <t xml:space="preserve">Fire - Salaries and Wages </t>
  </si>
  <si>
    <r>
      <t xml:space="preserve">TOTAL 2015
</t>
    </r>
    <r>
      <rPr>
        <u/>
        <sz val="10"/>
        <rFont val="Arial"/>
        <family val="2"/>
      </rPr>
      <t>APPROPRIATIONS</t>
    </r>
  </si>
  <si>
    <t xml:space="preserve">Less: Prior Year Deferred Charges: Emergencies </t>
  </si>
  <si>
    <t xml:space="preserve">Net Prior Year Tax Levy for Municipal Purpose Tax for Cap Calculation </t>
  </si>
  <si>
    <t xml:space="preserve">Plus 2% Cap Increase </t>
  </si>
  <si>
    <r>
      <t>Adjusted Tax Levy</t>
    </r>
    <r>
      <rPr>
        <sz val="10"/>
        <rFont val="Arial"/>
        <family val="2"/>
      </rPr>
      <t xml:space="preserve"> </t>
    </r>
  </si>
  <si>
    <t xml:space="preserve">Adjusted Tax Levy Prior to Exclusions </t>
  </si>
  <si>
    <t xml:space="preserve">Allowable Health Insurance Cost Increase </t>
  </si>
  <si>
    <t xml:space="preserve">Allowable Debt Service, Capital Leases and Debt Service
Share of Cost Increases </t>
  </si>
  <si>
    <t xml:space="preserve">Add Total Exclusions </t>
  </si>
  <si>
    <t xml:space="preserve">Less Cancelled or Unexpended Exclusions </t>
  </si>
  <si>
    <t xml:space="preserve">Adjusted Tax Levy After Exclusions </t>
  </si>
  <si>
    <t xml:space="preserve">Maximum Allowable Amount to be Raised by Taxation </t>
  </si>
  <si>
    <t xml:space="preserve">Amount to be Raised by Taxation for Municipal Purposes </t>
  </si>
  <si>
    <t xml:space="preserve">5. Less: Anticipated Revenues Other Than Current Property Tax (Item 5, Sheet 11a) 
    (i.e. Surplus, Miscellaneous Revenues and Receipts from Delinquent Taxes) </t>
  </si>
  <si>
    <t>*See Budget Appropriation Items so marked to the right of column "Expended 2015 Reserved."</t>
  </si>
  <si>
    <t>EXPLANATORY STATEMENT - (Continued)
SUMMARY OF 2015 APPROPRIATIONS EXPENDED AND CANCELED</t>
  </si>
  <si>
    <t>SFY*2015</t>
  </si>
  <si>
    <t>in SFY 2014</t>
  </si>
  <si>
    <t xml:space="preserve">Transitional Aid </t>
  </si>
  <si>
    <t xml:space="preserve">Life Hazard Use Fees </t>
  </si>
  <si>
    <t xml:space="preserve">Total Section B: State Aid Without Offsetting Appropriations </t>
  </si>
  <si>
    <t xml:space="preserve">Total Section D: Shared Service Agreements Offset with Appropriations </t>
  </si>
  <si>
    <t xml:space="preserve">COPS Hiring Program Grant </t>
  </si>
  <si>
    <t xml:space="preserve">Body Armor Grant </t>
  </si>
  <si>
    <t xml:space="preserve">HIV Ryan White Program 3/1/14 - 2/28/15 </t>
  </si>
  <si>
    <t xml:space="preserve">Tuberculosis Control Program  </t>
  </si>
  <si>
    <t xml:space="preserve">2014 Federal TB Control Grant </t>
  </si>
  <si>
    <t xml:space="preserve">Fire Urban Search &amp; Rescue (USAR) Grant </t>
  </si>
  <si>
    <t>Body Armor Grant</t>
  </si>
  <si>
    <t xml:space="preserve">Teen Parenting Program </t>
  </si>
  <si>
    <t xml:space="preserve">Consent of Director of Local Government Services - Public and Private Revenues </t>
  </si>
  <si>
    <t xml:space="preserve">Incca for Housing - North Triangle </t>
  </si>
  <si>
    <t>Essex - Phoenix Mill</t>
  </si>
  <si>
    <t xml:space="preserve">Brooke Sloate </t>
  </si>
  <si>
    <t xml:space="preserve">Consent of Director of Local Government Services - Other Special Items </t>
  </si>
  <si>
    <t xml:space="preserve">Total Section B:  State Aid Without Offsetting Appropriations </t>
  </si>
  <si>
    <t>Total Section D:  Special Items of General Revenue Anticipated with Prior Written Consent of
                           Director of Local Government Services - Shared Service Agreements</t>
  </si>
  <si>
    <t xml:space="preserve">Total Section F:  Special Items of General Revenue Anticipated with Prior Written Consent of
                           Director of Local Government Services - Public &amp; Private Revenues </t>
  </si>
  <si>
    <t xml:space="preserve">Total Section G:  Special Items of General Revenue Anticipated with Prior Written Consent of
                           Director of Local Government Services - Other Special Items </t>
  </si>
  <si>
    <t xml:space="preserve">Total Miscellaneous Revenues </t>
  </si>
  <si>
    <r>
      <t>5. Subtotal General Revenues (Items 1, 2, 3 and 4)</t>
    </r>
    <r>
      <rPr>
        <sz val="10"/>
        <rFont val="Arial"/>
        <family val="2"/>
      </rPr>
      <t xml:space="preserve"> </t>
    </r>
  </si>
  <si>
    <t xml:space="preserve">a) Local Tax for Municipal Purposes Including Reserve for Uncollected Taxes </t>
  </si>
  <si>
    <t xml:space="preserve">Total Amount to be Raised by Taxes for Support of Municipal Budget </t>
  </si>
  <si>
    <t xml:space="preserve">7. Total General Revenues </t>
  </si>
  <si>
    <t>SFY 2015</t>
  </si>
  <si>
    <t>FY15</t>
  </si>
  <si>
    <t xml:space="preserve">Insurance - Worker Compensation </t>
  </si>
  <si>
    <t xml:space="preserve">TOTAL - GENERAL GOVERNMENT </t>
  </si>
  <si>
    <t xml:space="preserve">TOTAL DEPARTMENT OF LAW </t>
  </si>
  <si>
    <r>
      <t>TOTAL - DEPARTMENT OF PUBLIC SAFETY</t>
    </r>
    <r>
      <rPr>
        <sz val="10"/>
        <rFont val="Arial"/>
        <family val="2"/>
      </rPr>
      <t xml:space="preserve"> </t>
    </r>
  </si>
  <si>
    <t xml:space="preserve">TOTAL - DEPARTMENT OF COMMUNITY DEVELOPMENT </t>
  </si>
  <si>
    <t xml:space="preserve">TOTAL - DEPARTMENT OF HUMAN SERVICES </t>
  </si>
  <si>
    <t xml:space="preserve">TOTAL - STATUTORY AGENCIES </t>
  </si>
  <si>
    <t xml:space="preserve">TOTAL - UNIFORM CONSTRUCTION CODE </t>
  </si>
  <si>
    <t xml:space="preserve">Gasoline </t>
  </si>
  <si>
    <t xml:space="preserve">Total Operations {Item 8(A)} within "CAPS" </t>
  </si>
  <si>
    <t xml:space="preserve">Total Operations Including Contingent within"CAPS" </t>
  </si>
  <si>
    <r>
      <t>Other Expenses (Including Contingent)</t>
    </r>
    <r>
      <rPr>
        <sz val="10"/>
        <rFont val="Arial"/>
        <family val="2"/>
      </rPr>
      <t xml:space="preserve"> </t>
    </r>
  </si>
  <si>
    <t xml:space="preserve">Prior Period Bills </t>
  </si>
  <si>
    <t xml:space="preserve">Total Deferred Charged and Statutory
Expenditures - Municipal within "CAPS" </t>
  </si>
  <si>
    <t xml:space="preserve">(H-1) Total General Appropriations for Municipal
        Purposes within "CAPS" </t>
  </si>
  <si>
    <t xml:space="preserve">Passaic Valley Sewerage Commission </t>
  </si>
  <si>
    <t xml:space="preserve">Maintenance of Free Public Libraries 
(s&amp;w c971/h971) </t>
  </si>
  <si>
    <t xml:space="preserve">Paterson Station House Grant Match </t>
  </si>
  <si>
    <r>
      <t>Total Other Operations - Excluded from "CAPS"</t>
    </r>
    <r>
      <rPr>
        <sz val="10"/>
        <rFont val="Arial"/>
        <family val="2"/>
      </rPr>
      <t xml:space="preserve"> </t>
    </r>
  </si>
  <si>
    <t xml:space="preserve">HIV Ryan White Program 3/1/14-2/28/15 </t>
  </si>
  <si>
    <t xml:space="preserve">City of Passaic Byrne Memorial Assistance
Grant - Equipment </t>
  </si>
  <si>
    <t xml:space="preserve">Total Public and Private Programs Offset
by Revenues </t>
  </si>
  <si>
    <r>
      <t>TOTAL OPERATIONS - Excluded from "CAPS"</t>
    </r>
    <r>
      <rPr>
        <sz val="9"/>
        <rFont val="Arial"/>
        <family val="2"/>
      </rPr>
      <t xml:space="preserve"> </t>
    </r>
  </si>
  <si>
    <t xml:space="preserve">Detail:
Salaries &amp; Wages </t>
  </si>
  <si>
    <t xml:space="preserve">Capital Improvement Fund </t>
  </si>
  <si>
    <r>
      <t>(H-2) Total General Appropriations for Municipal
        Purposes Excluded from "CAPS"</t>
    </r>
    <r>
      <rPr>
        <sz val="10"/>
        <rFont val="Arial"/>
        <family val="2"/>
      </rPr>
      <t xml:space="preserve"> </t>
    </r>
  </si>
  <si>
    <t>(E)  Total Deferred Charges - Excluded from "CAPS"</t>
  </si>
  <si>
    <t xml:space="preserve">(M)  Reserve for Uncollected Taxes </t>
  </si>
  <si>
    <t xml:space="preserve">Total General Appropriations </t>
  </si>
  <si>
    <t xml:space="preserve">Total Operations - Excluded from "CAPS" </t>
  </si>
  <si>
    <t xml:space="preserve">Public &amp; Private Progs. Offset by Revenues </t>
  </si>
  <si>
    <t xml:space="preserve">Other Operations </t>
  </si>
  <si>
    <t xml:space="preserve">(H-1) Total General Appropriations for Municipal
            Purposes Within "CAPS" </t>
  </si>
  <si>
    <t xml:space="preserve">(A) Operations:
        1. (a+b) Within "CAPS" - Including Contingent </t>
  </si>
  <si>
    <r>
      <t>9. Total General Appropriations</t>
    </r>
    <r>
      <rPr>
        <sz val="10"/>
        <rFont val="Arial"/>
        <family val="2"/>
      </rPr>
      <t xml:space="preserve"> </t>
    </r>
  </si>
  <si>
    <r>
      <t>(M) Reserve for Uncollected Taxes</t>
    </r>
    <r>
      <rPr>
        <sz val="10"/>
        <rFont val="Arial"/>
        <family val="2"/>
      </rPr>
      <t xml:space="preserve"> </t>
    </r>
  </si>
  <si>
    <t xml:space="preserve">(L) Subtotal General Appropriations
            {Items (H-1) and (O)} </t>
  </si>
  <si>
    <t xml:space="preserve">(O) Total General Appropriations - Excluded
from "CAPS" </t>
  </si>
  <si>
    <t>SFY* 2015</t>
  </si>
  <si>
    <t>2016 MUNICIPAL DATA SHEET</t>
  </si>
  <si>
    <t>Jose "joey" Torres</t>
  </si>
  <si>
    <t>July 2018</t>
  </si>
  <si>
    <t>Sonia L. Gordon</t>
  </si>
  <si>
    <t>Acting Municipal Clerk</t>
  </si>
  <si>
    <t>Acting Chief Financial Officer</t>
  </si>
  <si>
    <t>James Alessandrello</t>
  </si>
  <si>
    <t>N-0619</t>
  </si>
  <si>
    <t>Councilman James E. Staton</t>
  </si>
  <si>
    <t>Councilwoman Maritza Davila</t>
  </si>
  <si>
    <t>Councilman Domingo "Alex" Mendez</t>
  </si>
  <si>
    <t>Must Accompany 2016 Budget</t>
  </si>
  <si>
    <r>
      <t xml:space="preserve">Municipal Budget of the </t>
    </r>
    <r>
      <rPr>
        <u/>
        <sz val="10"/>
        <rFont val="Arial"/>
        <family val="2"/>
      </rPr>
      <t xml:space="preserve">                      City                        </t>
    </r>
    <r>
      <rPr>
        <sz val="10"/>
        <rFont val="Arial"/>
        <family val="2"/>
      </rPr>
      <t>of</t>
    </r>
    <r>
      <rPr>
        <u/>
        <sz val="10"/>
        <rFont val="Arial"/>
        <family val="2"/>
      </rPr>
      <t xml:space="preserve">                          Paterson                                 </t>
    </r>
    <r>
      <rPr>
        <sz val="10"/>
        <rFont val="Arial"/>
        <family val="2"/>
      </rPr>
      <t>, County of</t>
    </r>
    <r>
      <rPr>
        <u/>
        <sz val="10"/>
        <rFont val="Arial"/>
        <family val="2"/>
      </rPr>
      <t xml:space="preserve">                   Passaic                      </t>
    </r>
    <r>
      <rPr>
        <sz val="10"/>
        <rFont val="Arial"/>
        <family val="2"/>
      </rPr>
      <t>for the State Fiscal Year 2016.</t>
    </r>
  </si>
  <si>
    <r>
      <t>Municipal Budget of the</t>
    </r>
    <r>
      <rPr>
        <b/>
        <u/>
        <sz val="12"/>
        <rFont val="Arial"/>
        <family val="2"/>
      </rPr>
      <t xml:space="preserve">        </t>
    </r>
    <r>
      <rPr>
        <b/>
        <u/>
        <sz val="10"/>
        <rFont val="Arial"/>
        <family val="2"/>
      </rPr>
      <t xml:space="preserve"> </t>
    </r>
    <r>
      <rPr>
        <u/>
        <sz val="10"/>
        <rFont val="Arial"/>
        <family val="2"/>
      </rPr>
      <t>City</t>
    </r>
    <r>
      <rPr>
        <b/>
        <u/>
        <sz val="10"/>
        <rFont val="Arial"/>
        <family val="2"/>
      </rPr>
      <t xml:space="preserve"> </t>
    </r>
    <r>
      <rPr>
        <b/>
        <u/>
        <sz val="12"/>
        <rFont val="Arial"/>
        <family val="2"/>
      </rPr>
      <t xml:space="preserve">        </t>
    </r>
    <r>
      <rPr>
        <b/>
        <sz val="12"/>
        <rFont val="Arial"/>
        <family val="2"/>
      </rPr>
      <t>of</t>
    </r>
    <r>
      <rPr>
        <b/>
        <u/>
        <sz val="12"/>
        <rFont val="Arial"/>
        <family val="2"/>
      </rPr>
      <t xml:space="preserve">                  </t>
    </r>
    <r>
      <rPr>
        <u/>
        <sz val="10"/>
        <rFont val="Arial"/>
        <family val="2"/>
      </rPr>
      <t>Paterson</t>
    </r>
    <r>
      <rPr>
        <b/>
        <u/>
        <sz val="12"/>
        <rFont val="Arial"/>
        <family val="2"/>
      </rPr>
      <t xml:space="preserve">                </t>
    </r>
    <r>
      <rPr>
        <b/>
        <sz val="12"/>
        <rFont val="Arial"/>
        <family val="2"/>
      </rPr>
      <t>, County of</t>
    </r>
    <r>
      <rPr>
        <b/>
        <u/>
        <sz val="12"/>
        <rFont val="Arial"/>
        <family val="2"/>
      </rPr>
      <t xml:space="preserve">                     </t>
    </r>
    <r>
      <rPr>
        <u/>
        <sz val="10"/>
        <rFont val="Arial"/>
        <family val="2"/>
      </rPr>
      <t>Passaic</t>
    </r>
    <r>
      <rPr>
        <b/>
        <u/>
        <sz val="12"/>
        <rFont val="Arial"/>
        <family val="2"/>
      </rPr>
      <t xml:space="preserve">                  </t>
    </r>
    <r>
      <rPr>
        <b/>
        <sz val="12"/>
        <rFont val="Arial"/>
        <family val="2"/>
      </rPr>
      <t>for the Fiscal Year 2016</t>
    </r>
  </si>
  <si>
    <t>Be It Resolved, that the following statements of revenues and appropriations shall constitute the Municipal Budget for the SFY 2016;</t>
  </si>
  <si>
    <r>
      <t>The Governing Body of the</t>
    </r>
    <r>
      <rPr>
        <b/>
        <u/>
        <sz val="12"/>
        <rFont val="Arial"/>
        <family val="2"/>
      </rPr>
      <t xml:space="preserve">           </t>
    </r>
    <r>
      <rPr>
        <u/>
        <sz val="10"/>
        <rFont val="Arial"/>
        <family val="2"/>
      </rPr>
      <t xml:space="preserve">City  </t>
    </r>
    <r>
      <rPr>
        <b/>
        <u/>
        <sz val="12"/>
        <rFont val="Arial"/>
        <family val="2"/>
      </rPr>
      <t xml:space="preserve">          </t>
    </r>
    <r>
      <rPr>
        <b/>
        <sz val="12"/>
        <rFont val="Arial"/>
        <family val="2"/>
      </rPr>
      <t>of</t>
    </r>
    <r>
      <rPr>
        <b/>
        <u/>
        <sz val="12"/>
        <rFont val="Arial"/>
        <family val="2"/>
      </rPr>
      <t xml:space="preserve">                  </t>
    </r>
    <r>
      <rPr>
        <u/>
        <sz val="10"/>
        <rFont val="Arial"/>
        <family val="2"/>
      </rPr>
      <t>Paterson</t>
    </r>
    <r>
      <rPr>
        <b/>
        <u/>
        <sz val="12"/>
        <rFont val="Arial"/>
        <family val="2"/>
      </rPr>
      <t xml:space="preserve">             </t>
    </r>
    <r>
      <rPr>
        <b/>
        <sz val="12"/>
        <rFont val="Arial"/>
        <family val="2"/>
      </rPr>
      <t>does hereby approve the following as the Budget for the SFY 2016:</t>
    </r>
  </si>
  <si>
    <t>Please attach this to your 2016 Budget and Mail to:</t>
  </si>
  <si>
    <t>STATE FISCAL YEAR
2016</t>
  </si>
  <si>
    <t xml:space="preserve">3. Reserve for Uncollected Taxes (Item M, Sheet 29a) - Based on Estimated                                 Percent of Tax Collections </t>
  </si>
  <si>
    <r>
      <t xml:space="preserve">Building Aid Allowance           2015-$ </t>
    </r>
    <r>
      <rPr>
        <u/>
        <sz val="10"/>
        <rFont val="Arial"/>
        <family val="2"/>
      </rPr>
      <t xml:space="preserve">
</t>
    </r>
    <r>
      <rPr>
        <sz val="10"/>
        <rFont val="Arial"/>
        <family val="2"/>
      </rPr>
      <t xml:space="preserve">for Schools-State Aid             2014-$ 381,296.00                 </t>
    </r>
  </si>
  <si>
    <t>1. HOW THE 1977 "CAP" WAS CALCULATED. (Explain in words what the "CAPS" mean and show the figures.)</t>
  </si>
  <si>
    <t xml:space="preserve">The municipal budget for the SFY 2016 has been prepared within constraints imposed by Chapter 68, Public Laws of 1977, commonly known as the "CAP" Law. This imposes a limit of </t>
  </si>
  <si>
    <t>Total General Appropriations for SFY 2015</t>
  </si>
  <si>
    <t>Available from Banking - 2015</t>
  </si>
  <si>
    <t>for 2016</t>
  </si>
  <si>
    <r>
      <t xml:space="preserve">TOTAL 2016
</t>
    </r>
    <r>
      <rPr>
        <u/>
        <sz val="10"/>
        <rFont val="Arial"/>
        <family val="2"/>
      </rPr>
      <t>APPROPRIATIONS</t>
    </r>
  </si>
  <si>
    <t>5. NON-RECURRING REVENUES ANTICIPATED SFY 2016</t>
  </si>
  <si>
    <t>6. NON-RECURRING APPROPRIATIONS SFY 2016</t>
  </si>
  <si>
    <t>7. NON-RECURRING COST SAVINGS MEASURES INCLUDED SFY 2016</t>
  </si>
  <si>
    <t>SFY 2014 Cap Bank Utilized in SFY 2016</t>
  </si>
  <si>
    <t>SFY 2015 Cap Bank Utilized in SFY 2016</t>
  </si>
  <si>
    <r>
      <t xml:space="preserve">Totals </t>
    </r>
    <r>
      <rPr>
        <sz val="12"/>
        <rFont val="Arial"/>
        <family val="2"/>
      </rPr>
      <t>(as of June 30, 2015)</t>
    </r>
  </si>
  <si>
    <t>Total Funds Reserved as of end of 2015:</t>
  </si>
  <si>
    <t>Total Funds Appropriated in 2016:</t>
  </si>
  <si>
    <t>SFY* 2016</t>
  </si>
  <si>
    <t>in SFY 2015</t>
  </si>
  <si>
    <t>in SFY* 2015</t>
  </si>
  <si>
    <t>3. Miscellaneous Revenue - Section E: Special Items of General Revenue Anticipated
          With Prior Written Consent of the Director of Local Government Services -
          Additional Revenue Offset With Appropriations (N.J.S. 40A:4-45.3h):</t>
  </si>
  <si>
    <t xml:space="preserve">HIV Ryan White Program 3/1/15 - 2/28/16 </t>
  </si>
  <si>
    <t xml:space="preserve">2014 Homeland Security Assistance to Firefighters Grant </t>
  </si>
  <si>
    <t xml:space="preserve">              Printing and advertising, utility ser-
   vices, insurance and many other items essential to the services rendered by municipal
   government.</t>
  </si>
  <si>
    <t xml:space="preserve">         EXPENDED SFY 2015</t>
  </si>
  <si>
    <t>SFY 2016</t>
  </si>
  <si>
    <t>SFY 2015
EMERGENCY
APPROPRIATION</t>
  </si>
  <si>
    <t>Total for SFY2015
As Modified By All
Transfers</t>
  </si>
  <si>
    <t>SHEET 24 is only 1 page for FY2015</t>
  </si>
  <si>
    <t>Sheet 23 differs for FY2015 and has multiple sheets</t>
  </si>
  <si>
    <t>tube</t>
  </si>
  <si>
    <t xml:space="preserve">Down Payments on Improvements </t>
  </si>
  <si>
    <t>Green Trust Loan Program:</t>
  </si>
  <si>
    <t>Capital Lease Obligations:</t>
  </si>
  <si>
    <t>xxxxx</t>
  </si>
  <si>
    <t>xxxxxxxxxxxxxx</t>
  </si>
  <si>
    <t>xxxxxxxxxxxxxxx</t>
  </si>
  <si>
    <t>42-949</t>
  </si>
  <si>
    <t>Realized in Cash
in SFY 2015</t>
  </si>
  <si>
    <t>* Note: Use sheet 32 for Water Utility only.</t>
  </si>
  <si>
    <t>Expended SFY 2015</t>
  </si>
  <si>
    <t>SFY 2015
Emergency
Appropriation</t>
  </si>
  <si>
    <t>Total for SFY 2015
As Modified By All
Transfers</t>
  </si>
  <si>
    <t>* Note: Use sheet 33 for Water Utility only.</t>
  </si>
  <si>
    <t>Use a separate set of sheets 
for each separate Utility.</t>
  </si>
  <si>
    <t>Expended SFY 2015
Paid or Charged</t>
  </si>
  <si>
    <t>Dedication by Rider - (N.J.S. 40A:4-39) "The dedicated revenues anticipated during the Fiscal year 2016 from Animal Control, State or Federal Aid for Maintenance of Libraries,</t>
  </si>
  <si>
    <t>Officers; Unemployment Compensation Insurance; Reimburse:ent of Sale of Gasoline to State Automobiles; State Training Fees - Uniform Construction Code Act:</t>
  </si>
  <si>
    <t xml:space="preserve">Older Americans Act - Program Contributions; Municipal Alliance on Alcoholism and Drug Abuse - Program Income; </t>
  </si>
  <si>
    <t>CURRENT FUND BALANCE SHEET - JUNE 30, 2015</t>
  </si>
  <si>
    <t>Deferred Charges Required to be in SFY 2016
Budget</t>
  </si>
  <si>
    <t>Deferred Charges Required to be in Budgets
Subsequent to SFY 2016</t>
  </si>
  <si>
    <r>
      <t xml:space="preserve">CURRENT REVENUE ON A CASH BASIS:
             Current Taxes
</t>
    </r>
    <r>
      <rPr>
        <sz val="8"/>
        <rFont val="Arial"/>
        <family val="2"/>
      </rPr>
      <t>*(Percentage collected: SFY '15  %   SFY '14  %)</t>
    </r>
  </si>
  <si>
    <t>Proposed Use of Current Fund Surplus in SFY 2016 Budget</t>
  </si>
  <si>
    <t>Surplus Balance June 30, 2015</t>
  </si>
  <si>
    <t>Current Surplus Anticipated in
SFY 2016 Budget</t>
  </si>
  <si>
    <t>SFY 2016
CAPITAL BUDGET AND CAPITAL IMPROVEMENT PROGRAM</t>
  </si>
  <si>
    <t>5a
SFY 2016 Budget
Appropriations</t>
  </si>
  <si>
    <t>PLANNED FUNDING SERVICES FOR CURRRENT YEAR - 2016</t>
  </si>
  <si>
    <t>5a
2016</t>
  </si>
  <si>
    <t>5b
2017</t>
  </si>
  <si>
    <t>5c
2018</t>
  </si>
  <si>
    <t>5d
2019</t>
  </si>
  <si>
    <t>5e
2020</t>
  </si>
  <si>
    <t>5f
2021</t>
  </si>
  <si>
    <t>3a
Current Year
SFY 2016</t>
  </si>
  <si>
    <r>
      <t xml:space="preserve">SECTION 2 - UPON ADOPTION FOR STATE FISCAL YEAR 2016
</t>
    </r>
    <r>
      <rPr>
        <sz val="10"/>
        <rFont val="Arial"/>
        <family val="2"/>
      </rPr>
      <t>(Only to be Included in the Budget as Finally Adopted)</t>
    </r>
  </si>
  <si>
    <r>
      <t>It is hereby certified that the within budget is a true copy of the budget finally adopted by resolution of the Governing Body on the</t>
    </r>
    <r>
      <rPr>
        <u/>
        <sz val="10"/>
        <rFont val="Arial"/>
        <family val="2"/>
      </rPr>
      <t xml:space="preserve">    _   </t>
    </r>
    <r>
      <rPr>
        <sz val="10"/>
        <rFont val="Arial"/>
        <family val="2"/>
      </rPr>
      <t xml:space="preserve">day of
</t>
    </r>
    <r>
      <rPr>
        <u/>
        <sz val="10"/>
        <rFont val="Arial"/>
        <family val="2"/>
      </rPr>
      <t xml:space="preserve">  _____________      </t>
    </r>
    <r>
      <rPr>
        <sz val="10"/>
        <rFont val="Arial"/>
        <family val="2"/>
      </rPr>
      <t>.  It is further certified that each item of revenue and appropriation is set forth in the same amount and by the same title as
appeared in the SFY 2014 approved budget and all amendments thereto, if any, which have been previously approved by the Director of Local Government Services.</t>
    </r>
  </si>
  <si>
    <r>
      <t>Certified by me this</t>
    </r>
    <r>
      <rPr>
        <u/>
        <sz val="10"/>
        <rFont val="Arial"/>
        <family val="2"/>
      </rPr>
      <t xml:space="preserve">    _    </t>
    </r>
    <r>
      <rPr>
        <sz val="10"/>
        <rFont val="Arial"/>
        <family val="2"/>
      </rPr>
      <t>day of</t>
    </r>
    <r>
      <rPr>
        <u/>
        <sz val="10"/>
        <rFont val="Arial"/>
        <family val="2"/>
      </rPr>
      <t xml:space="preserve">    ________       </t>
    </r>
    <r>
      <rPr>
        <sz val="10"/>
        <rFont val="Arial"/>
        <family val="2"/>
      </rPr>
      <t xml:space="preserve">   </t>
    </r>
    <r>
      <rPr>
        <u/>
        <sz val="10"/>
        <rFont val="Arial"/>
        <family val="2"/>
      </rPr>
      <t xml:space="preserve">                                                                                                      </t>
    </r>
    <r>
      <rPr>
        <sz val="10"/>
        <rFont val="Arial"/>
        <family val="2"/>
      </rPr>
      <t>, Clerk.</t>
    </r>
  </si>
  <si>
    <t>Realized in
Cash in SFY 2015</t>
  </si>
  <si>
    <t>Recreation land preserved in SFY 2015:</t>
  </si>
  <si>
    <t>Farmland preserved in SFY 2015:</t>
  </si>
  <si>
    <t>for SFY 2016</t>
  </si>
  <si>
    <r>
      <t xml:space="preserve">Year Ending : </t>
    </r>
    <r>
      <rPr>
        <u/>
        <sz val="10"/>
        <rFont val="Arial"/>
        <family val="2"/>
      </rPr>
      <t xml:space="preserve">   ___________</t>
    </r>
  </si>
  <si>
    <r>
      <t xml:space="preserve">           The following is a complete list of all change orders which caused the originally awarded contract price to be exceeded by more than 20 percent.  For regulatory details please consult </t>
    </r>
    <r>
      <rPr>
        <u/>
        <sz val="10"/>
        <rFont val="Arial"/>
        <family val="2"/>
      </rPr>
      <t>N.J.A.C.</t>
    </r>
    <r>
      <rPr>
        <sz val="10"/>
        <rFont val="Arial"/>
        <family val="2"/>
      </rPr>
      <t xml:space="preserve"> 5:30-11.1 et.seq.  Please identify each change order by name of the project.</t>
    </r>
  </si>
  <si>
    <t xml:space="preserve">Amount on Which __% "CAP" is Applied </t>
  </si>
  <si>
    <t>Interest and Delinquent Sewer Charges</t>
  </si>
  <si>
    <t>2015 SPNS Grant, US  9/1/15-8/31/16</t>
  </si>
  <si>
    <t>NACCHO MRC Grant</t>
  </si>
  <si>
    <t>Energy Efficiency &amp; Renewal Grant</t>
  </si>
  <si>
    <t>Total Lifestyle Support Program</t>
  </si>
  <si>
    <t>2016 School Based Youth Services</t>
  </si>
  <si>
    <t>Teen Parenting Program 2016</t>
  </si>
  <si>
    <t>10-719</t>
  </si>
  <si>
    <t>10-723</t>
  </si>
  <si>
    <t>Emergency Management Assistance Funding /Distracted Driving</t>
  </si>
  <si>
    <t>DWI Surcharge</t>
  </si>
  <si>
    <t>FY15 Pedestrian Safety "SAGE"</t>
  </si>
  <si>
    <t>Urban Enterprise Zone - Small Business Devel. Yr 16</t>
  </si>
  <si>
    <t>Fire Arson Investigation Equipment</t>
  </si>
  <si>
    <t>CLG Historic District Grant</t>
  </si>
  <si>
    <t>Municipal Alliance on Alcoholism and Drug Abuse/Passaic County</t>
  </si>
  <si>
    <t>Senior Citizen &amp; Disabled Transport</t>
  </si>
  <si>
    <t>2015 T-Garp Session</t>
  </si>
  <si>
    <t>Comm. Fpimd pf NJ Give &amp; Receive Summer</t>
  </si>
  <si>
    <t>Dan Oliff Memorial Veterans Exhibition</t>
  </si>
  <si>
    <t>Byrne Memorial Justice Assistance</t>
  </si>
  <si>
    <t>Mineral Display Grant</t>
  </si>
  <si>
    <t>Senior Farmers Market</t>
  </si>
  <si>
    <t>Pinchak Pharmancy Museum Grant</t>
  </si>
  <si>
    <t>Riese Madison Park</t>
  </si>
  <si>
    <t xml:space="preserve">Essex - Phoenix Mill </t>
  </si>
  <si>
    <t>INNCA Carroll St. Audit Adj. '15</t>
  </si>
  <si>
    <t>Congdon Mill Audit Adjust</t>
  </si>
  <si>
    <t>Jackson Slater AA '14</t>
  </si>
  <si>
    <t>Governor Tower AA '14</t>
  </si>
  <si>
    <t>Riese Madison AA'14</t>
  </si>
  <si>
    <t>Hope 98 N Main Scattered AA '14</t>
  </si>
  <si>
    <t>Belmont/McBride AA '14</t>
  </si>
  <si>
    <t>Aspen Hamiltion AA</t>
  </si>
  <si>
    <t>Hope 98 Beech Street AA'14</t>
  </si>
  <si>
    <t>Rising Dove Sr Housing AA'14</t>
  </si>
  <si>
    <t>Heritage Alexander Hamilton AA '14</t>
  </si>
  <si>
    <t>Hope 98 Van Houten Street AA'15</t>
  </si>
  <si>
    <t>Cable Vison Franchise Fees</t>
  </si>
  <si>
    <t>Additional Fire Inspection Fees</t>
  </si>
  <si>
    <t>Verizon Franchise Fees</t>
  </si>
  <si>
    <t>Passaic County Comm College Rent</t>
  </si>
  <si>
    <t>Health Premiums</t>
  </si>
  <si>
    <t>Motor Vehicle Agency Security Reimb Prior Year</t>
  </si>
  <si>
    <t>FEMA Reimbursement 2011 Storms</t>
  </si>
  <si>
    <t>Additional Sewer Fees</t>
  </si>
  <si>
    <t>Libbys Rent</t>
  </si>
  <si>
    <t>Northeast Hydro Holding Rent</t>
  </si>
  <si>
    <t>Health Contracts Prior Years</t>
  </si>
  <si>
    <t>Classic Towing PY</t>
  </si>
  <si>
    <t>.</t>
  </si>
  <si>
    <t>Ch 159 Paterson Municipal Alliance Prevention Program</t>
  </si>
  <si>
    <t>Ch 159 Evening Reporting Program</t>
  </si>
  <si>
    <t>Ch 159 Total Lifestyle Support Program</t>
  </si>
  <si>
    <t xml:space="preserve">Ch 159 Recycling Tonnage Grant </t>
  </si>
  <si>
    <t>Ch 159 Shaping NJ Healthy Community Grant</t>
  </si>
  <si>
    <t>CH 159 HIV Emergency Relief Project Grant</t>
  </si>
  <si>
    <t>CH 159 Drunk Driving Enforcement Fund</t>
  </si>
  <si>
    <t>CH 159 NJDEP Clean Communities Grant</t>
  </si>
  <si>
    <t>Excise Tax</t>
  </si>
  <si>
    <t>HIV Ryan White Program</t>
  </si>
  <si>
    <t xml:space="preserve">2013Homeland Security Assistance to Firefighters
Grant </t>
  </si>
  <si>
    <t xml:space="preserve">HIV Counseling Testing and Referral </t>
  </si>
  <si>
    <t>Childhood Lead Poisoning</t>
  </si>
  <si>
    <t>Federal TB Control CY 2015</t>
  </si>
  <si>
    <t>PH Prepare &amp; Response for Bioterr</t>
  </si>
  <si>
    <t>Federal TB Control CY 2016</t>
  </si>
  <si>
    <t xml:space="preserve">State of New Jersey - Department of
   Law &amp; Public Safety </t>
  </si>
  <si>
    <t>Emergency Management Asst Fund Distracted Driv</t>
  </si>
  <si>
    <t>FY Pedestrian Safety Grant "SAGE"</t>
  </si>
  <si>
    <t>Municipal Alliance Program CY 2015</t>
  </si>
  <si>
    <t>Municipal Alliance Program CY 2014</t>
  </si>
  <si>
    <t>Comm Found of NJ Give &amp; Receive</t>
  </si>
  <si>
    <t>Dan Oliff Memorial Veterans Exhib</t>
  </si>
  <si>
    <t>2015 T Garp Session</t>
  </si>
  <si>
    <t>Pinchak Pharmacy Museum Grant</t>
  </si>
  <si>
    <t>Senior Citizen Disabled Transportation</t>
  </si>
  <si>
    <t>Total Lifestyle Suport Program</t>
  </si>
  <si>
    <t>Resurfacing Various Roads</t>
  </si>
  <si>
    <t>Municipal Alliance</t>
  </si>
  <si>
    <t>Board &amp; Secure</t>
  </si>
  <si>
    <t>Redemption Fees</t>
  </si>
  <si>
    <t>Admin Off Duty Fees</t>
  </si>
  <si>
    <t>Mercantile License Fees</t>
  </si>
  <si>
    <t>Due From FSGF Intefund</t>
  </si>
  <si>
    <t>SAFER Fire Fighter Retention Grant</t>
  </si>
  <si>
    <t>SAFER Fire Fighters Retention Grant</t>
  </si>
  <si>
    <t>N A</t>
  </si>
  <si>
    <t xml:space="preserve">Budget, is a conservative approach to both develop and redevelop the City's infrastructure as well as to acquire equipment to </t>
  </si>
  <si>
    <t>achieve these goals.</t>
  </si>
  <si>
    <t>projects which may come to light in the future, thus possibly deferring one or more of the projects listed in this program or</t>
  </si>
  <si>
    <t>forestalling the acquisition of certain equipment.</t>
  </si>
  <si>
    <t>The City of Paterson's FY 2016-2021 Capital Improvement Program (CIP) and the program's annual component, the FY 2016Capital</t>
  </si>
  <si>
    <t>Thus, the FY 2016-2021 CIP is an attempt to physically improve the City by the utilization of an efficiently managed and</t>
  </si>
  <si>
    <t>implemented operation. It should be noted that this FY 2016-2021 CIP is subject to change to implement certain not now known</t>
  </si>
  <si>
    <t>Reconstruction of Various Sewers</t>
  </si>
  <si>
    <t>Various Improvements</t>
  </si>
  <si>
    <t>16-100</t>
  </si>
  <si>
    <t>16-200</t>
  </si>
  <si>
    <t>16-300</t>
  </si>
  <si>
    <t>16-400</t>
  </si>
  <si>
    <t>FY _2016 YEAR CAPITAL PROGRAM - SFY 2016 - SFY 2021</t>
  </si>
  <si>
    <t>FY21</t>
  </si>
  <si>
    <t>Acquisition of Equipment (Street Sweepers)</t>
  </si>
  <si>
    <t>Various Park Improvements - Great Falls</t>
  </si>
  <si>
    <t>Reconstruction of
Various Sewers</t>
  </si>
  <si>
    <t>Various
Improvements</t>
  </si>
  <si>
    <t>Acquisition of Eqpt (Street Sweepers)</t>
  </si>
  <si>
    <t>FY 2016 YEAR CAPITAL PROGRAM - SFY 2016 - SFY 2021</t>
  </si>
  <si>
    <t>Municipal Court Fees</t>
  </si>
  <si>
    <t>Transition Aid Revenue</t>
  </si>
  <si>
    <t>Since SY 2015, Court fines have leveled off.  No increments in subsequent years</t>
  </si>
  <si>
    <t>Anticipated Surplus</t>
  </si>
  <si>
    <t>Any surplus accrued must be used in the next accounting period to defray the structural imbalance</t>
  </si>
  <si>
    <t>Dramatic increase in the RUT in SFY16, on the heels of an average $2.4M increase each of the last 3 years.  The impact of property tax increases, on the heels of 2015 revaluation, will only worsen the current collection rate.</t>
  </si>
  <si>
    <t>SS Passaic Police Equpt</t>
  </si>
  <si>
    <t>TBD</t>
  </si>
  <si>
    <t>the structural imbalance amount from actual spending costs in excess of the revenues continues to grow. This year, it is exacerbated by the cumulative impact of several years of contractual salary obligations to be paid, amounting to several million dollars.</t>
  </si>
  <si>
    <t>is this out in fy16? Bldg aid for schools</t>
  </si>
  <si>
    <t>Due from FSGF</t>
  </si>
  <si>
    <t>3rd party Cable Rent</t>
  </si>
  <si>
    <t>see below</t>
  </si>
  <si>
    <t>Muni Alliance</t>
  </si>
  <si>
    <t>what is this for?</t>
  </si>
  <si>
    <t>Mercantile Licenses</t>
  </si>
  <si>
    <t xml:space="preserve">Amount on Which 1% "CAP" is applied </t>
  </si>
  <si>
    <t xml:space="preserve">1% CAP </t>
  </si>
  <si>
    <r>
      <t xml:space="preserve">municipal expenditures, </t>
    </r>
    <r>
      <rPr>
        <b/>
        <sz val="10"/>
        <rFont val="Arial"/>
        <family val="2"/>
      </rPr>
      <t>$214,672,523.47</t>
    </r>
    <r>
      <rPr>
        <sz val="10"/>
        <rFont val="Arial"/>
        <family val="2"/>
      </rPr>
      <t>, calculated as follows:</t>
    </r>
  </si>
  <si>
    <r>
      <t xml:space="preserve">           27th                   </t>
    </r>
    <r>
      <rPr>
        <sz val="10"/>
        <rFont val="Arial"/>
        <family val="2"/>
      </rPr>
      <t xml:space="preserve">day of </t>
    </r>
    <r>
      <rPr>
        <u/>
        <sz val="10"/>
        <rFont val="Arial"/>
        <family val="2"/>
      </rPr>
      <t xml:space="preserve">  October                     </t>
    </r>
    <r>
      <rPr>
        <sz val="10"/>
        <rFont val="Arial"/>
        <family val="2"/>
      </rPr>
      <t>, 2015.</t>
    </r>
  </si>
  <si>
    <r>
      <t>Certified by me, this</t>
    </r>
    <r>
      <rPr>
        <u/>
        <sz val="10"/>
        <rFont val="Arial"/>
        <family val="2"/>
      </rPr>
      <t xml:space="preserve">     28th              </t>
    </r>
    <r>
      <rPr>
        <sz val="10"/>
        <rFont val="Arial"/>
        <family val="2"/>
      </rPr>
      <t xml:space="preserve">day of </t>
    </r>
    <r>
      <rPr>
        <u/>
        <sz val="10"/>
        <rFont val="Arial"/>
        <family val="2"/>
      </rPr>
      <t xml:space="preserve">    October                           </t>
    </r>
    <r>
      <rPr>
        <sz val="10"/>
        <rFont val="Arial"/>
        <family val="2"/>
      </rPr>
      <t>, 2015.</t>
    </r>
  </si>
  <si>
    <r>
      <t>Certified by me, this</t>
    </r>
    <r>
      <rPr>
        <u/>
        <sz val="10"/>
        <rFont val="Arial"/>
        <family val="2"/>
      </rPr>
      <t xml:space="preserve">       28th               </t>
    </r>
    <r>
      <rPr>
        <sz val="10"/>
        <rFont val="Arial"/>
        <family val="2"/>
      </rPr>
      <t>day of</t>
    </r>
    <r>
      <rPr>
        <u/>
        <sz val="10"/>
        <rFont val="Arial"/>
        <family val="2"/>
      </rPr>
      <t xml:space="preserve">  October          </t>
    </r>
    <r>
      <rPr>
        <sz val="10"/>
        <rFont val="Arial"/>
        <family val="2"/>
      </rPr>
      <t>, 2015.</t>
    </r>
  </si>
  <si>
    <r>
      <t>in the issue of</t>
    </r>
    <r>
      <rPr>
        <b/>
        <u/>
        <sz val="12"/>
        <rFont val="Arial"/>
        <family val="2"/>
      </rPr>
      <t xml:space="preserve">   November 20, 2015</t>
    </r>
    <r>
      <rPr>
        <b/>
        <u/>
        <sz val="12"/>
        <rFont val="Arial"/>
        <family val="2"/>
      </rPr>
      <t xml:space="preserve">     </t>
    </r>
    <r>
      <rPr>
        <b/>
        <sz val="12"/>
        <rFont val="Arial"/>
        <family val="2"/>
      </rPr>
      <t xml:space="preserve"> .</t>
    </r>
  </si>
  <si>
    <t>Davila
Mendez
McKoy
Morris
Staton</t>
  </si>
  <si>
    <t>Akhtaruzzaman
Sayegh
Tavarez</t>
  </si>
  <si>
    <t>Cotton</t>
  </si>
  <si>
    <r>
      <t>of</t>
    </r>
    <r>
      <rPr>
        <b/>
        <u/>
        <sz val="12"/>
        <rFont val="Arial"/>
        <family val="2"/>
      </rPr>
      <t xml:space="preserve">                               </t>
    </r>
    <r>
      <rPr>
        <u/>
        <sz val="10"/>
        <rFont val="Arial"/>
        <family val="2"/>
      </rPr>
      <t>Paterson</t>
    </r>
    <r>
      <rPr>
        <b/>
        <u/>
        <sz val="12"/>
        <rFont val="Arial"/>
        <family val="2"/>
      </rPr>
      <t xml:space="preserve">                        </t>
    </r>
    <r>
      <rPr>
        <b/>
        <sz val="12"/>
        <rFont val="Arial"/>
        <family val="2"/>
      </rPr>
      <t xml:space="preserve">, County of </t>
    </r>
    <r>
      <rPr>
        <b/>
        <u/>
        <sz val="12"/>
        <rFont val="Arial"/>
        <family val="2"/>
      </rPr>
      <t xml:space="preserve">                  </t>
    </r>
    <r>
      <rPr>
        <u/>
        <sz val="10"/>
        <rFont val="Arial"/>
        <family val="2"/>
      </rPr>
      <t>Passaic</t>
    </r>
    <r>
      <rPr>
        <b/>
        <u/>
        <sz val="12"/>
        <rFont val="Arial"/>
        <family val="2"/>
      </rPr>
      <t xml:space="preserve">                     ,</t>
    </r>
    <r>
      <rPr>
        <b/>
        <sz val="12"/>
        <rFont val="Arial"/>
        <family val="2"/>
      </rPr>
      <t>on</t>
    </r>
    <r>
      <rPr>
        <b/>
        <u/>
        <sz val="12"/>
        <rFont val="Arial"/>
        <family val="2"/>
      </rPr>
      <t xml:space="preserve">   October 27                                    </t>
    </r>
    <r>
      <rPr>
        <u/>
        <sz val="10"/>
        <rFont val="Arial"/>
        <family val="2"/>
      </rPr>
      <t xml:space="preserve"> </t>
    </r>
    <r>
      <rPr>
        <b/>
        <u/>
        <sz val="12"/>
        <rFont val="Arial"/>
        <family val="2"/>
      </rPr>
      <t xml:space="preserve">   </t>
    </r>
    <r>
      <rPr>
        <b/>
        <sz val="12"/>
        <rFont val="Arial"/>
        <family val="2"/>
      </rPr>
      <t>, 2015.</t>
    </r>
  </si>
  <si>
    <r>
      <t>A Hearing on the Budget and Tax Resolution will be held at</t>
    </r>
    <r>
      <rPr>
        <b/>
        <u/>
        <sz val="12"/>
        <rFont val="Arial"/>
        <family val="2"/>
      </rPr>
      <t xml:space="preserve">            </t>
    </r>
    <r>
      <rPr>
        <u/>
        <sz val="10"/>
        <rFont val="Arial"/>
        <family val="2"/>
      </rPr>
      <t>City Hall,</t>
    </r>
    <r>
      <rPr>
        <b/>
        <u/>
        <sz val="10"/>
        <rFont val="Arial"/>
        <family val="2"/>
      </rPr>
      <t xml:space="preserve"> </t>
    </r>
    <r>
      <rPr>
        <u/>
        <sz val="10"/>
        <rFont val="Arial"/>
        <family val="2"/>
      </rPr>
      <t>155 Market Street</t>
    </r>
    <r>
      <rPr>
        <b/>
        <u/>
        <sz val="12"/>
        <rFont val="Arial"/>
        <family val="2"/>
      </rPr>
      <t xml:space="preserve">     </t>
    </r>
    <r>
      <rPr>
        <b/>
        <sz val="12"/>
        <rFont val="Arial"/>
        <family val="2"/>
      </rPr>
      <t>, on</t>
    </r>
    <r>
      <rPr>
        <b/>
        <u/>
        <sz val="12"/>
        <rFont val="Arial"/>
        <family val="2"/>
      </rPr>
      <t xml:space="preserve">   December 1           </t>
    </r>
    <r>
      <rPr>
        <b/>
        <sz val="12"/>
        <rFont val="Arial"/>
        <family val="2"/>
      </rPr>
      <t xml:space="preserve"> , 2015 at</t>
    </r>
  </si>
  <si>
    <r>
      <t>Certified by me, this</t>
    </r>
    <r>
      <rPr>
        <u/>
        <sz val="10"/>
        <rFont val="Arial"/>
        <family val="2"/>
      </rPr>
      <t xml:space="preserve">       29th                        </t>
    </r>
    <r>
      <rPr>
        <sz val="10"/>
        <rFont val="Arial"/>
        <family val="2"/>
      </rPr>
      <t>day of</t>
    </r>
    <r>
      <rPr>
        <u/>
        <sz val="10"/>
        <rFont val="Arial"/>
        <family val="2"/>
      </rPr>
      <t xml:space="preserve">     October        </t>
    </r>
    <r>
      <rPr>
        <sz val="10"/>
        <rFont val="Arial"/>
        <family val="2"/>
      </rPr>
      <t>, 2015.</t>
    </r>
  </si>
  <si>
    <r>
      <t xml:space="preserve"> </t>
    </r>
    <r>
      <rPr>
        <u/>
        <sz val="10"/>
        <rFont val="Arial"/>
        <family val="2"/>
      </rPr>
      <t xml:space="preserve">   8:00     </t>
    </r>
    <r>
      <rPr>
        <b/>
        <sz val="12"/>
        <rFont val="Arial"/>
        <family val="2"/>
      </rPr>
      <t>o'clock (P.M) at which time and place objections to said Budget and Tax Resolution for the SFY 2016 may be presented by</t>
    </r>
  </si>
</sst>
</file>

<file path=xl/styles.xml><?xml version="1.0" encoding="utf-8"?>
<styleSheet xmlns="http://schemas.openxmlformats.org/spreadsheetml/2006/main">
  <numFmts count="8">
    <numFmt numFmtId="5" formatCode="&quot;$&quot;#,##0_);\(&quot;$&quot;#,##0\)"/>
    <numFmt numFmtId="7" formatCode="&quot;$&quot;#,##0.00_);\(&quot;$&quot;#,##0.00\)"/>
    <numFmt numFmtId="44" formatCode="_(&quot;$&quot;* #,##0.00_);_(&quot;$&quot;* \(#,##0.00\);_(&quot;$&quot;* &quot;-&quot;??_);_(@_)"/>
    <numFmt numFmtId="43" formatCode="_(* #,##0.00_);_(* \(#,##0.00\);_(* &quot;-&quot;??_);_(@_)"/>
    <numFmt numFmtId="164" formatCode="mmmm\ d\,\ yyyy"/>
    <numFmt numFmtId="165" formatCode="&quot;$&quot;#,##0.00"/>
    <numFmt numFmtId="166" formatCode="&quot;$&quot;#,##0"/>
    <numFmt numFmtId="167" formatCode="&quot;$&quot;#,##0.000"/>
  </numFmts>
  <fonts count="36">
    <font>
      <sz val="10"/>
      <name val="Arial"/>
    </font>
    <font>
      <sz val="12"/>
      <name val="Arial"/>
      <family val="2"/>
    </font>
    <font>
      <b/>
      <sz val="12"/>
      <name val="Arial"/>
      <family val="2"/>
    </font>
    <font>
      <b/>
      <sz val="16"/>
      <name val="Arial"/>
      <family val="2"/>
    </font>
    <font>
      <b/>
      <sz val="14"/>
      <name val="Arial"/>
      <family val="2"/>
    </font>
    <font>
      <b/>
      <sz val="10"/>
      <name val="Arial"/>
      <family val="2"/>
    </font>
    <font>
      <sz val="10"/>
      <name val="Arial"/>
      <family val="2"/>
    </font>
    <font>
      <sz val="11"/>
      <name val="Arial"/>
      <family val="2"/>
    </font>
    <font>
      <b/>
      <sz val="8"/>
      <name val="Arial"/>
      <family val="2"/>
    </font>
    <font>
      <sz val="16"/>
      <name val="Arial"/>
      <family val="2"/>
    </font>
    <font>
      <b/>
      <sz val="9"/>
      <name val="Arial"/>
      <family val="2"/>
    </font>
    <font>
      <sz val="9"/>
      <name val="Arial"/>
      <family val="2"/>
    </font>
    <font>
      <sz val="14"/>
      <name val="Arial"/>
      <family val="2"/>
    </font>
    <font>
      <b/>
      <i/>
      <u/>
      <sz val="10"/>
      <name val="Arial"/>
      <family val="2"/>
    </font>
    <font>
      <i/>
      <u/>
      <sz val="10"/>
      <name val="Arial"/>
      <family val="2"/>
    </font>
    <font>
      <sz val="8"/>
      <name val="Arial"/>
      <family val="2"/>
    </font>
    <font>
      <u/>
      <sz val="10"/>
      <name val="Arial"/>
      <family val="2"/>
    </font>
    <font>
      <u/>
      <sz val="12"/>
      <name val="Arial"/>
      <family val="2"/>
    </font>
    <font>
      <sz val="36"/>
      <name val="Arial"/>
      <family val="2"/>
    </font>
    <font>
      <b/>
      <u/>
      <sz val="10"/>
      <name val="Arial"/>
      <family val="2"/>
    </font>
    <font>
      <i/>
      <u/>
      <sz val="9"/>
      <name val="Arial"/>
      <family val="2"/>
    </font>
    <font>
      <i/>
      <u/>
      <sz val="8"/>
      <name val="Arial"/>
      <family val="2"/>
    </font>
    <font>
      <b/>
      <u/>
      <sz val="12"/>
      <name val="Arial"/>
      <family val="2"/>
    </font>
    <font>
      <b/>
      <sz val="36"/>
      <name val="Arial"/>
      <family val="2"/>
    </font>
    <font>
      <b/>
      <sz val="48"/>
      <name val="Arial"/>
      <family val="2"/>
    </font>
    <font>
      <b/>
      <i/>
      <sz val="10"/>
      <name val="Arial"/>
      <family val="2"/>
    </font>
    <font>
      <sz val="9"/>
      <name val="Arial"/>
      <family val="2"/>
    </font>
    <font>
      <sz val="8"/>
      <name val="Arial"/>
      <family val="2"/>
    </font>
    <font>
      <sz val="11"/>
      <name val="Arial"/>
      <family val="2"/>
    </font>
    <font>
      <b/>
      <sz val="11"/>
      <name val="Arial"/>
      <family val="2"/>
    </font>
    <font>
      <sz val="11"/>
      <color theme="1"/>
      <name val="Calibri"/>
      <family val="2"/>
      <scheme val="minor"/>
    </font>
    <font>
      <b/>
      <sz val="11"/>
      <color theme="1"/>
      <name val="Calibri"/>
      <family val="2"/>
      <scheme val="minor"/>
    </font>
    <font>
      <b/>
      <sz val="7"/>
      <name val="Arial"/>
      <family val="2"/>
    </font>
    <font>
      <sz val="10"/>
      <name val="Arial"/>
    </font>
    <font>
      <b/>
      <sz val="10"/>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00">
    <border>
      <left/>
      <right/>
      <top/>
      <bottom/>
      <diagonal/>
    </border>
    <border>
      <left/>
      <right/>
      <top/>
      <bottom style="double">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thin">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ck">
        <color indexed="64"/>
      </right>
      <top/>
      <bottom/>
      <diagonal/>
    </border>
    <border>
      <left/>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6" fillId="0" borderId="0"/>
    <xf numFmtId="0" fontId="30" fillId="0" borderId="0"/>
    <xf numFmtId="43"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cellStyleXfs>
  <cellXfs count="1134">
    <xf numFmtId="0" fontId="0" fillId="0" borderId="0" xfId="0"/>
    <xf numFmtId="4" fontId="1" fillId="0" borderId="1" xfId="0" applyNumberFormat="1" applyFont="1" applyBorder="1"/>
    <xf numFmtId="4" fontId="3" fillId="0" borderId="1" xfId="0" applyNumberFormat="1" applyFont="1" applyBorder="1" applyAlignment="1">
      <alignment horizontal="right"/>
    </xf>
    <xf numFmtId="4" fontId="4" fillId="0" borderId="1" xfId="0" applyNumberFormat="1" applyFont="1" applyBorder="1" applyAlignment="1"/>
    <xf numFmtId="4" fontId="0" fillId="0" borderId="0" xfId="0" applyNumberFormat="1" applyBorder="1"/>
    <xf numFmtId="4" fontId="0" fillId="0" borderId="6" xfId="0" applyNumberFormat="1" applyBorder="1"/>
    <xf numFmtId="4" fontId="0" fillId="0" borderId="7" xfId="0" applyNumberFormat="1" applyBorder="1"/>
    <xf numFmtId="4" fontId="0" fillId="0" borderId="8" xfId="0" applyNumberFormat="1" applyBorder="1"/>
    <xf numFmtId="4" fontId="0" fillId="0" borderId="9" xfId="0" applyNumberFormat="1" applyBorder="1"/>
    <xf numFmtId="4" fontId="0" fillId="0" borderId="17" xfId="0" applyNumberFormat="1" applyBorder="1"/>
    <xf numFmtId="4" fontId="0" fillId="0" borderId="14" xfId="0" applyNumberFormat="1" applyBorder="1"/>
    <xf numFmtId="49" fontId="5" fillId="0" borderId="8" xfId="0" applyNumberFormat="1" applyFont="1" applyBorder="1" applyAlignment="1">
      <alignment horizontal="center"/>
    </xf>
    <xf numFmtId="4" fontId="5" fillId="0" borderId="8" xfId="0" applyNumberFormat="1" applyFont="1" applyBorder="1" applyAlignment="1">
      <alignment horizontal="center"/>
    </xf>
    <xf numFmtId="4" fontId="5" fillId="0" borderId="9" xfId="0" applyNumberFormat="1" applyFont="1" applyBorder="1" applyAlignment="1">
      <alignment horizontal="center"/>
    </xf>
    <xf numFmtId="4" fontId="5" fillId="0" borderId="18" xfId="0" applyNumberFormat="1" applyFont="1" applyBorder="1" applyAlignment="1">
      <alignment horizontal="center"/>
    </xf>
    <xf numFmtId="4" fontId="5" fillId="0" borderId="14" xfId="0" applyNumberFormat="1" applyFont="1" applyBorder="1" applyAlignment="1">
      <alignment horizontal="left" indent="2"/>
    </xf>
    <xf numFmtId="4" fontId="0" fillId="0" borderId="14" xfId="0" applyNumberFormat="1" applyBorder="1" applyAlignment="1">
      <alignment horizontal="left" indent="2"/>
    </xf>
    <xf numFmtId="4" fontId="0" fillId="0" borderId="27" xfId="0" applyNumberFormat="1" applyBorder="1"/>
    <xf numFmtId="4" fontId="0" fillId="0" borderId="28" xfId="0" applyNumberFormat="1" applyBorder="1"/>
    <xf numFmtId="4" fontId="6" fillId="0" borderId="14" xfId="0" applyNumberFormat="1" applyFont="1" applyBorder="1" applyAlignment="1">
      <alignment horizontal="left" indent="6"/>
    </xf>
    <xf numFmtId="4" fontId="0" fillId="0" borderId="29" xfId="0" applyNumberFormat="1" applyBorder="1"/>
    <xf numFmtId="4" fontId="0" fillId="0" borderId="26" xfId="0" applyNumberFormat="1" applyBorder="1"/>
    <xf numFmtId="4" fontId="5" fillId="0" borderId="27" xfId="0" applyNumberFormat="1" applyFont="1" applyBorder="1" applyAlignment="1">
      <alignment horizontal="center"/>
    </xf>
    <xf numFmtId="4" fontId="5" fillId="0" borderId="28" xfId="0" applyNumberFormat="1" applyFont="1" applyBorder="1" applyAlignment="1">
      <alignment horizontal="center"/>
    </xf>
    <xf numFmtId="4" fontId="5" fillId="0" borderId="6" xfId="0" applyNumberFormat="1" applyFont="1" applyBorder="1" applyAlignment="1">
      <alignment horizontal="center"/>
    </xf>
    <xf numFmtId="4" fontId="0" fillId="0" borderId="15" xfId="0" applyNumberFormat="1" applyBorder="1"/>
    <xf numFmtId="4" fontId="5" fillId="0" borderId="7" xfId="0" applyNumberFormat="1" applyFont="1" applyBorder="1" applyAlignment="1">
      <alignment horizontal="center"/>
    </xf>
    <xf numFmtId="4" fontId="5" fillId="0" borderId="30" xfId="0" applyNumberFormat="1" applyFont="1" applyBorder="1" applyAlignment="1">
      <alignment horizontal="center"/>
    </xf>
    <xf numFmtId="4" fontId="0" fillId="0" borderId="14" xfId="0" applyNumberFormat="1" applyBorder="1" applyAlignment="1">
      <alignment horizontal="left" indent="6"/>
    </xf>
    <xf numFmtId="4" fontId="5" fillId="0" borderId="14" xfId="0" applyNumberFormat="1" applyFont="1" applyBorder="1" applyAlignment="1">
      <alignment horizontal="left" vertical="center" wrapText="1" indent="2"/>
    </xf>
    <xf numFmtId="49" fontId="0" fillId="0" borderId="8" xfId="0" applyNumberFormat="1" applyBorder="1" applyAlignment="1">
      <alignment horizontal="center"/>
    </xf>
    <xf numFmtId="49" fontId="0" fillId="0" borderId="0" xfId="0" applyNumberFormat="1" applyBorder="1" applyAlignment="1">
      <alignment horizontal="center"/>
    </xf>
    <xf numFmtId="4" fontId="0" fillId="0" borderId="26" xfId="0" applyNumberFormat="1" applyBorder="1" applyAlignment="1">
      <alignment horizontal="left" indent="6"/>
    </xf>
    <xf numFmtId="4" fontId="2" fillId="0" borderId="37" xfId="0" applyNumberFormat="1" applyFont="1" applyBorder="1" applyAlignment="1">
      <alignment horizontal="right"/>
    </xf>
    <xf numFmtId="4" fontId="2" fillId="0" borderId="0" xfId="0" applyNumberFormat="1" applyFont="1" applyBorder="1" applyAlignment="1">
      <alignment horizontal="right"/>
    </xf>
    <xf numFmtId="4" fontId="0" fillId="0" borderId="26" xfId="0" applyNumberFormat="1" applyBorder="1" applyAlignment="1">
      <alignment horizontal="left" indent="2"/>
    </xf>
    <xf numFmtId="4" fontId="0" fillId="0" borderId="36" xfId="0" applyNumberFormat="1" applyBorder="1"/>
    <xf numFmtId="49" fontId="2" fillId="0" borderId="1" xfId="0" applyNumberFormat="1" applyFont="1" applyBorder="1" applyAlignment="1">
      <alignment horizontal="center"/>
    </xf>
    <xf numFmtId="4" fontId="5" fillId="0" borderId="14" xfId="0" applyNumberFormat="1" applyFont="1" applyBorder="1" applyAlignment="1">
      <alignment horizontal="left" indent="6"/>
    </xf>
    <xf numFmtId="4" fontId="10" fillId="0" borderId="14" xfId="0" applyNumberFormat="1" applyFont="1" applyBorder="1" applyAlignment="1">
      <alignment horizontal="left" vertical="center" wrapText="1" indent="2"/>
    </xf>
    <xf numFmtId="4" fontId="5" fillId="0" borderId="16" xfId="0" applyNumberFormat="1" applyFont="1" applyBorder="1" applyAlignment="1">
      <alignment horizontal="left" indent="6"/>
    </xf>
    <xf numFmtId="4" fontId="5" fillId="0" borderId="8" xfId="0" applyNumberFormat="1" applyFont="1" applyBorder="1" applyAlignment="1">
      <alignment horizontal="center" vertical="center"/>
    </xf>
    <xf numFmtId="49" fontId="5" fillId="0" borderId="8" xfId="0" applyNumberFormat="1" applyFont="1" applyBorder="1" applyAlignment="1">
      <alignment horizontal="left"/>
    </xf>
    <xf numFmtId="49" fontId="5" fillId="0" borderId="27" xfId="0" applyNumberFormat="1" applyFont="1" applyBorder="1" applyAlignment="1">
      <alignment horizontal="left"/>
    </xf>
    <xf numFmtId="49" fontId="5" fillId="0" borderId="17" xfId="0" applyNumberFormat="1" applyFont="1" applyBorder="1" applyAlignment="1">
      <alignment horizontal="left"/>
    </xf>
    <xf numFmtId="4" fontId="0" fillId="0" borderId="41" xfId="0" applyNumberFormat="1" applyBorder="1"/>
    <xf numFmtId="4" fontId="0" fillId="0" borderId="42" xfId="0" applyNumberFormat="1" applyBorder="1"/>
    <xf numFmtId="4" fontId="4" fillId="0" borderId="0" xfId="0" applyNumberFormat="1" applyFont="1" applyBorder="1" applyAlignment="1">
      <alignment horizontal="right"/>
    </xf>
    <xf numFmtId="0" fontId="5" fillId="0" borderId="0" xfId="0" applyFont="1"/>
    <xf numFmtId="0" fontId="0" fillId="0" borderId="8" xfId="0" applyBorder="1"/>
    <xf numFmtId="0" fontId="0" fillId="0" borderId="9" xfId="0" applyBorder="1"/>
    <xf numFmtId="0" fontId="5" fillId="0" borderId="8" xfId="0" applyFont="1" applyBorder="1"/>
    <xf numFmtId="0" fontId="5" fillId="0" borderId="9" xfId="0" applyFont="1" applyBorder="1"/>
    <xf numFmtId="0" fontId="0" fillId="0" borderId="17" xfId="0" applyBorder="1"/>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4" fontId="5" fillId="0" borderId="8" xfId="0" applyNumberFormat="1" applyFont="1" applyBorder="1" applyAlignment="1">
      <alignment horizontal="center" vertical="center" wrapText="1"/>
    </xf>
    <xf numFmtId="4" fontId="6" fillId="0" borderId="14" xfId="0" applyNumberFormat="1" applyFont="1" applyBorder="1" applyAlignment="1">
      <alignment horizontal="left" wrapText="1" indent="6"/>
    </xf>
    <xf numFmtId="4" fontId="11" fillId="0" borderId="14" xfId="0" applyNumberFormat="1" applyFont="1" applyBorder="1" applyAlignment="1">
      <alignment horizontal="left" vertical="center" wrapText="1" indent="6"/>
    </xf>
    <xf numFmtId="0" fontId="10" fillId="0" borderId="0" xfId="0" applyFont="1"/>
    <xf numFmtId="4" fontId="6" fillId="0" borderId="14" xfId="0" applyNumberFormat="1" applyFont="1" applyBorder="1" applyAlignment="1">
      <alignment horizontal="left" indent="8"/>
    </xf>
    <xf numFmtId="4" fontId="0" fillId="0" borderId="14" xfId="0" applyNumberFormat="1" applyBorder="1" applyAlignment="1">
      <alignment horizontal="left" wrapText="1" indent="8"/>
    </xf>
    <xf numFmtId="4" fontId="0" fillId="0" borderId="26" xfId="0" applyNumberFormat="1" applyBorder="1" applyAlignment="1">
      <alignment horizontal="left" wrapText="1" indent="8"/>
    </xf>
    <xf numFmtId="4" fontId="0" fillId="0" borderId="14" xfId="0" applyNumberFormat="1" applyBorder="1" applyAlignment="1">
      <alignment horizontal="left" indent="10"/>
    </xf>
    <xf numFmtId="0" fontId="0" fillId="0" borderId="14" xfId="0" applyBorder="1"/>
    <xf numFmtId="0" fontId="0" fillId="0" borderId="6" xfId="0" applyBorder="1"/>
    <xf numFmtId="4" fontId="0" fillId="0" borderId="43" xfId="0" applyNumberFormat="1" applyBorder="1"/>
    <xf numFmtId="4" fontId="5" fillId="0" borderId="43" xfId="0" applyNumberFormat="1" applyFont="1" applyBorder="1" applyAlignment="1">
      <alignment horizontal="center"/>
    </xf>
    <xf numFmtId="0" fontId="0" fillId="0" borderId="44" xfId="0" applyBorder="1"/>
    <xf numFmtId="0" fontId="0" fillId="0" borderId="43" xfId="0" applyBorder="1"/>
    <xf numFmtId="4" fontId="5" fillId="0" borderId="45" xfId="0" applyNumberFormat="1" applyFont="1" applyBorder="1" applyAlignment="1">
      <alignment horizontal="center"/>
    </xf>
    <xf numFmtId="4" fontId="5" fillId="0" borderId="46" xfId="0" applyNumberFormat="1" applyFont="1" applyBorder="1" applyAlignment="1">
      <alignment horizontal="left" indent="2"/>
    </xf>
    <xf numFmtId="4" fontId="5" fillId="0" borderId="46" xfId="0" applyNumberFormat="1" applyFont="1" applyBorder="1" applyAlignment="1">
      <alignment horizontal="left" vertical="center" indent="2"/>
    </xf>
    <xf numFmtId="4" fontId="0" fillId="0" borderId="46" xfId="0" applyNumberFormat="1" applyBorder="1" applyAlignment="1">
      <alignment horizontal="left" indent="2"/>
    </xf>
    <xf numFmtId="4" fontId="5" fillId="0" borderId="14" xfId="0" applyNumberFormat="1" applyFont="1" applyBorder="1" applyAlignment="1">
      <alignment horizontal="center" vertical="center"/>
    </xf>
    <xf numFmtId="4" fontId="5" fillId="0" borderId="46" xfId="0" applyNumberFormat="1" applyFont="1" applyBorder="1" applyAlignment="1">
      <alignment horizontal="left" indent="10"/>
    </xf>
    <xf numFmtId="4" fontId="5" fillId="0" borderId="47" xfId="0" applyNumberFormat="1" applyFont="1" applyBorder="1" applyAlignment="1">
      <alignment horizontal="left" indent="10"/>
    </xf>
    <xf numFmtId="4" fontId="5" fillId="0" borderId="47" xfId="0" applyNumberFormat="1" applyFont="1" applyBorder="1" applyAlignment="1">
      <alignment horizontal="left" vertical="center" wrapText="1" indent="2"/>
    </xf>
    <xf numFmtId="0" fontId="14" fillId="0" borderId="0" xfId="0" applyFont="1" applyAlignment="1">
      <alignment horizontal="left" indent="4"/>
    </xf>
    <xf numFmtId="0" fontId="0" fillId="0" borderId="48" xfId="0" applyBorder="1"/>
    <xf numFmtId="4" fontId="5" fillId="0" borderId="0" xfId="0" applyNumberFormat="1" applyFont="1" applyBorder="1" applyAlignment="1">
      <alignment horizontal="left" vertical="center" wrapText="1" indent="2"/>
    </xf>
    <xf numFmtId="49" fontId="5" fillId="0" borderId="0" xfId="0" applyNumberFormat="1" applyFont="1" applyBorder="1" applyAlignment="1">
      <alignment horizontal="left"/>
    </xf>
    <xf numFmtId="4" fontId="5" fillId="0" borderId="0" xfId="0" applyNumberFormat="1" applyFont="1" applyBorder="1" applyAlignment="1">
      <alignment horizontal="center"/>
    </xf>
    <xf numFmtId="0" fontId="0" fillId="0" borderId="0" xfId="0" applyBorder="1"/>
    <xf numFmtId="49" fontId="0" fillId="0" borderId="8" xfId="0" applyNumberFormat="1" applyBorder="1"/>
    <xf numFmtId="49" fontId="0" fillId="0" borderId="17" xfId="0" applyNumberFormat="1" applyBorder="1"/>
    <xf numFmtId="0" fontId="4" fillId="0" borderId="0" xfId="0" applyFont="1" applyAlignment="1">
      <alignment horizontal="right" vertical="center"/>
    </xf>
    <xf numFmtId="0" fontId="0" fillId="0" borderId="49" xfId="0" applyBorder="1"/>
    <xf numFmtId="0" fontId="0" fillId="0" borderId="50" xfId="0" applyBorder="1"/>
    <xf numFmtId="0" fontId="0" fillId="0" borderId="12" xfId="0" applyBorder="1"/>
    <xf numFmtId="0" fontId="0" fillId="0" borderId="49" xfId="0" applyBorder="1" applyAlignment="1">
      <alignment horizontal="left" indent="4"/>
    </xf>
    <xf numFmtId="0" fontId="0" fillId="0" borderId="0" xfId="0" applyAlignment="1"/>
    <xf numFmtId="0" fontId="4" fillId="0" borderId="0" xfId="0" applyFont="1" applyAlignment="1">
      <alignment horizontal="center" vertical="center"/>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2" fillId="0" borderId="0" xfId="0" applyFont="1"/>
    <xf numFmtId="49" fontId="0" fillId="0" borderId="46" xfId="0" applyNumberFormat="1" applyBorder="1" applyAlignment="1">
      <alignment horizontal="center"/>
    </xf>
    <xf numFmtId="49" fontId="0" fillId="0" borderId="59" xfId="0" applyNumberFormat="1" applyBorder="1" applyAlignment="1">
      <alignment horizontal="center"/>
    </xf>
    <xf numFmtId="49" fontId="0" fillId="0" borderId="57" xfId="0" applyNumberFormat="1" applyBorder="1" applyAlignment="1">
      <alignment horizontal="center"/>
    </xf>
    <xf numFmtId="49" fontId="0" fillId="0" borderId="58" xfId="0" applyNumberFormat="1" applyBorder="1" applyAlignment="1">
      <alignment horizontal="center"/>
    </xf>
    <xf numFmtId="0" fontId="0" fillId="0" borderId="0" xfId="0" applyAlignment="1">
      <alignment horizontal="left" indent="3"/>
    </xf>
    <xf numFmtId="0" fontId="5" fillId="0" borderId="0" xfId="0" applyFont="1" applyAlignment="1">
      <alignment vertical="center"/>
    </xf>
    <xf numFmtId="0" fontId="0" fillId="0" borderId="0" xfId="0" applyBorder="1" applyAlignment="1"/>
    <xf numFmtId="0" fontId="0" fillId="0" borderId="0" xfId="0" applyAlignment="1">
      <alignment vertical="center"/>
    </xf>
    <xf numFmtId="0" fontId="0" fillId="0" borderId="0" xfId="0" applyAlignment="1">
      <alignment horizontal="left" indent="4"/>
    </xf>
    <xf numFmtId="0" fontId="0" fillId="0" borderId="37" xfId="0" applyBorder="1" applyAlignment="1"/>
    <xf numFmtId="0" fontId="0" fillId="0" borderId="1" xfId="0" applyBorder="1"/>
    <xf numFmtId="0" fontId="20" fillId="0" borderId="0" xfId="0" applyFont="1" applyBorder="1" applyAlignment="1"/>
    <xf numFmtId="0" fontId="20" fillId="0" borderId="60" xfId="0" applyFont="1" applyBorder="1" applyAlignment="1"/>
    <xf numFmtId="0" fontId="21" fillId="0" borderId="26" xfId="0" applyFont="1" applyBorder="1" applyAlignment="1"/>
    <xf numFmtId="0" fontId="0" fillId="0" borderId="49" xfId="0" applyBorder="1" applyAlignment="1">
      <alignment vertical="center"/>
    </xf>
    <xf numFmtId="0" fontId="0" fillId="0" borderId="0" xfId="0" applyBorder="1" applyAlignment="1">
      <alignment vertical="center"/>
    </xf>
    <xf numFmtId="0" fontId="2" fillId="0" borderId="0" xfId="0" applyFont="1" applyAlignment="1">
      <alignment horizontal="center"/>
    </xf>
    <xf numFmtId="0" fontId="2" fillId="0" borderId="0" xfId="0" applyFont="1" applyAlignment="1">
      <alignment horizontal="right" vertical="center"/>
    </xf>
    <xf numFmtId="0" fontId="5" fillId="0" borderId="0" xfId="0" applyFont="1" applyBorder="1" applyAlignment="1">
      <alignment horizontal="center"/>
    </xf>
    <xf numFmtId="49" fontId="0" fillId="0" borderId="0" xfId="0" applyNumberFormat="1" applyAlignment="1">
      <alignment wrapText="1"/>
    </xf>
    <xf numFmtId="0" fontId="0" fillId="0" borderId="49" xfId="0" applyBorder="1" applyAlignment="1">
      <alignment horizontal="left" indent="8"/>
    </xf>
    <xf numFmtId="0" fontId="0" fillId="0" borderId="0" xfId="0" applyBorder="1" applyAlignment="1">
      <alignment horizontal="left" indent="8"/>
    </xf>
    <xf numFmtId="0" fontId="0" fillId="0" borderId="0" xfId="0" applyBorder="1" applyAlignment="1">
      <alignment horizontal="left" indent="4"/>
    </xf>
    <xf numFmtId="0" fontId="16" fillId="0" borderId="49" xfId="0" applyFont="1" applyBorder="1" applyAlignment="1">
      <alignment horizontal="left" vertical="top" indent="4"/>
    </xf>
    <xf numFmtId="49" fontId="0" fillId="0" borderId="0" xfId="0" applyNumberFormat="1" applyBorder="1" applyAlignment="1">
      <alignment wrapText="1"/>
    </xf>
    <xf numFmtId="0" fontId="0" fillId="0" borderId="0" xfId="0" applyBorder="1" applyAlignment="1">
      <alignment wrapText="1"/>
    </xf>
    <xf numFmtId="0" fontId="0" fillId="0" borderId="12" xfId="0" applyBorder="1" applyAlignment="1"/>
    <xf numFmtId="49" fontId="0" fillId="0" borderId="0" xfId="0" applyNumberFormat="1" applyBorder="1" applyAlignment="1"/>
    <xf numFmtId="0" fontId="0" fillId="0" borderId="61" xfId="0" applyBorder="1"/>
    <xf numFmtId="0" fontId="0" fillId="0" borderId="15" xfId="0" applyBorder="1"/>
    <xf numFmtId="49" fontId="0" fillId="0" borderId="0" xfId="0" applyNumberFormat="1" applyBorder="1" applyAlignment="1">
      <alignment vertical="center"/>
    </xf>
    <xf numFmtId="0" fontId="4" fillId="0" borderId="14" xfId="0" applyFont="1" applyBorder="1"/>
    <xf numFmtId="0" fontId="0" fillId="0" borderId="0" xfId="0" applyBorder="1" applyAlignment="1">
      <alignment horizontal="justify"/>
    </xf>
    <xf numFmtId="0" fontId="2" fillId="0" borderId="0" xfId="0" applyFont="1" applyBorder="1" applyAlignment="1">
      <alignment horizontal="center"/>
    </xf>
    <xf numFmtId="49" fontId="0" fillId="0" borderId="49" xfId="0" applyNumberFormat="1" applyBorder="1" applyAlignment="1">
      <alignment wrapText="1"/>
    </xf>
    <xf numFmtId="0" fontId="0" fillId="0" borderId="49" xfId="0" applyBorder="1" applyAlignment="1">
      <alignment wrapText="1"/>
    </xf>
    <xf numFmtId="49" fontId="0" fillId="0" borderId="49" xfId="0" applyNumberFormat="1" applyBorder="1" applyAlignment="1"/>
    <xf numFmtId="49" fontId="0" fillId="0" borderId="49" xfId="0" applyNumberFormat="1" applyBorder="1" applyAlignment="1">
      <alignment vertical="center"/>
    </xf>
    <xf numFmtId="0" fontId="0" fillId="0" borderId="0" xfId="0" applyFill="1" applyBorder="1" applyAlignment="1">
      <alignment horizontal="justify"/>
    </xf>
    <xf numFmtId="0" fontId="4" fillId="0" borderId="0" xfId="0" applyFont="1" applyBorder="1"/>
    <xf numFmtId="0" fontId="0" fillId="0" borderId="0" xfId="0" applyBorder="1" applyAlignment="1">
      <alignment horizontal="right"/>
    </xf>
    <xf numFmtId="0" fontId="1" fillId="0" borderId="0" xfId="0" applyFont="1" applyAlignment="1">
      <alignment horizontal="right" vertical="center"/>
    </xf>
    <xf numFmtId="0" fontId="6" fillId="0" borderId="0" xfId="0" applyFont="1" applyAlignment="1"/>
    <xf numFmtId="0" fontId="0" fillId="0" borderId="0" xfId="0" applyAlignment="1">
      <alignment horizontal="left" indent="2"/>
    </xf>
    <xf numFmtId="0" fontId="23" fillId="0" borderId="0" xfId="0" applyFont="1" applyAlignment="1">
      <alignment horizontal="center" vertical="center"/>
    </xf>
    <xf numFmtId="0" fontId="0" fillId="0" borderId="0" xfId="0" applyAlignment="1">
      <alignment horizontal="center" vertical="center" wrapText="1"/>
    </xf>
    <xf numFmtId="0" fontId="4" fillId="0" borderId="0" xfId="0" applyFont="1" applyBorder="1" applyAlignment="1">
      <alignment horizontal="right"/>
    </xf>
    <xf numFmtId="49" fontId="0" fillId="0" borderId="22" xfId="0" applyNumberFormat="1" applyBorder="1" applyAlignment="1">
      <alignment horizontal="center"/>
    </xf>
    <xf numFmtId="49" fontId="0" fillId="0" borderId="0" xfId="0" applyNumberFormat="1" applyAlignment="1">
      <alignment horizontal="right"/>
    </xf>
    <xf numFmtId="0" fontId="0" fillId="0" borderId="0" xfId="0" applyBorder="1" applyAlignment="1">
      <alignment horizontal="center" vertical="top"/>
    </xf>
    <xf numFmtId="0" fontId="0" fillId="0" borderId="0" xfId="0" applyAlignment="1">
      <alignment horizontal="center" vertical="top"/>
    </xf>
    <xf numFmtId="0" fontId="0" fillId="0" borderId="8" xfId="0" applyBorder="1" applyAlignment="1">
      <alignment horizont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62" xfId="0" applyBorder="1"/>
    <xf numFmtId="0" fontId="0" fillId="0" borderId="27" xfId="0" applyBorder="1"/>
    <xf numFmtId="0" fontId="0" fillId="0" borderId="63" xfId="0" applyBorder="1"/>
    <xf numFmtId="0" fontId="0" fillId="0" borderId="64" xfId="0" applyFill="1" applyBorder="1" applyAlignment="1">
      <alignment horizontal="left" indent="3"/>
    </xf>
    <xf numFmtId="0" fontId="0" fillId="0" borderId="48" xfId="0" applyBorder="1" applyAlignment="1">
      <alignment horizontal="left" indent="3"/>
    </xf>
    <xf numFmtId="0" fontId="0" fillId="0" borderId="46" xfId="0" applyBorder="1" applyAlignment="1">
      <alignment horizontal="left" indent="3"/>
    </xf>
    <xf numFmtId="0" fontId="0" fillId="0" borderId="46" xfId="0" applyFill="1" applyBorder="1" applyAlignment="1">
      <alignment horizontal="left" indent="3"/>
    </xf>
    <xf numFmtId="0" fontId="0" fillId="0" borderId="48" xfId="0" applyBorder="1" applyAlignment="1">
      <alignment horizontal="left" indent="1"/>
    </xf>
    <xf numFmtId="4" fontId="0" fillId="0" borderId="8" xfId="0" applyNumberFormat="1" applyBorder="1" applyAlignment="1">
      <alignment horizontal="center"/>
    </xf>
    <xf numFmtId="4" fontId="0" fillId="0" borderId="0" xfId="0" applyNumberFormat="1" applyBorder="1" applyProtection="1"/>
    <xf numFmtId="4" fontId="0" fillId="0" borderId="8" xfId="0" applyNumberFormat="1" applyBorder="1" applyProtection="1"/>
    <xf numFmtId="4" fontId="0" fillId="0" borderId="12" xfId="0" applyNumberFormat="1" applyBorder="1" applyProtection="1"/>
    <xf numFmtId="4" fontId="0" fillId="0" borderId="17" xfId="0" applyNumberFormat="1" applyBorder="1" applyProtection="1"/>
    <xf numFmtId="4" fontId="0" fillId="0" borderId="9" xfId="0" applyNumberFormat="1" applyBorder="1" applyProtection="1"/>
    <xf numFmtId="0" fontId="4" fillId="0" borderId="0" xfId="0" applyFont="1" applyAlignment="1" applyProtection="1">
      <alignment horizontal="right" vertical="center"/>
    </xf>
    <xf numFmtId="0" fontId="0" fillId="0" borderId="0" xfId="0" applyProtection="1"/>
    <xf numFmtId="0" fontId="5" fillId="0" borderId="13" xfId="0" applyFont="1" applyBorder="1" applyAlignment="1" applyProtection="1">
      <alignment horizontal="center" vertical="center" wrapText="1"/>
    </xf>
    <xf numFmtId="4" fontId="0" fillId="0" borderId="20" xfId="0" applyNumberFormat="1" applyBorder="1" applyAlignment="1" applyProtection="1">
      <alignment horizontal="center"/>
    </xf>
    <xf numFmtId="4" fontId="0" fillId="0" borderId="7" xfId="0" applyNumberFormat="1" applyBorder="1" applyAlignment="1" applyProtection="1">
      <alignment horizontal="center"/>
    </xf>
    <xf numFmtId="4" fontId="0" fillId="0" borderId="9" xfId="0" quotePrefix="1" applyNumberFormat="1" applyBorder="1" applyProtection="1"/>
    <xf numFmtId="4" fontId="0" fillId="0" borderId="28" xfId="0" applyNumberFormat="1" applyBorder="1" applyProtection="1"/>
    <xf numFmtId="4" fontId="0" fillId="0" borderId="9" xfId="0" applyNumberFormat="1" applyBorder="1" applyAlignment="1" applyProtection="1">
      <alignment horizontal="center"/>
    </xf>
    <xf numFmtId="0" fontId="0" fillId="0" borderId="48" xfId="0" applyBorder="1" applyAlignment="1" applyProtection="1"/>
    <xf numFmtId="4" fontId="0" fillId="0" borderId="6" xfId="0" applyNumberFormat="1" applyBorder="1" applyAlignment="1" applyProtection="1"/>
    <xf numFmtId="0" fontId="0" fillId="0" borderId="49" xfId="0" applyBorder="1" applyAlignment="1" applyProtection="1">
      <alignment horizontal="center" vertical="center"/>
    </xf>
    <xf numFmtId="0" fontId="0" fillId="0" borderId="0" xfId="0" applyAlignment="1" applyProtection="1">
      <alignment horizontal="center" vertical="center"/>
    </xf>
    <xf numFmtId="0" fontId="0" fillId="0" borderId="14" xfId="0" applyBorder="1" applyProtection="1"/>
    <xf numFmtId="0" fontId="0" fillId="0" borderId="8" xfId="0" applyBorder="1" applyProtection="1"/>
    <xf numFmtId="0" fontId="0" fillId="0" borderId="50" xfId="0" applyBorder="1" applyAlignment="1" applyProtection="1"/>
    <xf numFmtId="0" fontId="0" fillId="0" borderId="60" xfId="0" applyBorder="1" applyAlignment="1" applyProtection="1"/>
    <xf numFmtId="0" fontId="0" fillId="0" borderId="61" xfId="0" applyBorder="1" applyAlignment="1" applyProtection="1"/>
    <xf numFmtId="0" fontId="0" fillId="0" borderId="50" xfId="0" applyBorder="1" applyProtection="1"/>
    <xf numFmtId="0" fontId="0" fillId="0" borderId="60" xfId="0" applyBorder="1" applyProtection="1"/>
    <xf numFmtId="0" fontId="0" fillId="0" borderId="26" xfId="0" applyBorder="1" applyProtection="1"/>
    <xf numFmtId="0" fontId="0" fillId="0" borderId="49" xfId="0" applyBorder="1" applyProtection="1"/>
    <xf numFmtId="0" fontId="0" fillId="0" borderId="0" xfId="0" applyBorder="1" applyProtection="1"/>
    <xf numFmtId="0" fontId="16" fillId="0" borderId="0" xfId="0" applyFont="1" applyBorder="1" applyAlignment="1" applyProtection="1">
      <alignment horizontal="center"/>
    </xf>
    <xf numFmtId="0" fontId="0" fillId="0" borderId="12" xfId="0" applyBorder="1" applyProtection="1"/>
    <xf numFmtId="0" fontId="0" fillId="0" borderId="49" xfId="0" applyBorder="1" applyAlignment="1" applyProtection="1">
      <alignment horizontal="left" indent="2"/>
    </xf>
    <xf numFmtId="0" fontId="0" fillId="0" borderId="49" xfId="0" applyBorder="1" applyAlignment="1" applyProtection="1">
      <alignment horizontal="left" indent="4"/>
    </xf>
    <xf numFmtId="0" fontId="0" fillId="0" borderId="49" xfId="0" applyBorder="1" applyAlignment="1" applyProtection="1">
      <alignment horizontal="left" indent="9"/>
    </xf>
    <xf numFmtId="0" fontId="0" fillId="0" borderId="61" xfId="0" applyBorder="1" applyAlignment="1" applyProtection="1">
      <alignment horizontal="left" indent="2"/>
    </xf>
    <xf numFmtId="0" fontId="0" fillId="0" borderId="48" xfId="0" applyBorder="1" applyProtection="1"/>
    <xf numFmtId="4" fontId="0" fillId="0" borderId="48" xfId="0" applyNumberFormat="1" applyBorder="1" applyProtection="1"/>
    <xf numFmtId="4" fontId="0" fillId="0" borderId="15" xfId="0" applyNumberFormat="1" applyBorder="1" applyProtection="1"/>
    <xf numFmtId="0" fontId="5" fillId="0" borderId="0" xfId="0" applyFont="1" applyFill="1" applyBorder="1" applyProtection="1"/>
    <xf numFmtId="0" fontId="5" fillId="0" borderId="0" xfId="0" applyFont="1" applyBorder="1" applyProtection="1"/>
    <xf numFmtId="0" fontId="5" fillId="0" borderId="0" xfId="0" applyFont="1" applyFill="1" applyBorder="1" applyAlignment="1" applyProtection="1">
      <alignment horizontal="left" indent="2"/>
    </xf>
    <xf numFmtId="0" fontId="0" fillId="0" borderId="0" xfId="0" applyBorder="1" applyAlignment="1" applyProtection="1">
      <alignment horizontal="center" vertical="center"/>
    </xf>
    <xf numFmtId="4" fontId="0" fillId="0" borderId="14" xfId="0" applyNumberFormat="1" applyBorder="1" applyProtection="1"/>
    <xf numFmtId="3" fontId="0" fillId="0" borderId="8" xfId="0" applyNumberFormat="1" applyBorder="1" applyProtection="1"/>
    <xf numFmtId="0" fontId="0" fillId="0" borderId="8" xfId="0" applyBorder="1" applyAlignment="1" applyProtection="1">
      <alignment horizontal="center"/>
    </xf>
    <xf numFmtId="3" fontId="0" fillId="0" borderId="8" xfId="0" applyNumberFormat="1" applyBorder="1" applyAlignment="1" applyProtection="1"/>
    <xf numFmtId="165" fontId="0" fillId="0" borderId="8" xfId="0" applyNumberFormat="1" applyBorder="1" applyProtection="1"/>
    <xf numFmtId="0" fontId="0" fillId="0" borderId="0" xfId="0" applyAlignment="1">
      <alignment horizontal="left" vertical="center" wrapText="1"/>
    </xf>
    <xf numFmtId="14" fontId="0" fillId="0" borderId="48" xfId="0" applyNumberFormat="1" applyBorder="1" applyAlignment="1">
      <alignment horizontal="center"/>
    </xf>
    <xf numFmtId="0" fontId="16" fillId="0" borderId="0" xfId="0" applyFont="1" applyFill="1" applyBorder="1" applyAlignment="1">
      <alignment horizontal="left" indent="3"/>
    </xf>
    <xf numFmtId="0" fontId="0" fillId="0" borderId="49" xfId="0" applyBorder="1" applyAlignment="1" applyProtection="1">
      <alignment horizontal="left" indent="1"/>
    </xf>
    <xf numFmtId="0" fontId="0" fillId="0" borderId="49" xfId="0" applyBorder="1" applyAlignment="1" applyProtection="1">
      <alignment horizontal="left"/>
    </xf>
    <xf numFmtId="0" fontId="0" fillId="0" borderId="49" xfId="0" applyBorder="1" applyAlignment="1" applyProtection="1">
      <alignment horizontal="left" indent="6"/>
    </xf>
    <xf numFmtId="0" fontId="0" fillId="0" borderId="49" xfId="0" applyFill="1" applyBorder="1" applyAlignment="1" applyProtection="1">
      <alignment horizontal="left" indent="2"/>
    </xf>
    <xf numFmtId="0" fontId="0" fillId="0" borderId="49" xfId="0" applyFill="1" applyBorder="1" applyAlignment="1" applyProtection="1">
      <alignment horizontal="left" indent="6"/>
    </xf>
    <xf numFmtId="39" fontId="0" fillId="0" borderId="0" xfId="0" applyNumberFormat="1" applyFill="1" applyBorder="1" applyProtection="1"/>
    <xf numFmtId="39" fontId="0" fillId="0" borderId="0" xfId="0" applyNumberFormat="1" applyBorder="1" applyProtection="1"/>
    <xf numFmtId="0" fontId="0" fillId="0" borderId="15" xfId="0" applyBorder="1" applyProtection="1"/>
    <xf numFmtId="4" fontId="0" fillId="0" borderId="0" xfId="0" applyNumberFormat="1" applyBorder="1" applyAlignment="1" applyProtection="1">
      <alignment horizontal="left" indent="1"/>
    </xf>
    <xf numFmtId="4" fontId="0" fillId="0" borderId="0" xfId="0" applyNumberFormat="1" applyBorder="1" applyAlignment="1" applyProtection="1">
      <alignment horizontal="left" indent="2"/>
    </xf>
    <xf numFmtId="0" fontId="0" fillId="0" borderId="0" xfId="0" applyBorder="1" applyAlignment="1" applyProtection="1">
      <alignment horizontal="left" indent="1"/>
    </xf>
    <xf numFmtId="0" fontId="0" fillId="0" borderId="0" xfId="0" applyBorder="1" applyAlignment="1" applyProtection="1">
      <alignment horizontal="left" indent="2"/>
    </xf>
    <xf numFmtId="0" fontId="0" fillId="0" borderId="0" xfId="0" applyBorder="1" applyAlignment="1" applyProtection="1">
      <alignment horizontal="left" indent="3"/>
    </xf>
    <xf numFmtId="4" fontId="0" fillId="0" borderId="0" xfId="0" applyNumberFormat="1" applyBorder="1" applyAlignment="1" applyProtection="1">
      <alignment horizontal="left" indent="3"/>
    </xf>
    <xf numFmtId="4" fontId="0" fillId="0" borderId="8" xfId="0" applyNumberFormat="1" applyBorder="1" applyAlignment="1"/>
    <xf numFmtId="4" fontId="0" fillId="0" borderId="17" xfId="0" applyNumberFormat="1" applyBorder="1" applyAlignment="1"/>
    <xf numFmtId="4" fontId="27" fillId="0" borderId="17" xfId="0" applyNumberFormat="1" applyFont="1" applyBorder="1" applyAlignment="1">
      <alignment horizontal="center"/>
    </xf>
    <xf numFmtId="0" fontId="0" fillId="0" borderId="70" xfId="0" applyBorder="1" applyAlignment="1"/>
    <xf numFmtId="0" fontId="0" fillId="0" borderId="71" xfId="0" applyBorder="1" applyAlignment="1"/>
    <xf numFmtId="0" fontId="0" fillId="0" borderId="72" xfId="0" applyBorder="1" applyAlignment="1">
      <alignment horizontal="center"/>
    </xf>
    <xf numFmtId="0" fontId="0" fillId="0" borderId="14" xfId="0" applyBorder="1" applyAlignment="1">
      <alignment horizontal="center" vertical="center" wrapText="1"/>
    </xf>
    <xf numFmtId="0" fontId="0" fillId="0" borderId="14" xfId="0" applyBorder="1" applyAlignment="1">
      <alignment horizontal="center"/>
    </xf>
    <xf numFmtId="0" fontId="4" fillId="0" borderId="48" xfId="0" applyFont="1" applyBorder="1" applyAlignment="1">
      <alignment horizontal="right"/>
    </xf>
    <xf numFmtId="0" fontId="27" fillId="0" borderId="63" xfId="0" applyFont="1" applyBorder="1"/>
    <xf numFmtId="0" fontId="27" fillId="0" borderId="73" xfId="0" applyFont="1" applyBorder="1"/>
    <xf numFmtId="39" fontId="0" fillId="0" borderId="12" xfId="0" applyNumberFormat="1" applyBorder="1" applyProtection="1"/>
    <xf numFmtId="0" fontId="0" fillId="0" borderId="57" xfId="0" applyFill="1" applyBorder="1" applyAlignment="1"/>
    <xf numFmtId="0" fontId="6" fillId="0" borderId="0" xfId="0" applyFont="1" applyFill="1" applyBorder="1" applyAlignment="1" applyProtection="1">
      <alignment horizontal="left" indent="5"/>
    </xf>
    <xf numFmtId="0" fontId="6" fillId="0" borderId="0" xfId="0" applyFont="1" applyFill="1" applyBorder="1" applyAlignment="1" applyProtection="1">
      <alignment horizontal="left" indent="2"/>
    </xf>
    <xf numFmtId="0" fontId="6"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6" fillId="0" borderId="0" xfId="0" applyFont="1" applyBorder="1" applyProtection="1"/>
    <xf numFmtId="0" fontId="6" fillId="0" borderId="0" xfId="0" applyFont="1" applyProtection="1"/>
    <xf numFmtId="166" fontId="6" fillId="0" borderId="0" xfId="0" applyNumberFormat="1" applyFont="1" applyBorder="1" applyProtection="1"/>
    <xf numFmtId="166" fontId="6" fillId="0" borderId="0" xfId="0" applyNumberFormat="1" applyFont="1" applyProtection="1"/>
    <xf numFmtId="166" fontId="6" fillId="0" borderId="27" xfId="0" applyNumberFormat="1" applyFont="1" applyBorder="1" applyProtection="1"/>
    <xf numFmtId="166" fontId="6" fillId="0" borderId="32" xfId="0" applyNumberFormat="1" applyFont="1" applyBorder="1" applyProtection="1"/>
    <xf numFmtId="166" fontId="6" fillId="0" borderId="8" xfId="0" applyNumberFormat="1" applyFont="1" applyBorder="1" applyProtection="1"/>
    <xf numFmtId="166" fontId="5" fillId="0" borderId="8" xfId="0" applyNumberFormat="1" applyFont="1" applyBorder="1" applyProtection="1"/>
    <xf numFmtId="0" fontId="4" fillId="0" borderId="0" xfId="0" applyFont="1" applyFill="1" applyBorder="1" applyAlignment="1" applyProtection="1">
      <alignment horizontal="center"/>
    </xf>
    <xf numFmtId="0" fontId="4" fillId="0" borderId="0" xfId="0" applyFont="1" applyAlignment="1">
      <alignment horizontal="center"/>
    </xf>
    <xf numFmtId="0" fontId="2" fillId="0" borderId="0" xfId="0" applyFont="1" applyAlignment="1" applyProtection="1">
      <alignment horizontal="center"/>
    </xf>
    <xf numFmtId="166" fontId="6" fillId="0" borderId="0" xfId="0" applyNumberFormat="1" applyFont="1" applyFill="1" applyBorder="1" applyAlignment="1" applyProtection="1"/>
    <xf numFmtId="0" fontId="0" fillId="0" borderId="0" xfId="0" applyAlignment="1">
      <alignment horizontal="left"/>
    </xf>
    <xf numFmtId="0" fontId="2" fillId="0" borderId="0" xfId="0" applyFont="1" applyAlignment="1" applyProtection="1">
      <alignment horizontal="left" indent="1"/>
    </xf>
    <xf numFmtId="49" fontId="0" fillId="0" borderId="0" xfId="0" applyNumberFormat="1" applyProtection="1"/>
    <xf numFmtId="4" fontId="0" fillId="0" borderId="60" xfId="0" applyNumberFormat="1" applyBorder="1" applyProtection="1"/>
    <xf numFmtId="0" fontId="0" fillId="0" borderId="19" xfId="0" applyBorder="1" applyAlignment="1" applyProtection="1">
      <alignment horizontal="center" vertical="center"/>
    </xf>
    <xf numFmtId="0" fontId="6" fillId="0" borderId="8" xfId="0" applyFont="1" applyBorder="1" applyAlignment="1" applyProtection="1">
      <alignment horizontal="center"/>
    </xf>
    <xf numFmtId="49" fontId="0" fillId="0" borderId="8" xfId="0" applyNumberFormat="1" applyBorder="1" applyAlignment="1">
      <alignment wrapText="1"/>
    </xf>
    <xf numFmtId="49" fontId="0" fillId="0" borderId="0" xfId="0" applyNumberFormat="1" applyBorder="1" applyAlignment="1" applyProtection="1">
      <alignment horizontal="left" indent="2"/>
    </xf>
    <xf numFmtId="0" fontId="2" fillId="0" borderId="60" xfId="0" applyFont="1" applyBorder="1" applyAlignment="1" applyProtection="1">
      <alignment horizontal="center"/>
    </xf>
    <xf numFmtId="0" fontId="5" fillId="0" borderId="0" xfId="0" applyFont="1" applyFill="1" applyBorder="1" applyAlignment="1" applyProtection="1">
      <alignment horizontal="left" indent="17"/>
    </xf>
    <xf numFmtId="0" fontId="5" fillId="0" borderId="0" xfId="0" applyFont="1" applyBorder="1" applyAlignment="1" applyProtection="1">
      <alignment horizontal="left" indent="11"/>
    </xf>
    <xf numFmtId="0" fontId="0" fillId="0" borderId="0" xfId="0" applyBorder="1" applyAlignment="1" applyProtection="1">
      <alignment horizontal="left" indent="11"/>
    </xf>
    <xf numFmtId="0" fontId="0" fillId="0" borderId="0" xfId="0" applyAlignment="1">
      <alignment horizontal="left" wrapText="1" indent="5"/>
    </xf>
    <xf numFmtId="0" fontId="0" fillId="0" borderId="12" xfId="0" applyBorder="1" applyAlignment="1">
      <alignment horizontal="left" wrapText="1" indent="5"/>
    </xf>
    <xf numFmtId="0" fontId="6" fillId="0" borderId="0" xfId="0" applyFont="1"/>
    <xf numFmtId="0" fontId="6" fillId="0" borderId="0" xfId="0" applyFont="1" applyAlignment="1">
      <alignment horizontal="left" indent="2"/>
    </xf>
    <xf numFmtId="49" fontId="6" fillId="0" borderId="8" xfId="0" applyNumberFormat="1" applyFont="1" applyBorder="1"/>
    <xf numFmtId="0" fontId="6" fillId="0" borderId="8" xfId="0" applyFont="1" applyBorder="1" applyAlignment="1">
      <alignment horizontal="center" vertical="center"/>
    </xf>
    <xf numFmtId="0" fontId="6" fillId="0" borderId="49" xfId="0" applyFont="1" applyBorder="1" applyAlignment="1" applyProtection="1">
      <alignment horizontal="left" indent="2"/>
    </xf>
    <xf numFmtId="0" fontId="6" fillId="0" borderId="0" xfId="0" applyFont="1" applyBorder="1" applyAlignment="1" applyProtection="1">
      <alignment horizontal="left" indent="2"/>
    </xf>
    <xf numFmtId="4" fontId="6" fillId="0" borderId="0" xfId="0" applyNumberFormat="1" applyFont="1" applyBorder="1" applyAlignment="1" applyProtection="1">
      <alignment horizontal="left" indent="2"/>
    </xf>
    <xf numFmtId="0" fontId="6" fillId="0" borderId="49" xfId="0" applyFont="1" applyBorder="1" applyAlignment="1" applyProtection="1">
      <alignment horizontal="left"/>
    </xf>
    <xf numFmtId="0" fontId="31" fillId="0" borderId="74" xfId="2" applyFont="1" applyBorder="1" applyAlignment="1">
      <alignment horizontal="center" vertical="center" textRotation="60"/>
    </xf>
    <xf numFmtId="0" fontId="31" fillId="0" borderId="29" xfId="2" applyFont="1" applyBorder="1" applyAlignment="1">
      <alignment horizontal="center" vertical="center" textRotation="60"/>
    </xf>
    <xf numFmtId="0" fontId="31" fillId="0" borderId="29" xfId="2" applyFont="1" applyBorder="1" applyAlignment="1">
      <alignment horizontal="center" textRotation="60"/>
    </xf>
    <xf numFmtId="0" fontId="31" fillId="0" borderId="30" xfId="2" applyFont="1" applyBorder="1" applyAlignment="1">
      <alignment horizontal="center" vertical="center" textRotation="60"/>
    </xf>
    <xf numFmtId="0" fontId="0" fillId="0" borderId="75" xfId="0" applyBorder="1"/>
    <xf numFmtId="0" fontId="0" fillId="0" borderId="66" xfId="0" applyBorder="1" applyProtection="1">
      <protection locked="0"/>
    </xf>
    <xf numFmtId="0" fontId="0" fillId="0" borderId="8" xfId="0" applyBorder="1" applyProtection="1">
      <protection locked="0"/>
    </xf>
    <xf numFmtId="0" fontId="0" fillId="0" borderId="65" xfId="0" applyBorder="1" applyAlignment="1" applyProtection="1">
      <alignment horizontal="center"/>
      <protection locked="0"/>
    </xf>
    <xf numFmtId="0" fontId="6" fillId="0" borderId="65" xfId="0" applyFont="1" applyBorder="1" applyAlignment="1" applyProtection="1">
      <alignment horizontal="center"/>
      <protection locked="0"/>
    </xf>
    <xf numFmtId="0" fontId="29" fillId="0" borderId="0" xfId="0" applyFont="1" applyAlignment="1" applyProtection="1">
      <alignment horizontal="left"/>
    </xf>
    <xf numFmtId="0" fontId="29" fillId="0" borderId="0" xfId="0" applyFont="1" applyFill="1" applyBorder="1" applyAlignment="1" applyProtection="1">
      <alignment horizontal="left"/>
    </xf>
    <xf numFmtId="167" fontId="6" fillId="2" borderId="6" xfId="0" applyNumberFormat="1" applyFont="1" applyFill="1" applyBorder="1" applyProtection="1"/>
    <xf numFmtId="166" fontId="6" fillId="2" borderId="32" xfId="0" applyNumberFormat="1" applyFont="1" applyFill="1" applyBorder="1" applyProtection="1"/>
    <xf numFmtId="166" fontId="5" fillId="2" borderId="8" xfId="0" applyNumberFormat="1" applyFont="1" applyFill="1" applyBorder="1" applyProtection="1"/>
    <xf numFmtId="5" fontId="5" fillId="2" borderId="8" xfId="0" applyNumberFormat="1" applyFont="1" applyFill="1" applyBorder="1" applyAlignment="1" applyProtection="1"/>
    <xf numFmtId="166" fontId="6" fillId="2" borderId="8" xfId="0" applyNumberFormat="1" applyFont="1" applyFill="1" applyBorder="1" applyProtection="1"/>
    <xf numFmtId="166" fontId="6" fillId="2" borderId="27" xfId="0" applyNumberFormat="1" applyFont="1" applyFill="1" applyBorder="1" applyProtection="1"/>
    <xf numFmtId="166" fontId="6" fillId="2" borderId="32" xfId="0" applyNumberFormat="1" applyFont="1" applyFill="1" applyBorder="1" applyAlignment="1" applyProtection="1"/>
    <xf numFmtId="166" fontId="6" fillId="2" borderId="6" xfId="0" applyNumberFormat="1" applyFont="1" applyFill="1" applyBorder="1" applyProtection="1"/>
    <xf numFmtId="0" fontId="1" fillId="0" borderId="0" xfId="0" applyFont="1" applyAlignment="1" applyProtection="1">
      <alignment horizontal="center"/>
    </xf>
    <xf numFmtId="0" fontId="5" fillId="0" borderId="0" xfId="0" applyFont="1" applyFill="1" applyBorder="1" applyAlignment="1" applyProtection="1">
      <alignment horizontal="left" indent="17"/>
    </xf>
    <xf numFmtId="0" fontId="6" fillId="0" borderId="8" xfId="0" applyFont="1" applyBorder="1" applyAlignment="1">
      <alignment horizontal="center"/>
    </xf>
    <xf numFmtId="4" fontId="6" fillId="0" borderId="0" xfId="0" applyNumberFormat="1" applyFont="1" applyBorder="1" applyAlignment="1" applyProtection="1">
      <alignment horizontal="left" indent="1"/>
    </xf>
    <xf numFmtId="4" fontId="6" fillId="0" borderId="8" xfId="0" applyNumberFormat="1" applyFont="1" applyFill="1" applyBorder="1" applyProtection="1"/>
    <xf numFmtId="4" fontId="6" fillId="0" borderId="6" xfId="0" applyNumberFormat="1" applyFont="1" applyFill="1" applyBorder="1" applyProtection="1"/>
    <xf numFmtId="4" fontId="6" fillId="0" borderId="1" xfId="0" applyNumberFormat="1" applyFont="1" applyFill="1" applyBorder="1" applyProtection="1"/>
    <xf numFmtId="4" fontId="1" fillId="0" borderId="15" xfId="0" applyNumberFormat="1" applyFont="1" applyFill="1" applyBorder="1" applyProtection="1"/>
    <xf numFmtId="4" fontId="2" fillId="0" borderId="6" xfId="0" applyNumberFormat="1" applyFont="1" applyFill="1" applyBorder="1" applyAlignment="1" applyProtection="1">
      <alignment horizontal="center"/>
    </xf>
    <xf numFmtId="4" fontId="6" fillId="0" borderId="27" xfId="0" applyNumberFormat="1" applyFont="1" applyFill="1" applyBorder="1" applyProtection="1"/>
    <xf numFmtId="4" fontId="6" fillId="0" borderId="37" xfId="0" applyNumberFormat="1" applyFont="1" applyFill="1" applyBorder="1" applyProtection="1"/>
    <xf numFmtId="4" fontId="6" fillId="0" borderId="0" xfId="0" applyNumberFormat="1" applyFont="1" applyFill="1" applyProtection="1"/>
    <xf numFmtId="4" fontId="6" fillId="0" borderId="8" xfId="0" applyNumberFormat="1" applyFont="1" applyFill="1" applyBorder="1" applyAlignment="1" applyProtection="1">
      <alignment horizontal="center"/>
    </xf>
    <xf numFmtId="4" fontId="6" fillId="0" borderId="17" xfId="0" applyNumberFormat="1" applyFont="1" applyFill="1" applyBorder="1" applyProtection="1"/>
    <xf numFmtId="4" fontId="6" fillId="0" borderId="6" xfId="0" applyNumberFormat="1" applyFont="1" applyFill="1" applyBorder="1" applyAlignment="1" applyProtection="1">
      <alignment horizontal="center"/>
    </xf>
    <xf numFmtId="4" fontId="6" fillId="0" borderId="32" xfId="0" applyNumberFormat="1" applyFont="1" applyFill="1" applyBorder="1" applyAlignment="1" applyProtection="1">
      <alignment horizontal="center"/>
    </xf>
    <xf numFmtId="43" fontId="6" fillId="0" borderId="8" xfId="3" applyFont="1" applyFill="1" applyBorder="1" applyProtection="1"/>
    <xf numFmtId="4" fontId="6" fillId="0" borderId="29" xfId="0" applyNumberFormat="1" applyFont="1" applyFill="1" applyBorder="1" applyProtection="1"/>
    <xf numFmtId="4" fontId="6" fillId="0" borderId="38" xfId="0" applyNumberFormat="1" applyFont="1" applyFill="1" applyBorder="1" applyProtection="1"/>
    <xf numFmtId="4" fontId="6" fillId="0" borderId="43" xfId="0" applyNumberFormat="1" applyFont="1" applyFill="1" applyBorder="1" applyProtection="1"/>
    <xf numFmtId="4" fontId="6" fillId="0" borderId="32" xfId="0" applyNumberFormat="1" applyFont="1" applyFill="1" applyBorder="1" applyProtection="1"/>
    <xf numFmtId="4" fontId="4" fillId="0" borderId="1" xfId="0" applyNumberFormat="1" applyFont="1" applyFill="1" applyBorder="1" applyAlignment="1"/>
    <xf numFmtId="49" fontId="1" fillId="0" borderId="1" xfId="0" applyNumberFormat="1" applyFont="1" applyFill="1" applyBorder="1" applyAlignment="1">
      <alignment horizontal="center"/>
    </xf>
    <xf numFmtId="4" fontId="12" fillId="0" borderId="1" xfId="0" applyNumberFormat="1" applyFont="1" applyFill="1" applyBorder="1"/>
    <xf numFmtId="4" fontId="4" fillId="0" borderId="1" xfId="0" applyNumberFormat="1" applyFont="1" applyFill="1" applyBorder="1" applyAlignment="1">
      <alignment horizontal="right"/>
    </xf>
    <xf numFmtId="4" fontId="9" fillId="0" borderId="1" xfId="0" applyNumberFormat="1" applyFont="1" applyFill="1" applyBorder="1"/>
    <xf numFmtId="4" fontId="0" fillId="0" borderId="1" xfId="0" applyNumberFormat="1" applyFill="1" applyBorder="1"/>
    <xf numFmtId="4" fontId="0" fillId="0" borderId="0" xfId="0" applyNumberFormat="1" applyFill="1" applyBorder="1"/>
    <xf numFmtId="4" fontId="4" fillId="0" borderId="12" xfId="0" applyNumberFormat="1" applyFont="1" applyFill="1" applyBorder="1" applyAlignment="1">
      <alignment horizontal="left"/>
    </xf>
    <xf numFmtId="49" fontId="4" fillId="0" borderId="32" xfId="0" applyNumberFormat="1" applyFont="1" applyFill="1" applyBorder="1" applyAlignment="1">
      <alignment horizontal="center"/>
    </xf>
    <xf numFmtId="4" fontId="2" fillId="0" borderId="2" xfId="0" applyNumberFormat="1" applyFont="1" applyFill="1" applyBorder="1" applyAlignment="1"/>
    <xf numFmtId="4" fontId="2" fillId="0" borderId="0" xfId="0" applyNumberFormat="1" applyFont="1" applyFill="1" applyBorder="1"/>
    <xf numFmtId="4" fontId="2" fillId="0" borderId="10" xfId="0" applyNumberFormat="1" applyFont="1" applyFill="1" applyBorder="1" applyAlignment="1">
      <alignment horizontal="center"/>
    </xf>
    <xf numFmtId="4" fontId="0" fillId="0" borderId="11" xfId="0" applyNumberFormat="1" applyFill="1" applyBorder="1"/>
    <xf numFmtId="4" fontId="2" fillId="0" borderId="2" xfId="0" applyNumberFormat="1" applyFont="1" applyFill="1" applyBorder="1"/>
    <xf numFmtId="4" fontId="1" fillId="0" borderId="4" xfId="0" applyNumberFormat="1" applyFont="1" applyFill="1" applyBorder="1"/>
    <xf numFmtId="4" fontId="2" fillId="0" borderId="25" xfId="0" applyNumberFormat="1" applyFont="1" applyFill="1" applyBorder="1" applyAlignment="1">
      <alignment horizontal="left" vertical="center" indent="2"/>
    </xf>
    <xf numFmtId="49" fontId="2" fillId="0" borderId="36"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 fontId="32" fillId="0" borderId="3" xfId="0" applyNumberFormat="1" applyFont="1" applyFill="1" applyBorder="1" applyAlignment="1">
      <alignment horizontal="center" wrapText="1"/>
    </xf>
    <xf numFmtId="4" fontId="32" fillId="0" borderId="5" xfId="0" applyNumberFormat="1" applyFont="1" applyFill="1" applyBorder="1" applyAlignment="1">
      <alignment horizontal="center" wrapText="1"/>
    </xf>
    <xf numFmtId="4" fontId="2" fillId="0" borderId="5"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xf>
    <xf numFmtId="4" fontId="5" fillId="0" borderId="15" xfId="0" applyNumberFormat="1" applyFont="1" applyFill="1" applyBorder="1" applyAlignment="1">
      <alignment horizontal="left" indent="3"/>
    </xf>
    <xf numFmtId="49" fontId="0" fillId="0" borderId="6" xfId="0" applyNumberFormat="1" applyFill="1" applyBorder="1" applyAlignment="1">
      <alignment horizontal="center"/>
    </xf>
    <xf numFmtId="4" fontId="0" fillId="0" borderId="6" xfId="0" applyNumberFormat="1" applyFill="1" applyBorder="1"/>
    <xf numFmtId="4" fontId="0" fillId="0" borderId="20" xfId="0" applyNumberFormat="1" applyFill="1" applyBorder="1"/>
    <xf numFmtId="4" fontId="0" fillId="0" borderId="15" xfId="0" applyNumberFormat="1" applyFill="1" applyBorder="1" applyAlignment="1">
      <alignment horizontal="left" indent="3"/>
    </xf>
    <xf numFmtId="4" fontId="0" fillId="0" borderId="7" xfId="0" applyNumberFormat="1" applyFill="1" applyBorder="1"/>
    <xf numFmtId="4" fontId="0" fillId="0" borderId="14" xfId="0" applyNumberFormat="1" applyFill="1" applyBorder="1" applyAlignment="1">
      <alignment horizontal="left" indent="5"/>
    </xf>
    <xf numFmtId="49" fontId="0" fillId="0" borderId="8" xfId="0" applyNumberFormat="1" applyFill="1" applyBorder="1" applyAlignment="1">
      <alignment horizontal="center"/>
    </xf>
    <xf numFmtId="4" fontId="6" fillId="0" borderId="8" xfId="0" applyNumberFormat="1" applyFont="1" applyFill="1" applyBorder="1"/>
    <xf numFmtId="4" fontId="0" fillId="0" borderId="8" xfId="0" applyNumberFormat="1" applyFill="1" applyBorder="1"/>
    <xf numFmtId="4" fontId="0" fillId="0" borderId="9" xfId="0" applyNumberFormat="1" applyFill="1" applyBorder="1"/>
    <xf numFmtId="4" fontId="0" fillId="0" borderId="14" xfId="0" applyNumberFormat="1" applyFill="1" applyBorder="1" applyAlignment="1">
      <alignment horizontal="left" indent="3"/>
    </xf>
    <xf numFmtId="4" fontId="7" fillId="0" borderId="8" xfId="0" applyNumberFormat="1" applyFont="1" applyFill="1" applyBorder="1"/>
    <xf numFmtId="4" fontId="6" fillId="0" borderId="14" xfId="0" applyNumberFormat="1" applyFont="1" applyFill="1" applyBorder="1" applyAlignment="1">
      <alignment horizontal="left" indent="5"/>
    </xf>
    <xf numFmtId="4" fontId="0" fillId="0" borderId="16" xfId="0" applyNumberFormat="1" applyFill="1" applyBorder="1" applyAlignment="1">
      <alignment horizontal="left" indent="3"/>
    </xf>
    <xf numFmtId="49" fontId="0" fillId="0" borderId="17" xfId="0" applyNumberFormat="1" applyFill="1" applyBorder="1" applyAlignment="1">
      <alignment horizontal="center"/>
    </xf>
    <xf numFmtId="4" fontId="0" fillId="0" borderId="17" xfId="0" applyNumberFormat="1" applyFill="1" applyBorder="1"/>
    <xf numFmtId="4" fontId="0" fillId="0" borderId="18" xfId="0" applyNumberFormat="1" applyFill="1" applyBorder="1"/>
    <xf numFmtId="49" fontId="0" fillId="0" borderId="0" xfId="0" applyNumberFormat="1" applyFill="1" applyBorder="1" applyAlignment="1">
      <alignment horizontal="center"/>
    </xf>
    <xf numFmtId="4" fontId="2" fillId="0" borderId="0" xfId="0" applyNumberFormat="1" applyFont="1" applyFill="1" applyBorder="1" applyAlignment="1">
      <alignment horizontal="left"/>
    </xf>
    <xf numFmtId="4" fontId="1" fillId="0" borderId="1" xfId="0" applyNumberFormat="1" applyFont="1" applyFill="1" applyBorder="1" applyAlignment="1"/>
    <xf numFmtId="4" fontId="3" fillId="0" borderId="1" xfId="0" applyNumberFormat="1" applyFont="1" applyFill="1" applyBorder="1" applyAlignment="1">
      <alignment horizontal="right"/>
    </xf>
    <xf numFmtId="4" fontId="8" fillId="0" borderId="3" xfId="0" applyNumberFormat="1" applyFont="1" applyFill="1" applyBorder="1" applyAlignment="1">
      <alignment horizontal="center" wrapText="1"/>
    </xf>
    <xf numFmtId="4" fontId="8" fillId="0" borderId="5" xfId="0" applyNumberFormat="1" applyFont="1" applyFill="1" applyBorder="1" applyAlignment="1">
      <alignment horizontal="center" wrapText="1"/>
    </xf>
    <xf numFmtId="49" fontId="0" fillId="0" borderId="19" xfId="0" applyNumberFormat="1" applyFill="1" applyBorder="1" applyAlignment="1">
      <alignment horizontal="center"/>
    </xf>
    <xf numFmtId="4" fontId="0" fillId="0" borderId="19" xfId="0" applyNumberFormat="1" applyFill="1" applyBorder="1"/>
    <xf numFmtId="4" fontId="6" fillId="0" borderId="14" xfId="0" applyNumberFormat="1" applyFont="1" applyFill="1" applyBorder="1" applyAlignment="1">
      <alignment horizontal="left" indent="3"/>
    </xf>
    <xf numFmtId="4" fontId="5" fillId="0" borderId="14" xfId="0" applyNumberFormat="1" applyFont="1" applyFill="1" applyBorder="1" applyAlignment="1">
      <alignment horizontal="left" indent="3"/>
    </xf>
    <xf numFmtId="4" fontId="0" fillId="0" borderId="37" xfId="0" applyNumberFormat="1" applyFill="1" applyBorder="1"/>
    <xf numFmtId="49" fontId="0" fillId="0" borderId="37" xfId="0" applyNumberFormat="1" applyFill="1" applyBorder="1" applyAlignment="1">
      <alignment horizontal="center"/>
    </xf>
    <xf numFmtId="4" fontId="1" fillId="0" borderId="1" xfId="0" applyNumberFormat="1" applyFont="1" applyFill="1" applyBorder="1"/>
    <xf numFmtId="4" fontId="5" fillId="0" borderId="14" xfId="0" applyNumberFormat="1" applyFont="1" applyFill="1" applyBorder="1" applyAlignment="1">
      <alignment horizontal="left" vertical="center" wrapText="1" indent="3"/>
    </xf>
    <xf numFmtId="4" fontId="2" fillId="0" borderId="37" xfId="0" applyNumberFormat="1" applyFont="1" applyFill="1" applyBorder="1" applyAlignment="1">
      <alignment horizontal="left"/>
    </xf>
    <xf numFmtId="4" fontId="0" fillId="0" borderId="14" xfId="0" applyNumberFormat="1" applyFill="1" applyBorder="1"/>
    <xf numFmtId="4" fontId="0" fillId="0" borderId="27" xfId="0" applyNumberFormat="1" applyFill="1" applyBorder="1"/>
    <xf numFmtId="4" fontId="5" fillId="0" borderId="21" xfId="0" applyNumberFormat="1" applyFont="1" applyFill="1" applyBorder="1" applyAlignment="1">
      <alignment horizontal="left" indent="3"/>
    </xf>
    <xf numFmtId="49" fontId="2" fillId="0" borderId="32" xfId="0" applyNumberFormat="1" applyFont="1" applyFill="1" applyBorder="1" applyAlignment="1">
      <alignment horizontal="center" vertical="center"/>
    </xf>
    <xf numFmtId="4" fontId="2" fillId="0" borderId="22" xfId="0" applyNumberFormat="1" applyFont="1" applyFill="1" applyBorder="1" applyAlignment="1">
      <alignment horizontal="center" vertical="center"/>
    </xf>
    <xf numFmtId="4" fontId="8" fillId="0" borderId="2" xfId="0" applyNumberFormat="1" applyFont="1" applyFill="1" applyBorder="1" applyAlignment="1">
      <alignment horizontal="center" wrapText="1"/>
    </xf>
    <xf numFmtId="4" fontId="8" fillId="0" borderId="22" xfId="0" applyNumberFormat="1" applyFont="1" applyFill="1" applyBorder="1" applyAlignment="1">
      <alignment horizontal="center" wrapText="1"/>
    </xf>
    <xf numFmtId="4" fontId="2" fillId="0" borderId="22"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xf>
    <xf numFmtId="4" fontId="0" fillId="0" borderId="21" xfId="0" applyNumberFormat="1" applyFill="1" applyBorder="1" applyAlignment="1">
      <alignment horizontal="left" indent="3"/>
    </xf>
    <xf numFmtId="4" fontId="5" fillId="0" borderId="14" xfId="0" applyNumberFormat="1" applyFont="1" applyFill="1" applyBorder="1" applyAlignment="1">
      <alignment horizontal="left" wrapText="1" indent="3"/>
    </xf>
    <xf numFmtId="4" fontId="0" fillId="0" borderId="14" xfId="0" applyNumberFormat="1" applyFill="1" applyBorder="1" applyAlignment="1">
      <alignment horizontal="left" vertical="center" indent="3"/>
    </xf>
    <xf numFmtId="4" fontId="6" fillId="0" borderId="0" xfId="0" applyNumberFormat="1" applyFont="1" applyFill="1" applyBorder="1" applyAlignment="1">
      <alignment horizontal="left" wrapText="1" indent="3"/>
    </xf>
    <xf numFmtId="4" fontId="6" fillId="0" borderId="14" xfId="0" applyNumberFormat="1" applyFont="1" applyFill="1" applyBorder="1" applyAlignment="1">
      <alignment horizontal="left" wrapText="1" indent="3"/>
    </xf>
    <xf numFmtId="4" fontId="6" fillId="0" borderId="14" xfId="0" applyNumberFormat="1" applyFont="1" applyFill="1" applyBorder="1" applyAlignment="1">
      <alignment horizontal="left" wrapText="1" indent="5"/>
    </xf>
    <xf numFmtId="4" fontId="6" fillId="0" borderId="0" xfId="0" applyNumberFormat="1" applyFont="1" applyFill="1" applyBorder="1" applyAlignment="1">
      <alignment horizontal="left" wrapText="1" indent="5"/>
    </xf>
    <xf numFmtId="4" fontId="10" fillId="0" borderId="21" xfId="0" applyNumberFormat="1" applyFont="1" applyFill="1" applyBorder="1" applyAlignment="1">
      <alignment horizontal="left" indent="3"/>
    </xf>
    <xf numFmtId="4" fontId="0" fillId="0" borderId="0" xfId="0" applyNumberFormat="1" applyFill="1" applyBorder="1" applyAlignment="1">
      <alignment horizontal="left" indent="3"/>
    </xf>
    <xf numFmtId="4" fontId="5" fillId="0" borderId="24" xfId="0" applyNumberFormat="1" applyFont="1" applyFill="1" applyBorder="1" applyAlignment="1">
      <alignment horizontal="left" indent="3"/>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5" fillId="0" borderId="15" xfId="0" applyNumberFormat="1" applyFont="1" applyFill="1" applyBorder="1" applyAlignment="1">
      <alignment horizontal="left" wrapText="1" indent="3"/>
    </xf>
    <xf numFmtId="49" fontId="6" fillId="0" borderId="8" xfId="0" applyNumberFormat="1" applyFont="1" applyFill="1" applyBorder="1" applyAlignment="1">
      <alignment horizontal="center"/>
    </xf>
    <xf numFmtId="4" fontId="6" fillId="0" borderId="6" xfId="0" applyNumberFormat="1" applyFont="1" applyFill="1" applyBorder="1" applyAlignment="1">
      <alignment horizontal="center"/>
    </xf>
    <xf numFmtId="4" fontId="6" fillId="0" borderId="7" xfId="0" applyNumberFormat="1" applyFont="1" applyFill="1" applyBorder="1" applyAlignment="1">
      <alignment horizontal="center"/>
    </xf>
    <xf numFmtId="4" fontId="0" fillId="0" borderId="14" xfId="0" applyNumberFormat="1" applyFill="1" applyBorder="1" applyAlignment="1">
      <alignment horizontal="left" indent="7"/>
    </xf>
    <xf numFmtId="4" fontId="0" fillId="0" borderId="16" xfId="0" applyNumberFormat="1" applyFill="1" applyBorder="1"/>
    <xf numFmtId="4" fontId="5" fillId="0" borderId="14" xfId="0" applyNumberFormat="1" applyFont="1" applyFill="1" applyBorder="1" applyAlignment="1">
      <alignment horizontal="left" vertical="center" wrapText="1" indent="5"/>
    </xf>
    <xf numFmtId="4" fontId="6" fillId="0" borderId="8" xfId="0" applyNumberFormat="1" applyFont="1" applyFill="1" applyBorder="1" applyAlignment="1">
      <alignment horizontal="center"/>
    </xf>
    <xf numFmtId="4" fontId="10" fillId="0" borderId="14" xfId="0" applyNumberFormat="1" applyFont="1" applyFill="1" applyBorder="1" applyAlignment="1">
      <alignment horizontal="left" wrapText="1" indent="5"/>
    </xf>
    <xf numFmtId="4" fontId="5" fillId="0" borderId="26" xfId="0" applyNumberFormat="1" applyFont="1" applyFill="1" applyBorder="1" applyAlignment="1">
      <alignment horizontal="left" indent="7"/>
    </xf>
    <xf numFmtId="4" fontId="5" fillId="0" borderId="15" xfId="0" applyNumberFormat="1" applyFont="1" applyFill="1" applyBorder="1" applyAlignment="1">
      <alignment horizontal="left" indent="7"/>
    </xf>
    <xf numFmtId="4" fontId="5" fillId="0" borderId="26" xfId="0" applyNumberFormat="1" applyFont="1" applyFill="1" applyBorder="1" applyAlignment="1">
      <alignment horizontal="left" vertical="center" wrapText="1" indent="7"/>
    </xf>
    <xf numFmtId="49" fontId="0" fillId="0" borderId="27" xfId="0" applyNumberFormat="1" applyFill="1" applyBorder="1" applyAlignment="1">
      <alignment horizontal="center"/>
    </xf>
    <xf numFmtId="4" fontId="0" fillId="0" borderId="28" xfId="0" applyNumberFormat="1" applyFill="1" applyBorder="1"/>
    <xf numFmtId="4" fontId="5" fillId="0" borderId="14" xfId="0" applyNumberFormat="1" applyFont="1" applyFill="1" applyBorder="1" applyAlignment="1">
      <alignment horizontal="left" indent="7"/>
    </xf>
    <xf numFmtId="4" fontId="5" fillId="0" borderId="37" xfId="0" applyNumberFormat="1" applyFont="1" applyFill="1" applyBorder="1" applyAlignment="1">
      <alignment horizontal="left"/>
    </xf>
    <xf numFmtId="4" fontId="5" fillId="0" borderId="24" xfId="0" applyNumberFormat="1" applyFont="1" applyFill="1" applyBorder="1" applyAlignment="1">
      <alignment horizontal="left" vertical="center" wrapText="1" indent="2"/>
    </xf>
    <xf numFmtId="4" fontId="5" fillId="0" borderId="14" xfId="0" applyNumberFormat="1" applyFont="1" applyFill="1" applyBorder="1" applyAlignment="1">
      <alignment horizontal="left" indent="2"/>
    </xf>
    <xf numFmtId="49" fontId="6" fillId="0" borderId="6" xfId="0" applyNumberFormat="1" applyFont="1" applyFill="1" applyBorder="1" applyAlignment="1">
      <alignment horizontal="center"/>
    </xf>
    <xf numFmtId="4" fontId="6" fillId="0" borderId="9" xfId="0" applyNumberFormat="1" applyFont="1" applyFill="1" applyBorder="1" applyAlignment="1">
      <alignment horizontal="center"/>
    </xf>
    <xf numFmtId="4" fontId="6" fillId="0" borderId="14" xfId="0" applyNumberFormat="1" applyFont="1" applyFill="1" applyBorder="1" applyAlignment="1">
      <alignment horizontal="left" vertical="top" wrapText="1" indent="6"/>
    </xf>
    <xf numFmtId="4" fontId="0" fillId="0" borderId="14" xfId="0" applyNumberFormat="1" applyFill="1" applyBorder="1" applyAlignment="1">
      <alignment horizontal="left" wrapText="1" indent="5"/>
    </xf>
    <xf numFmtId="4" fontId="0" fillId="0" borderId="14" xfId="0" applyNumberFormat="1" applyFill="1" applyBorder="1" applyAlignment="1">
      <alignment horizontal="left" vertical="top" wrapText="1" indent="11"/>
    </xf>
    <xf numFmtId="4" fontId="0" fillId="0" borderId="14" xfId="0" applyNumberFormat="1" applyFill="1" applyBorder="1" applyAlignment="1">
      <alignment horizontal="left" wrapText="1" indent="11"/>
    </xf>
    <xf numFmtId="4" fontId="0" fillId="0" borderId="14" xfId="0" applyNumberFormat="1" applyFill="1" applyBorder="1" applyAlignment="1">
      <alignment horizontal="left" indent="11"/>
    </xf>
    <xf numFmtId="4" fontId="0" fillId="0" borderId="14" xfId="0" applyNumberFormat="1" applyFill="1" applyBorder="1" applyAlignment="1">
      <alignment horizontal="left"/>
    </xf>
    <xf numFmtId="4" fontId="0" fillId="0" borderId="26" xfId="0" applyNumberFormat="1" applyFill="1" applyBorder="1"/>
    <xf numFmtId="4" fontId="6" fillId="0" borderId="27" xfId="0" applyNumberFormat="1" applyFont="1" applyFill="1" applyBorder="1" applyAlignment="1">
      <alignment horizontal="center"/>
    </xf>
    <xf numFmtId="4" fontId="6" fillId="0" borderId="28" xfId="0" applyNumberFormat="1" applyFont="1" applyFill="1" applyBorder="1" applyAlignment="1">
      <alignment horizontal="center"/>
    </xf>
    <xf numFmtId="4" fontId="5" fillId="0" borderId="37" xfId="0" applyNumberFormat="1" applyFont="1" applyFill="1" applyBorder="1" applyAlignment="1">
      <alignment horizontal="center"/>
    </xf>
    <xf numFmtId="4" fontId="5" fillId="0" borderId="24" xfId="0" applyNumberFormat="1" applyFont="1" applyFill="1" applyBorder="1" applyAlignment="1">
      <alignment horizontal="left" wrapText="1" indent="2"/>
    </xf>
    <xf numFmtId="4" fontId="6" fillId="0" borderId="26" xfId="0" applyNumberFormat="1" applyFont="1" applyFill="1" applyBorder="1" applyAlignment="1">
      <alignment horizontal="left" wrapText="1" indent="2"/>
    </xf>
    <xf numFmtId="4" fontId="0" fillId="0" borderId="14" xfId="0" applyNumberFormat="1" applyFill="1" applyBorder="1" applyAlignment="1">
      <alignment horizontal="left" indent="4"/>
    </xf>
    <xf numFmtId="4" fontId="0" fillId="0" borderId="14" xfId="0" applyNumberFormat="1" applyFill="1" applyBorder="1" applyAlignment="1">
      <alignment horizontal="left" wrapText="1" indent="4"/>
    </xf>
    <xf numFmtId="39" fontId="0" fillId="0" borderId="8" xfId="0" applyNumberFormat="1" applyFill="1" applyBorder="1"/>
    <xf numFmtId="4" fontId="6" fillId="0" borderId="14" xfId="0" applyNumberFormat="1" applyFont="1" applyFill="1" applyBorder="1" applyAlignment="1">
      <alignment horizontal="left" vertical="center" wrapText="1" indent="2"/>
    </xf>
    <xf numFmtId="4" fontId="0" fillId="0" borderId="29" xfId="0" applyNumberFormat="1" applyFill="1" applyBorder="1"/>
    <xf numFmtId="4" fontId="0" fillId="0" borderId="30" xfId="0" applyNumberFormat="1" applyFill="1" applyBorder="1"/>
    <xf numFmtId="4" fontId="0" fillId="0" borderId="21" xfId="0" applyNumberFormat="1" applyFill="1" applyBorder="1"/>
    <xf numFmtId="4" fontId="5" fillId="0" borderId="14" xfId="0" applyNumberFormat="1" applyFont="1" applyFill="1" applyBorder="1" applyAlignment="1">
      <alignment horizontal="left" vertical="center" wrapText="1" indent="2"/>
    </xf>
    <xf numFmtId="4" fontId="0" fillId="0" borderId="41" xfId="0" applyNumberFormat="1" applyFill="1" applyBorder="1"/>
    <xf numFmtId="4" fontId="0" fillId="0" borderId="42" xfId="0" applyNumberFormat="1" applyFill="1" applyBorder="1"/>
    <xf numFmtId="4" fontId="5" fillId="0" borderId="25" xfId="0" applyNumberFormat="1" applyFont="1" applyFill="1" applyBorder="1" applyAlignment="1">
      <alignment horizontal="left" vertical="center" indent="2"/>
    </xf>
    <xf numFmtId="4" fontId="0" fillId="0" borderId="15" xfId="0" applyNumberFormat="1" applyFill="1" applyBorder="1"/>
    <xf numFmtId="4" fontId="5" fillId="0" borderId="12" xfId="0" applyNumberFormat="1" applyFont="1" applyFill="1" applyBorder="1" applyAlignment="1">
      <alignment horizontal="left" indent="2"/>
    </xf>
    <xf numFmtId="4" fontId="0" fillId="0" borderId="15" xfId="0" applyNumberFormat="1" applyFill="1" applyBorder="1" applyAlignment="1">
      <alignment horizontal="left" wrapText="1" indent="3"/>
    </xf>
    <xf numFmtId="4" fontId="5" fillId="0" borderId="16" xfId="0" applyNumberFormat="1" applyFont="1" applyFill="1" applyBorder="1" applyAlignment="1">
      <alignment horizontal="left" indent="2"/>
    </xf>
    <xf numFmtId="49" fontId="6" fillId="0" borderId="17" xfId="0" applyNumberFormat="1" applyFont="1" applyFill="1" applyBorder="1" applyAlignment="1">
      <alignment horizontal="center"/>
    </xf>
    <xf numFmtId="4" fontId="0" fillId="0" borderId="15" xfId="0" applyNumberFormat="1" applyFill="1" applyBorder="1" applyAlignment="1">
      <alignment horizontal="left" indent="2"/>
    </xf>
    <xf numFmtId="4" fontId="0" fillId="0" borderId="16" xfId="0" applyNumberFormat="1" applyFill="1" applyBorder="1" applyAlignment="1">
      <alignment horizontal="left" indent="2"/>
    </xf>
    <xf numFmtId="4" fontId="0" fillId="0" borderId="15" xfId="0" applyNumberFormat="1" applyFill="1" applyBorder="1" applyAlignment="1">
      <alignment horizontal="left" wrapText="1" indent="2"/>
    </xf>
    <xf numFmtId="4" fontId="0" fillId="0" borderId="16" xfId="0" applyNumberFormat="1" applyFill="1" applyBorder="1" applyAlignment="1">
      <alignment horizontal="left" vertical="center" wrapText="1" indent="2"/>
    </xf>
    <xf numFmtId="49" fontId="6" fillId="0" borderId="41" xfId="0" applyNumberFormat="1" applyFont="1" applyFill="1" applyBorder="1" applyAlignment="1">
      <alignment horizontal="center"/>
    </xf>
    <xf numFmtId="4" fontId="6" fillId="0" borderId="0" xfId="0" applyNumberFormat="1" applyFont="1" applyFill="1" applyBorder="1"/>
    <xf numFmtId="4" fontId="6" fillId="0" borderId="15" xfId="0" applyNumberFormat="1" applyFont="1" applyFill="1" applyBorder="1" applyAlignment="1">
      <alignment horizontal="left" indent="2"/>
    </xf>
    <xf numFmtId="4" fontId="6" fillId="0" borderId="14" xfId="0" applyNumberFormat="1" applyFont="1" applyFill="1" applyBorder="1" applyAlignment="1" applyProtection="1">
      <alignment horizontal="left" indent="6"/>
    </xf>
    <xf numFmtId="43" fontId="0" fillId="0" borderId="14" xfId="3" applyFont="1" applyFill="1" applyBorder="1"/>
    <xf numFmtId="43" fontId="0" fillId="0" borderId="8" xfId="3" applyFont="1" applyFill="1" applyBorder="1" applyAlignment="1">
      <alignment horizontal="center"/>
    </xf>
    <xf numFmtId="43" fontId="0" fillId="0" borderId="8" xfId="3" applyFont="1" applyFill="1" applyBorder="1"/>
    <xf numFmtId="43" fontId="0" fillId="0" borderId="9" xfId="3" applyFont="1" applyFill="1" applyBorder="1"/>
    <xf numFmtId="43" fontId="0" fillId="0" borderId="0" xfId="3" applyFont="1" applyFill="1" applyBorder="1"/>
    <xf numFmtId="4" fontId="6" fillId="0" borderId="14" xfId="0" applyNumberFormat="1" applyFont="1" applyFill="1" applyBorder="1" applyAlignment="1">
      <alignment horizontal="left" indent="4"/>
    </xf>
    <xf numFmtId="4" fontId="0" fillId="0" borderId="26" xfId="0" applyNumberFormat="1" applyFill="1" applyBorder="1" applyAlignment="1">
      <alignment horizontal="left" indent="4"/>
    </xf>
    <xf numFmtId="4" fontId="11" fillId="0" borderId="15" xfId="0" applyNumberFormat="1" applyFont="1" applyFill="1" applyBorder="1" applyAlignment="1">
      <alignment horizontal="left" indent="2"/>
    </xf>
    <xf numFmtId="4" fontId="6" fillId="0" borderId="14" xfId="0" applyNumberFormat="1" applyFont="1" applyFill="1" applyBorder="1" applyAlignment="1" applyProtection="1">
      <alignment horizontal="left" wrapText="1" indent="4"/>
    </xf>
    <xf numFmtId="4" fontId="6" fillId="0" borderId="14" xfId="0" applyNumberFormat="1" applyFont="1" applyFill="1" applyBorder="1" applyAlignment="1" applyProtection="1">
      <alignment horizontal="left" indent="4"/>
    </xf>
    <xf numFmtId="4" fontId="6" fillId="0" borderId="14" xfId="0" applyNumberFormat="1" applyFont="1" applyFill="1" applyBorder="1" applyAlignment="1">
      <alignment horizontal="left" indent="6"/>
    </xf>
    <xf numFmtId="4" fontId="6" fillId="0" borderId="0" xfId="0" applyNumberFormat="1" applyFont="1" applyFill="1" applyAlignment="1" applyProtection="1">
      <alignment horizontal="left" indent="4"/>
    </xf>
    <xf numFmtId="4" fontId="10" fillId="0" borderId="14" xfId="0" applyNumberFormat="1" applyFont="1" applyFill="1" applyBorder="1" applyAlignment="1">
      <alignment horizontal="left" indent="2"/>
    </xf>
    <xf numFmtId="4" fontId="6" fillId="0" borderId="14" xfId="0" applyNumberFormat="1" applyFont="1" applyFill="1" applyBorder="1" applyAlignment="1">
      <alignment horizontal="left" wrapText="1" indent="4"/>
    </xf>
    <xf numFmtId="4" fontId="5" fillId="0" borderId="14" xfId="0" applyNumberFormat="1" applyFont="1" applyFill="1" applyBorder="1" applyAlignment="1">
      <alignment horizontal="left" wrapText="1" indent="2"/>
    </xf>
    <xf numFmtId="4" fontId="6" fillId="0" borderId="15" xfId="0" applyNumberFormat="1" applyFont="1" applyFill="1" applyBorder="1" applyAlignment="1" applyProtection="1">
      <alignment horizontal="left" indent="4"/>
    </xf>
    <xf numFmtId="4" fontId="0" fillId="0" borderId="14" xfId="0" applyNumberFormat="1" applyFill="1" applyBorder="1" applyAlignment="1" applyProtection="1">
      <alignment horizontal="left" indent="4"/>
    </xf>
    <xf numFmtId="4" fontId="0" fillId="0" borderId="14" xfId="0" applyNumberFormat="1" applyFill="1" applyBorder="1" applyAlignment="1">
      <alignment horizontal="left" vertical="center" wrapText="1" indent="4"/>
    </xf>
    <xf numFmtId="4" fontId="0" fillId="0" borderId="14" xfId="0" applyNumberFormat="1" applyFill="1" applyBorder="1" applyAlignment="1" applyProtection="1">
      <alignment horizontal="left" indent="6"/>
    </xf>
    <xf numFmtId="4" fontId="0" fillId="0" borderId="14" xfId="0" applyNumberFormat="1" applyFill="1" applyBorder="1" applyAlignment="1" applyProtection="1">
      <alignment horizontal="left" wrapText="1" indent="4"/>
    </xf>
    <xf numFmtId="4" fontId="10" fillId="0" borderId="14" xfId="0" applyNumberFormat="1" applyFont="1" applyFill="1" applyBorder="1" applyAlignment="1">
      <alignment horizontal="left" vertical="top" wrapText="1" indent="2"/>
    </xf>
    <xf numFmtId="4" fontId="6" fillId="0" borderId="14" xfId="0" applyNumberFormat="1" applyFont="1" applyFill="1" applyBorder="1" applyAlignment="1">
      <alignment horizontal="left" indent="2"/>
    </xf>
    <xf numFmtId="4" fontId="5" fillId="0" borderId="8" xfId="0" applyNumberFormat="1" applyFont="1" applyFill="1" applyBorder="1" applyAlignment="1">
      <alignment horizontal="center"/>
    </xf>
    <xf numFmtId="4" fontId="6" fillId="0" borderId="14" xfId="0" applyNumberFormat="1" applyFont="1" applyFill="1" applyBorder="1" applyAlignment="1">
      <alignment horizontal="left" wrapText="1" indent="2"/>
    </xf>
    <xf numFmtId="4" fontId="0" fillId="0" borderId="14" xfId="0" applyNumberFormat="1" applyFill="1" applyBorder="1" applyAlignment="1">
      <alignment horizontal="left" indent="2"/>
    </xf>
    <xf numFmtId="4" fontId="0" fillId="0" borderId="44" xfId="0" applyNumberFormat="1" applyFill="1" applyBorder="1" applyAlignment="1">
      <alignment horizontal="left" indent="2"/>
    </xf>
    <xf numFmtId="4" fontId="6" fillId="0" borderId="16" xfId="0" applyNumberFormat="1" applyFont="1" applyFill="1" applyBorder="1" applyAlignment="1">
      <alignment horizontal="left" vertical="center" wrapText="1" indent="2"/>
    </xf>
    <xf numFmtId="4" fontId="0" fillId="0" borderId="0" xfId="0" applyNumberFormat="1" applyFill="1" applyBorder="1" applyAlignment="1">
      <alignment horizontal="left" indent="2"/>
    </xf>
    <xf numFmtId="4" fontId="6" fillId="0" borderId="18" xfId="0" applyNumberFormat="1" applyFont="1" applyFill="1" applyBorder="1" applyAlignment="1">
      <alignment horizontal="center"/>
    </xf>
    <xf numFmtId="4" fontId="5" fillId="0" borderId="25" xfId="0" applyNumberFormat="1" applyFont="1" applyFill="1" applyBorder="1" applyAlignment="1">
      <alignment horizontal="left" vertical="center" wrapText="1" indent="2"/>
    </xf>
    <xf numFmtId="4" fontId="5" fillId="0" borderId="15" xfId="0" applyNumberFormat="1" applyFont="1" applyFill="1" applyBorder="1" applyAlignment="1">
      <alignment horizontal="left" indent="2"/>
    </xf>
    <xf numFmtId="4" fontId="6" fillId="0" borderId="14" xfId="0" applyNumberFormat="1" applyFont="1" applyFill="1" applyBorder="1" applyAlignment="1">
      <alignment horizontal="left" wrapText="1" indent="6"/>
    </xf>
    <xf numFmtId="4" fontId="0" fillId="0" borderId="14" xfId="0" applyNumberFormat="1" applyFill="1" applyBorder="1" applyAlignment="1">
      <alignment horizontal="left" indent="6"/>
    </xf>
    <xf numFmtId="4" fontId="5" fillId="0" borderId="31" xfId="0" applyNumberFormat="1" applyFont="1" applyFill="1" applyBorder="1" applyAlignment="1">
      <alignment horizontal="left" vertical="center" wrapText="1" indent="2"/>
    </xf>
    <xf numFmtId="49" fontId="6" fillId="0" borderId="29" xfId="0" applyNumberFormat="1" applyFont="1" applyFill="1" applyBorder="1" applyAlignment="1">
      <alignment horizontal="center"/>
    </xf>
    <xf numFmtId="39" fontId="0" fillId="0" borderId="29" xfId="0" applyNumberFormat="1" applyFill="1" applyBorder="1"/>
    <xf numFmtId="4" fontId="6" fillId="0" borderId="29" xfId="0" applyNumberFormat="1" applyFont="1" applyFill="1" applyBorder="1" applyAlignment="1">
      <alignment horizontal="center"/>
    </xf>
    <xf numFmtId="4" fontId="6" fillId="0" borderId="30" xfId="0" applyNumberFormat="1" applyFont="1" applyFill="1" applyBorder="1" applyAlignment="1">
      <alignment horizontal="center"/>
    </xf>
    <xf numFmtId="4" fontId="5" fillId="0" borderId="16" xfId="0" applyNumberFormat="1" applyFont="1" applyFill="1" applyBorder="1" applyAlignment="1">
      <alignment horizontal="left" vertical="center" wrapText="1" indent="2"/>
    </xf>
    <xf numFmtId="4" fontId="6" fillId="0" borderId="18" xfId="1" applyNumberFormat="1" applyFill="1" applyBorder="1"/>
    <xf numFmtId="4" fontId="5" fillId="0" borderId="15" xfId="0" applyNumberFormat="1" applyFont="1" applyFill="1" applyBorder="1" applyAlignment="1">
      <alignment horizontal="left" wrapText="1" indent="2"/>
    </xf>
    <xf numFmtId="4" fontId="5" fillId="0" borderId="0" xfId="0" applyNumberFormat="1" applyFont="1" applyFill="1" applyBorder="1" applyAlignment="1">
      <alignment horizontal="left" indent="2"/>
    </xf>
    <xf numFmtId="4" fontId="5" fillId="0" borderId="33" xfId="0" applyNumberFormat="1" applyFont="1" applyFill="1" applyBorder="1" applyAlignment="1">
      <alignment horizontal="left" vertical="center" wrapText="1" indent="6"/>
    </xf>
    <xf numFmtId="49" fontId="0" fillId="0" borderId="35" xfId="0" applyNumberFormat="1" applyFill="1" applyBorder="1" applyAlignment="1">
      <alignment horizontal="center"/>
    </xf>
    <xf numFmtId="4" fontId="0" fillId="0" borderId="14" xfId="0" applyNumberFormat="1" applyFill="1" applyBorder="1" applyAlignment="1">
      <alignment horizontal="left" vertical="center" wrapText="1" indent="6"/>
    </xf>
    <xf numFmtId="4" fontId="10" fillId="0" borderId="14" xfId="0" applyNumberFormat="1" applyFont="1" applyFill="1" applyBorder="1" applyAlignment="1">
      <alignment horizontal="left" vertical="center" wrapText="1" indent="6"/>
    </xf>
    <xf numFmtId="4" fontId="5" fillId="0" borderId="15" xfId="0" applyNumberFormat="1" applyFont="1" applyFill="1" applyBorder="1" applyAlignment="1">
      <alignment horizontal="left" vertical="center" wrapText="1" indent="2"/>
    </xf>
    <xf numFmtId="49" fontId="5" fillId="0" borderId="6" xfId="0" applyNumberFormat="1" applyFont="1" applyFill="1" applyBorder="1" applyAlignment="1">
      <alignment horizontal="center"/>
    </xf>
    <xf numFmtId="4" fontId="5" fillId="0" borderId="7" xfId="0" applyNumberFormat="1" applyFont="1" applyFill="1" applyBorder="1" applyAlignment="1">
      <alignment horizontal="center"/>
    </xf>
    <xf numFmtId="4" fontId="0" fillId="0" borderId="36" xfId="0" applyNumberFormat="1" applyFill="1" applyBorder="1"/>
    <xf numFmtId="4" fontId="6" fillId="0" borderId="21" xfId="0" applyNumberFormat="1" applyFont="1" applyFill="1" applyBorder="1" applyAlignment="1">
      <alignment horizontal="left" vertical="center" wrapText="1" indent="2"/>
    </xf>
    <xf numFmtId="4" fontId="6" fillId="0" borderId="19" xfId="0" applyNumberFormat="1" applyFont="1" applyFill="1" applyBorder="1" applyAlignment="1">
      <alignment horizontal="right"/>
    </xf>
    <xf numFmtId="4" fontId="6" fillId="0" borderId="20" xfId="0" applyNumberFormat="1" applyFont="1" applyFill="1" applyBorder="1" applyAlignment="1">
      <alignment horizontal="right"/>
    </xf>
    <xf numFmtId="4" fontId="6" fillId="0" borderId="8" xfId="0" applyNumberFormat="1" applyFont="1" applyFill="1" applyBorder="1" applyAlignment="1">
      <alignment horizontal="right"/>
    </xf>
    <xf numFmtId="4" fontId="6" fillId="0" borderId="9" xfId="0" applyNumberFormat="1" applyFont="1" applyFill="1" applyBorder="1" applyAlignment="1">
      <alignment horizontal="right"/>
    </xf>
    <xf numFmtId="4" fontId="5" fillId="0" borderId="14" xfId="0" applyNumberFormat="1" applyFont="1" applyFill="1" applyBorder="1" applyAlignment="1">
      <alignment horizontal="left" vertical="center" indent="2"/>
    </xf>
    <xf numFmtId="49" fontId="5" fillId="0" borderId="8" xfId="0" applyNumberFormat="1" applyFont="1" applyFill="1" applyBorder="1" applyAlignment="1">
      <alignment horizontal="center"/>
    </xf>
    <xf numFmtId="4" fontId="2" fillId="0" borderId="8" xfId="0" applyNumberFormat="1" applyFont="1" applyFill="1" applyBorder="1" applyAlignment="1">
      <alignment horizontal="center" vertical="center"/>
    </xf>
    <xf numFmtId="4" fontId="8" fillId="0" borderId="8" xfId="0" applyNumberFormat="1" applyFont="1" applyFill="1" applyBorder="1" applyAlignment="1">
      <alignment horizontal="center" wrapText="1"/>
    </xf>
    <xf numFmtId="4"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6" fillId="0" borderId="15" xfId="0" applyNumberFormat="1" applyFont="1" applyFill="1" applyBorder="1" applyAlignment="1">
      <alignment horizontal="left" vertical="center" wrapText="1" indent="2"/>
    </xf>
    <xf numFmtId="4" fontId="6" fillId="0" borderId="14" xfId="0" applyNumberFormat="1" applyFont="1" applyFill="1" applyBorder="1" applyAlignment="1">
      <alignment horizontal="left" vertical="center" wrapText="1" indent="6"/>
    </xf>
    <xf numFmtId="4" fontId="6" fillId="0" borderId="26" xfId="0" applyNumberFormat="1" applyFont="1" applyFill="1" applyBorder="1" applyAlignment="1">
      <alignment horizontal="left" vertical="top" wrapText="1" indent="8"/>
    </xf>
    <xf numFmtId="4" fontId="0" fillId="0" borderId="38" xfId="0" applyNumberFormat="1" applyFill="1" applyBorder="1"/>
    <xf numFmtId="4" fontId="0" fillId="0" borderId="39" xfId="0" applyNumberFormat="1" applyFill="1" applyBorder="1"/>
    <xf numFmtId="4" fontId="6" fillId="0" borderId="26" xfId="0" applyNumberFormat="1" applyFont="1" applyFill="1" applyBorder="1" applyAlignment="1">
      <alignment horizontal="left" indent="2"/>
    </xf>
    <xf numFmtId="4" fontId="0" fillId="0" borderId="35" xfId="0" applyNumberFormat="1" applyFill="1" applyBorder="1"/>
    <xf numFmtId="4" fontId="0" fillId="0" borderId="34" xfId="0" applyNumberFormat="1" applyFill="1" applyBorder="1"/>
    <xf numFmtId="4" fontId="0" fillId="0" borderId="0" xfId="0" applyNumberFormat="1" applyFill="1" applyBorder="1" applyAlignment="1">
      <alignment horizontal="center"/>
    </xf>
    <xf numFmtId="4" fontId="4" fillId="0" borderId="1" xfId="0" applyNumberFormat="1" applyFont="1" applyFill="1" applyBorder="1" applyAlignment="1" applyProtection="1">
      <alignment horizontal="right"/>
    </xf>
    <xf numFmtId="4" fontId="5" fillId="0" borderId="12" xfId="0" applyNumberFormat="1" applyFont="1" applyFill="1" applyBorder="1" applyAlignment="1" applyProtection="1">
      <alignment horizontal="center"/>
    </xf>
    <xf numFmtId="4" fontId="5" fillId="0" borderId="32" xfId="0" applyNumberFormat="1" applyFont="1" applyFill="1" applyBorder="1" applyAlignment="1" applyProtection="1">
      <alignment horizontal="center"/>
    </xf>
    <xf numFmtId="4" fontId="2" fillId="0" borderId="68" xfId="0" applyNumberFormat="1" applyFont="1" applyFill="1" applyBorder="1" applyAlignment="1" applyProtection="1"/>
    <xf numFmtId="4" fontId="2" fillId="0" borderId="23" xfId="0" applyNumberFormat="1" applyFont="1" applyFill="1" applyBorder="1" applyAlignment="1" applyProtection="1">
      <alignment horizontal="center"/>
    </xf>
    <xf numFmtId="4" fontId="4" fillId="0" borderId="15" xfId="0" applyNumberFormat="1" applyFont="1" applyFill="1" applyBorder="1" applyAlignment="1" applyProtection="1">
      <alignment horizontal="center"/>
    </xf>
    <xf numFmtId="4" fontId="2" fillId="0" borderId="7" xfId="0" applyNumberFormat="1" applyFont="1" applyFill="1" applyBorder="1" applyAlignment="1" applyProtection="1">
      <alignment horizontal="center"/>
    </xf>
    <xf numFmtId="4" fontId="5" fillId="0" borderId="14" xfId="0" applyNumberFormat="1" applyFont="1" applyFill="1" applyBorder="1" applyProtection="1"/>
    <xf numFmtId="49" fontId="6" fillId="0" borderId="8" xfId="0" applyNumberFormat="1" applyFont="1" applyFill="1" applyBorder="1" applyAlignment="1" applyProtection="1">
      <alignment horizontal="center"/>
    </xf>
    <xf numFmtId="4" fontId="6" fillId="0" borderId="9" xfId="0" applyNumberFormat="1" applyFont="1" applyFill="1" applyBorder="1" applyProtection="1"/>
    <xf numFmtId="4" fontId="6" fillId="0" borderId="14" xfId="0" applyNumberFormat="1" applyFont="1" applyFill="1" applyBorder="1" applyAlignment="1" applyProtection="1">
      <alignment horizontal="left" indent="1"/>
    </xf>
    <xf numFmtId="4" fontId="6" fillId="0" borderId="14" xfId="0" applyNumberFormat="1" applyFont="1" applyFill="1" applyBorder="1" applyAlignment="1" applyProtection="1">
      <alignment horizontal="left" indent="7"/>
    </xf>
    <xf numFmtId="4" fontId="6" fillId="0" borderId="26" xfId="0" applyNumberFormat="1" applyFont="1" applyFill="1" applyBorder="1" applyProtection="1"/>
    <xf numFmtId="49" fontId="6" fillId="0" borderId="27" xfId="0" applyNumberFormat="1" applyFont="1" applyFill="1" applyBorder="1" applyAlignment="1" applyProtection="1">
      <alignment horizontal="center"/>
    </xf>
    <xf numFmtId="4" fontId="6" fillId="0" borderId="28" xfId="0" applyNumberFormat="1" applyFont="1" applyFill="1" applyBorder="1" applyProtection="1"/>
    <xf numFmtId="4" fontId="6" fillId="0" borderId="37" xfId="0" applyNumberFormat="1" applyFont="1" applyFill="1" applyBorder="1" applyAlignment="1" applyProtection="1">
      <alignment vertical="center" wrapText="1"/>
    </xf>
    <xf numFmtId="49" fontId="6" fillId="0" borderId="37" xfId="0" applyNumberFormat="1" applyFont="1" applyFill="1" applyBorder="1" applyAlignment="1" applyProtection="1">
      <alignment horizontal="center"/>
    </xf>
    <xf numFmtId="4" fontId="2" fillId="0" borderId="0" xfId="0" applyNumberFormat="1" applyFont="1" applyFill="1" applyAlignment="1" applyProtection="1">
      <alignment horizontal="right"/>
    </xf>
    <xf numFmtId="4" fontId="2" fillId="0" borderId="32" xfId="0" applyNumberFormat="1" applyFont="1" applyFill="1" applyBorder="1" applyAlignment="1" applyProtection="1">
      <alignment horizontal="center"/>
    </xf>
    <xf numFmtId="4" fontId="6" fillId="0" borderId="9" xfId="0" applyNumberFormat="1" applyFont="1" applyFill="1" applyBorder="1" applyAlignment="1" applyProtection="1">
      <alignment horizontal="center"/>
    </xf>
    <xf numFmtId="4" fontId="6" fillId="0" borderId="14" xfId="0" applyNumberFormat="1" applyFont="1" applyFill="1" applyBorder="1" applyProtection="1"/>
    <xf numFmtId="4" fontId="5" fillId="0" borderId="16" xfId="0" applyNumberFormat="1" applyFont="1" applyFill="1" applyBorder="1" applyProtection="1"/>
    <xf numFmtId="49" fontId="6" fillId="0" borderId="17" xfId="0" applyNumberFormat="1" applyFont="1" applyFill="1" applyBorder="1" applyAlignment="1" applyProtection="1">
      <alignment horizontal="left"/>
    </xf>
    <xf numFmtId="4" fontId="2" fillId="0" borderId="37" xfId="0" applyNumberFormat="1" applyFont="1" applyFill="1" applyBorder="1" applyAlignment="1" applyProtection="1">
      <alignment horizontal="right"/>
    </xf>
    <xf numFmtId="49" fontId="6" fillId="0" borderId="17" xfId="0" applyNumberFormat="1" applyFont="1" applyFill="1" applyBorder="1" applyAlignment="1" applyProtection="1">
      <alignment horizontal="center"/>
    </xf>
    <xf numFmtId="4" fontId="6" fillId="0" borderId="18" xfId="0" applyNumberFormat="1" applyFont="1" applyFill="1" applyBorder="1" applyProtection="1"/>
    <xf numFmtId="4" fontId="5" fillId="0" borderId="26" xfId="0" applyNumberFormat="1" applyFont="1" applyFill="1" applyBorder="1" applyProtection="1"/>
    <xf numFmtId="4" fontId="5" fillId="0" borderId="15" xfId="0" applyNumberFormat="1" applyFont="1" applyFill="1" applyBorder="1" applyAlignment="1" applyProtection="1">
      <alignment horizontal="left" vertical="top" indent="4"/>
    </xf>
    <xf numFmtId="49" fontId="6" fillId="0" borderId="6" xfId="0" applyNumberFormat="1" applyFont="1" applyFill="1" applyBorder="1" applyAlignment="1" applyProtection="1">
      <alignment horizontal="center"/>
    </xf>
    <xf numFmtId="4" fontId="6" fillId="0" borderId="7" xfId="0" applyNumberFormat="1" applyFont="1" applyFill="1" applyBorder="1" applyAlignment="1" applyProtection="1">
      <alignment horizontal="center"/>
    </xf>
    <xf numFmtId="4" fontId="5" fillId="0" borderId="14" xfId="0" applyNumberFormat="1" applyFont="1" applyFill="1" applyBorder="1" applyAlignment="1" applyProtection="1">
      <alignment wrapText="1"/>
    </xf>
    <xf numFmtId="4" fontId="6" fillId="0" borderId="14" xfId="0" applyNumberFormat="1" applyFont="1" applyFill="1" applyBorder="1" applyAlignment="1" applyProtection="1">
      <alignment wrapText="1"/>
    </xf>
    <xf numFmtId="4" fontId="5" fillId="0" borderId="14" xfId="0" applyNumberFormat="1" applyFont="1" applyFill="1" applyBorder="1" applyAlignment="1" applyProtection="1">
      <alignment horizontal="left" indent="4"/>
    </xf>
    <xf numFmtId="49" fontId="6" fillId="0" borderId="32" xfId="0" applyNumberFormat="1" applyFont="1" applyFill="1" applyBorder="1" applyAlignment="1" applyProtection="1">
      <alignment horizontal="center"/>
    </xf>
    <xf numFmtId="4" fontId="6" fillId="0" borderId="7" xfId="0" applyNumberFormat="1" applyFont="1" applyFill="1" applyBorder="1" applyProtection="1"/>
    <xf numFmtId="49" fontId="6" fillId="0" borderId="27" xfId="0" applyNumberFormat="1" applyFont="1" applyFill="1" applyBorder="1" applyProtection="1"/>
    <xf numFmtId="4" fontId="6" fillId="0" borderId="69" xfId="0" applyNumberFormat="1" applyFont="1" applyFill="1" applyBorder="1" applyAlignment="1" applyProtection="1">
      <alignment horizontal="center"/>
    </xf>
    <xf numFmtId="4" fontId="5" fillId="0" borderId="16" xfId="0" applyNumberFormat="1" applyFont="1" applyFill="1" applyBorder="1" applyAlignment="1" applyProtection="1">
      <alignment horizontal="left" indent="4"/>
    </xf>
    <xf numFmtId="49" fontId="0" fillId="0" borderId="8" xfId="0" applyNumberFormat="1" applyFill="1" applyBorder="1" applyAlignment="1" applyProtection="1">
      <alignment horizontal="center"/>
    </xf>
    <xf numFmtId="49" fontId="6" fillId="0" borderId="8" xfId="0" applyNumberFormat="1" applyFont="1" applyFill="1" applyBorder="1" applyAlignment="1" applyProtection="1">
      <alignment horizontal="center" vertical="center"/>
    </xf>
    <xf numFmtId="49" fontId="0" fillId="0" borderId="8" xfId="0" applyNumberFormat="1" applyFill="1" applyBorder="1" applyAlignment="1" applyProtection="1">
      <alignment horizontal="center" vertical="center"/>
    </xf>
    <xf numFmtId="4" fontId="6" fillId="0" borderId="26" xfId="0" applyNumberFormat="1" applyFont="1" applyFill="1" applyBorder="1" applyAlignment="1" applyProtection="1">
      <alignment horizontal="left" indent="6"/>
    </xf>
    <xf numFmtId="49" fontId="6" fillId="0" borderId="37" xfId="0" applyNumberFormat="1" applyFont="1" applyFill="1" applyBorder="1" applyAlignment="1" applyProtection="1">
      <alignment horizontal="center" vertical="center"/>
    </xf>
    <xf numFmtId="4" fontId="5" fillId="0" borderId="15" xfId="0" applyNumberFormat="1" applyFont="1" applyFill="1" applyBorder="1" applyAlignment="1" applyProtection="1">
      <alignment horizontal="left" indent="4"/>
    </xf>
    <xf numFmtId="4" fontId="6" fillId="0" borderId="0" xfId="0" applyNumberFormat="1" applyFont="1" applyFill="1" applyAlignment="1" applyProtection="1">
      <alignment horizontal="left" indent="6"/>
    </xf>
    <xf numFmtId="4" fontId="6" fillId="0" borderId="16" xfId="0" applyNumberFormat="1" applyFont="1" applyFill="1" applyBorder="1" applyAlignment="1" applyProtection="1">
      <alignment horizontal="left" indent="6"/>
    </xf>
    <xf numFmtId="4" fontId="6" fillId="0" borderId="16" xfId="0" applyNumberFormat="1" applyFont="1" applyFill="1" applyBorder="1" applyProtection="1"/>
    <xf numFmtId="4" fontId="0" fillId="0" borderId="16" xfId="0" applyNumberFormat="1" applyFill="1" applyBorder="1" applyAlignment="1" applyProtection="1">
      <alignment horizontal="left" indent="6"/>
    </xf>
    <xf numFmtId="4" fontId="0" fillId="0" borderId="14" xfId="0" applyNumberFormat="1" applyFill="1" applyBorder="1" applyAlignment="1" applyProtection="1">
      <alignment horizontal="left" indent="2"/>
    </xf>
    <xf numFmtId="4" fontId="6" fillId="0" borderId="15" xfId="0" applyNumberFormat="1" applyFont="1" applyFill="1" applyBorder="1" applyAlignment="1" applyProtection="1">
      <alignment horizontal="left" indent="6"/>
    </xf>
    <xf numFmtId="4" fontId="0" fillId="0" borderId="26" xfId="0" applyNumberFormat="1" applyFill="1" applyBorder="1" applyAlignment="1" applyProtection="1">
      <alignment horizontal="left" indent="6"/>
    </xf>
    <xf numFmtId="4" fontId="6" fillId="0" borderId="28" xfId="0" applyNumberFormat="1" applyFont="1" applyFill="1" applyBorder="1" applyAlignment="1" applyProtection="1">
      <alignment horizontal="center"/>
    </xf>
    <xf numFmtId="4" fontId="5" fillId="0" borderId="16" xfId="0" applyNumberFormat="1" applyFont="1" applyFill="1" applyBorder="1" applyAlignment="1" applyProtection="1">
      <alignment horizontal="left"/>
    </xf>
    <xf numFmtId="4" fontId="6" fillId="0" borderId="14" xfId="0" applyNumberFormat="1" applyFont="1" applyFill="1" applyBorder="1" applyAlignment="1" applyProtection="1">
      <alignment horizontal="left" indent="10"/>
    </xf>
    <xf numFmtId="4" fontId="6" fillId="0" borderId="15" xfId="0" applyNumberFormat="1" applyFont="1" applyFill="1" applyBorder="1" applyAlignment="1" applyProtection="1">
      <alignment horizontal="left" indent="10"/>
    </xf>
    <xf numFmtId="4" fontId="6" fillId="0" borderId="16" xfId="0" applyNumberFormat="1" applyFont="1" applyFill="1" applyBorder="1" applyAlignment="1" applyProtection="1">
      <alignment horizontal="left" indent="10"/>
    </xf>
    <xf numFmtId="4" fontId="2" fillId="0" borderId="0" xfId="0" applyNumberFormat="1" applyFont="1" applyFill="1" applyBorder="1" applyAlignment="1" applyProtection="1">
      <alignment horizontal="right"/>
    </xf>
    <xf numFmtId="4" fontId="6" fillId="0" borderId="14" xfId="0" applyNumberFormat="1" applyFont="1" applyFill="1" applyBorder="1" applyAlignment="1" applyProtection="1">
      <alignment horizontal="left" indent="10"/>
      <protection locked="0"/>
    </xf>
    <xf numFmtId="49" fontId="2" fillId="0" borderId="32" xfId="0" applyNumberFormat="1" applyFont="1" applyFill="1" applyBorder="1" applyAlignment="1" applyProtection="1">
      <alignment horizontal="center"/>
    </xf>
    <xf numFmtId="49" fontId="2" fillId="0" borderId="6" xfId="0" applyNumberFormat="1" applyFont="1" applyFill="1" applyBorder="1" applyAlignment="1" applyProtection="1">
      <alignment horizontal="center"/>
    </xf>
    <xf numFmtId="4" fontId="2" fillId="0" borderId="14" xfId="0" applyNumberFormat="1" applyFont="1" applyFill="1" applyBorder="1" applyAlignment="1" applyProtection="1">
      <alignment horizontal="left" vertical="center" indent="4"/>
    </xf>
    <xf numFmtId="4" fontId="10" fillId="0" borderId="14" xfId="0" applyNumberFormat="1" applyFont="1" applyFill="1" applyBorder="1" applyProtection="1"/>
    <xf numFmtId="4" fontId="6" fillId="0" borderId="14" xfId="0" applyNumberFormat="1" applyFont="1" applyFill="1" applyBorder="1" applyAlignment="1" applyProtection="1">
      <alignment horizontal="left" indent="2"/>
    </xf>
    <xf numFmtId="4" fontId="6" fillId="0" borderId="14" xfId="0" applyNumberFormat="1" applyFont="1" applyFill="1" applyBorder="1" applyAlignment="1" applyProtection="1">
      <alignment horizontal="left" vertical="center" wrapText="1" indent="2"/>
    </xf>
    <xf numFmtId="4" fontId="6" fillId="0" borderId="30" xfId="0" applyNumberFormat="1" applyFont="1" applyFill="1" applyBorder="1" applyProtection="1"/>
    <xf numFmtId="4" fontId="6" fillId="0" borderId="15" xfId="0" applyNumberFormat="1" applyFont="1" applyFill="1" applyBorder="1" applyProtection="1"/>
    <xf numFmtId="49" fontId="6" fillId="0" borderId="8" xfId="0" applyNumberFormat="1" applyFont="1" applyFill="1" applyBorder="1" applyProtection="1"/>
    <xf numFmtId="4" fontId="6" fillId="0" borderId="39" xfId="0" applyNumberFormat="1" applyFont="1" applyFill="1" applyBorder="1" applyProtection="1"/>
    <xf numFmtId="4" fontId="6" fillId="0" borderId="45" xfId="0" applyNumberFormat="1" applyFont="1" applyFill="1" applyBorder="1" applyProtection="1"/>
    <xf numFmtId="4" fontId="6" fillId="0" borderId="69" xfId="0" applyNumberFormat="1" applyFont="1" applyFill="1" applyBorder="1" applyProtection="1"/>
    <xf numFmtId="49" fontId="6" fillId="0" borderId="17" xfId="0" applyNumberFormat="1" applyFont="1" applyFill="1" applyBorder="1" applyProtection="1"/>
    <xf numFmtId="49" fontId="6" fillId="0" borderId="0" xfId="0" applyNumberFormat="1" applyFont="1" applyFill="1" applyProtection="1"/>
    <xf numFmtId="4" fontId="6" fillId="0" borderId="14" xfId="0" applyNumberFormat="1" applyFont="1" applyBorder="1" applyProtection="1"/>
    <xf numFmtId="4" fontId="0" fillId="3" borderId="0" xfId="0" applyNumberFormat="1" applyFill="1" applyBorder="1"/>
    <xf numFmtId="9" fontId="6" fillId="0" borderId="0" xfId="4" applyFont="1" applyFill="1" applyProtection="1"/>
    <xf numFmtId="4" fontId="0" fillId="0" borderId="17" xfId="0" applyNumberFormat="1" applyFill="1" applyBorder="1" applyAlignment="1" applyProtection="1">
      <alignment horizontal="left" indent="4"/>
    </xf>
    <xf numFmtId="49" fontId="0" fillId="0" borderId="17" xfId="0" applyNumberFormat="1" applyFill="1" applyBorder="1" applyProtection="1"/>
    <xf numFmtId="4" fontId="0" fillId="0" borderId="36" xfId="0" applyNumberFormat="1" applyFill="1" applyBorder="1" applyProtection="1"/>
    <xf numFmtId="4" fontId="0" fillId="0" borderId="8" xfId="0" applyNumberFormat="1" applyFill="1" applyBorder="1" applyProtection="1"/>
    <xf numFmtId="49" fontId="0" fillId="0" borderId="8" xfId="0" applyNumberFormat="1" applyFill="1" applyBorder="1" applyProtection="1"/>
    <xf numFmtId="4" fontId="0" fillId="0" borderId="8" xfId="0" applyNumberFormat="1" applyFill="1" applyBorder="1" applyProtection="1">
      <protection locked="0"/>
    </xf>
    <xf numFmtId="4" fontId="0" fillId="0" borderId="17" xfId="0" applyNumberFormat="1" applyFill="1" applyBorder="1" applyProtection="1"/>
    <xf numFmtId="4" fontId="4" fillId="0" borderId="0" xfId="0" applyNumberFormat="1" applyFont="1" applyFill="1" applyBorder="1" applyAlignment="1" applyProtection="1">
      <alignment horizontal="right"/>
    </xf>
    <xf numFmtId="4" fontId="0" fillId="0" borderId="0" xfId="0" applyNumberFormat="1" applyFill="1" applyProtection="1"/>
    <xf numFmtId="4" fontId="0" fillId="0" borderId="0" xfId="0" applyNumberFormat="1" applyFill="1" applyBorder="1" applyProtection="1"/>
    <xf numFmtId="0" fontId="0" fillId="0" borderId="22" xfId="0" applyFill="1" applyBorder="1" applyAlignment="1" applyProtection="1"/>
    <xf numFmtId="4" fontId="0" fillId="0" borderId="19" xfId="0" applyNumberFormat="1" applyFill="1" applyBorder="1" applyProtection="1"/>
    <xf numFmtId="4" fontId="6" fillId="0" borderId="19" xfId="0" applyNumberFormat="1" applyFont="1" applyFill="1" applyBorder="1" applyAlignment="1" applyProtection="1">
      <alignment horizontal="center"/>
    </xf>
    <xf numFmtId="4" fontId="0" fillId="0" borderId="32" xfId="0" applyNumberFormat="1" applyFill="1" applyBorder="1" applyProtection="1"/>
    <xf numFmtId="4" fontId="6" fillId="0" borderId="8" xfId="0" applyNumberFormat="1" applyFont="1" applyFill="1" applyBorder="1" applyProtection="1">
      <protection locked="0"/>
    </xf>
    <xf numFmtId="4" fontId="0" fillId="0" borderId="8" xfId="0" applyNumberFormat="1" applyFill="1" applyBorder="1" applyAlignment="1" applyProtection="1">
      <alignment horizontal="left" indent="1"/>
    </xf>
    <xf numFmtId="4" fontId="0" fillId="0" borderId="8" xfId="0" applyNumberFormat="1" applyFill="1" applyBorder="1" applyAlignment="1" applyProtection="1">
      <alignment horizontal="left" indent="4"/>
    </xf>
    <xf numFmtId="4" fontId="0" fillId="0" borderId="43" xfId="0" applyNumberFormat="1" applyFill="1" applyBorder="1" applyAlignment="1" applyProtection="1">
      <alignment horizontal="left" indent="4"/>
    </xf>
    <xf numFmtId="49" fontId="0" fillId="0" borderId="43" xfId="0" applyNumberFormat="1" applyFill="1" applyBorder="1" applyProtection="1"/>
    <xf numFmtId="4" fontId="0" fillId="0" borderId="43" xfId="0" applyNumberFormat="1" applyFill="1" applyBorder="1" applyProtection="1"/>
    <xf numFmtId="4" fontId="0" fillId="0" borderId="8" xfId="0" applyNumberFormat="1" applyFill="1" applyBorder="1" applyAlignment="1" applyProtection="1">
      <alignment horizontal="left" vertical="center" wrapText="1" indent="4"/>
    </xf>
    <xf numFmtId="4" fontId="0" fillId="0" borderId="6" xfId="0" applyNumberFormat="1" applyFill="1" applyBorder="1" applyAlignment="1" applyProtection="1">
      <alignment vertical="center" wrapText="1"/>
    </xf>
    <xf numFmtId="49" fontId="0" fillId="0" borderId="6" xfId="0" applyNumberFormat="1" applyFill="1" applyBorder="1" applyProtection="1"/>
    <xf numFmtId="4" fontId="0" fillId="0" borderId="6" xfId="0" applyNumberFormat="1" applyFill="1" applyBorder="1" applyProtection="1">
      <protection locked="0"/>
    </xf>
    <xf numFmtId="4" fontId="6" fillId="0" borderId="8" xfId="0" applyNumberFormat="1" applyFont="1" applyFill="1" applyBorder="1" applyAlignment="1" applyProtection="1">
      <alignment vertical="center" wrapText="1"/>
    </xf>
    <xf numFmtId="4" fontId="11" fillId="0" borderId="8" xfId="0" applyNumberFormat="1" applyFont="1" applyFill="1" applyBorder="1" applyAlignment="1" applyProtection="1">
      <alignment horizontal="left" indent="4"/>
    </xf>
    <xf numFmtId="4" fontId="0" fillId="0" borderId="43" xfId="0" applyNumberFormat="1" applyFill="1" applyBorder="1" applyProtection="1">
      <protection locked="0"/>
    </xf>
    <xf numFmtId="4" fontId="15" fillId="0" borderId="8" xfId="0" applyNumberFormat="1" applyFont="1" applyFill="1" applyBorder="1" applyAlignment="1" applyProtection="1">
      <alignment horizontal="left" indent="4"/>
    </xf>
    <xf numFmtId="4" fontId="0" fillId="0" borderId="12" xfId="0" applyNumberFormat="1" applyFill="1" applyBorder="1" applyProtection="1"/>
    <xf numFmtId="4" fontId="5" fillId="0" borderId="43" xfId="0" applyNumberFormat="1" applyFont="1" applyFill="1" applyBorder="1" applyAlignment="1" applyProtection="1">
      <alignment horizontal="left" indent="4"/>
    </xf>
    <xf numFmtId="4" fontId="0" fillId="0" borderId="6" xfId="0" applyNumberFormat="1" applyFill="1" applyBorder="1" applyProtection="1"/>
    <xf numFmtId="4" fontId="0" fillId="0" borderId="49" xfId="0" applyNumberFormat="1" applyFill="1" applyBorder="1" applyProtection="1"/>
    <xf numFmtId="4" fontId="15" fillId="0" borderId="0" xfId="0" applyNumberFormat="1" applyFont="1" applyFill="1" applyBorder="1" applyAlignment="1" applyProtection="1">
      <alignment vertical="top"/>
    </xf>
    <xf numFmtId="49" fontId="0" fillId="0" borderId="0" xfId="0" applyNumberFormat="1" applyFill="1" applyBorder="1" applyProtection="1"/>
    <xf numFmtId="4" fontId="0" fillId="0" borderId="65" xfId="0" applyNumberFormat="1" applyFill="1" applyBorder="1" applyAlignment="1" applyProtection="1">
      <alignment horizontal="left" indent="2"/>
    </xf>
    <xf numFmtId="49" fontId="0" fillId="0" borderId="35" xfId="0" applyNumberFormat="1" applyFill="1" applyBorder="1" applyProtection="1"/>
    <xf numFmtId="4" fontId="0" fillId="0" borderId="34" xfId="0" applyNumberFormat="1" applyFill="1" applyBorder="1" applyProtection="1">
      <protection locked="0"/>
    </xf>
    <xf numFmtId="4" fontId="6" fillId="0" borderId="65" xfId="0" applyNumberFormat="1" applyFont="1" applyFill="1" applyBorder="1" applyAlignment="1" applyProtection="1">
      <alignment horizontal="left" indent="2"/>
    </xf>
    <xf numFmtId="4" fontId="0" fillId="0" borderId="34" xfId="0" applyNumberFormat="1" applyFill="1" applyBorder="1" applyProtection="1"/>
    <xf numFmtId="4" fontId="0" fillId="0" borderId="66" xfId="0" applyNumberFormat="1" applyFill="1" applyBorder="1" applyAlignment="1" applyProtection="1">
      <alignment horizontal="left" indent="2"/>
    </xf>
    <xf numFmtId="4" fontId="0" fillId="0" borderId="9" xfId="0" applyNumberFormat="1" applyFill="1" applyBorder="1" applyProtection="1">
      <protection locked="0"/>
    </xf>
    <xf numFmtId="4" fontId="6" fillId="0" borderId="66" xfId="0" applyNumberFormat="1" applyFont="1" applyFill="1" applyBorder="1" applyAlignment="1" applyProtection="1">
      <alignment horizontal="left" vertical="center" wrapText="1" indent="2"/>
    </xf>
    <xf numFmtId="4" fontId="0" fillId="0" borderId="67" xfId="0" applyNumberFormat="1" applyFill="1" applyBorder="1" applyAlignment="1" applyProtection="1">
      <alignment horizontal="left" indent="2"/>
    </xf>
    <xf numFmtId="4" fontId="0" fillId="0" borderId="45" xfId="0" applyNumberFormat="1" applyFill="1" applyBorder="1" applyProtection="1"/>
    <xf numFmtId="4" fontId="2" fillId="0" borderId="0" xfId="0" applyNumberFormat="1" applyFont="1" applyFill="1" applyBorder="1" applyProtection="1"/>
    <xf numFmtId="4" fontId="0" fillId="0" borderId="61" xfId="0" applyNumberFormat="1" applyFill="1" applyBorder="1"/>
    <xf numFmtId="49" fontId="0" fillId="0" borderId="8" xfId="0" applyNumberFormat="1" applyFill="1" applyBorder="1"/>
    <xf numFmtId="4" fontId="0" fillId="0" borderId="62" xfId="0" applyNumberFormat="1" applyFill="1" applyBorder="1"/>
    <xf numFmtId="49" fontId="6" fillId="0" borderId="6" xfId="0" applyNumberFormat="1" applyFont="1" applyFill="1" applyBorder="1"/>
    <xf numFmtId="49" fontId="6" fillId="0" borderId="8" xfId="0" applyNumberFormat="1" applyFont="1" applyFill="1" applyBorder="1"/>
    <xf numFmtId="4" fontId="0" fillId="0" borderId="14" xfId="0" applyNumberFormat="1" applyFill="1" applyBorder="1" applyAlignment="1">
      <alignment vertical="top"/>
    </xf>
    <xf numFmtId="4" fontId="0" fillId="0" borderId="62" xfId="0" applyNumberFormat="1" applyFill="1" applyBorder="1" applyAlignment="1"/>
    <xf numFmtId="4" fontId="0" fillId="0" borderId="68" xfId="0" applyNumberFormat="1" applyFill="1" applyBorder="1"/>
    <xf numFmtId="165" fontId="0" fillId="0" borderId="0" xfId="0" applyNumberFormat="1" applyBorder="1"/>
    <xf numFmtId="0" fontId="6" fillId="0" borderId="8" xfId="0" applyFont="1" applyBorder="1" applyProtection="1">
      <protection locked="0"/>
    </xf>
    <xf numFmtId="4" fontId="34" fillId="0" borderId="40" xfId="0" applyNumberFormat="1" applyFont="1" applyFill="1" applyBorder="1"/>
    <xf numFmtId="4" fontId="6" fillId="0" borderId="0" xfId="0" applyNumberFormat="1" applyFont="1" applyFill="1" applyBorder="1" applyProtection="1"/>
    <xf numFmtId="4" fontId="35" fillId="0" borderId="99" xfId="0" applyNumberFormat="1" applyFont="1" applyFill="1" applyBorder="1" applyProtection="1"/>
    <xf numFmtId="4" fontId="6" fillId="0" borderId="75" xfId="0" applyNumberFormat="1" applyFont="1" applyFill="1" applyBorder="1" applyProtection="1"/>
    <xf numFmtId="4" fontId="6" fillId="0" borderId="85" xfId="0" applyNumberFormat="1" applyFont="1" applyFill="1" applyBorder="1" applyProtection="1"/>
    <xf numFmtId="4" fontId="35" fillId="0" borderId="86" xfId="0" applyNumberFormat="1" applyFont="1" applyFill="1" applyBorder="1" applyProtection="1"/>
    <xf numFmtId="4" fontId="35" fillId="0" borderId="75" xfId="0" applyNumberFormat="1" applyFont="1" applyFill="1" applyBorder="1" applyProtection="1"/>
    <xf numFmtId="4" fontId="35" fillId="0" borderId="85" xfId="0" applyNumberFormat="1" applyFont="1" applyFill="1" applyBorder="1" applyProtection="1"/>
    <xf numFmtId="4" fontId="6" fillId="0" borderId="99" xfId="0" applyNumberFormat="1" applyFont="1" applyFill="1" applyBorder="1" applyProtection="1"/>
    <xf numFmtId="9" fontId="6" fillId="0" borderId="0" xfId="4" applyFont="1" applyFill="1" applyAlignment="1" applyProtection="1">
      <alignment horizontal="center"/>
    </xf>
    <xf numFmtId="4" fontId="35" fillId="0" borderId="99" xfId="0" applyNumberFormat="1" applyFont="1" applyFill="1" applyBorder="1"/>
    <xf numFmtId="0" fontId="0" fillId="0" borderId="50" xfId="0" applyFill="1" applyBorder="1" applyAlignment="1" applyProtection="1"/>
    <xf numFmtId="0" fontId="0" fillId="0" borderId="60" xfId="0" applyFill="1" applyBorder="1" applyAlignment="1" applyProtection="1"/>
    <xf numFmtId="0" fontId="0" fillId="0" borderId="61" xfId="0" applyFill="1" applyBorder="1" applyAlignment="1" applyProtection="1"/>
    <xf numFmtId="0" fontId="0" fillId="0" borderId="48" xfId="0" applyFill="1" applyBorder="1" applyAlignment="1" applyProtection="1"/>
    <xf numFmtId="0" fontId="0" fillId="0" borderId="60" xfId="0" applyFill="1" applyBorder="1" applyProtection="1"/>
    <xf numFmtId="0" fontId="0" fillId="0" borderId="26" xfId="0" applyFill="1" applyBorder="1" applyProtection="1"/>
    <xf numFmtId="44" fontId="5" fillId="0" borderId="25" xfId="5" applyFont="1" applyBorder="1" applyProtection="1"/>
    <xf numFmtId="0" fontId="2" fillId="0" borderId="0" xfId="0" applyFont="1" applyFill="1" applyAlignment="1">
      <alignment horizontal="center"/>
    </xf>
    <xf numFmtId="0" fontId="0" fillId="0" borderId="0" xfId="0" applyFill="1" applyBorder="1" applyProtection="1"/>
    <xf numFmtId="0" fontId="0" fillId="0" borderId="0" xfId="0" applyFill="1" applyAlignment="1"/>
    <xf numFmtId="44" fontId="0" fillId="0" borderId="0" xfId="0" applyNumberFormat="1" applyProtection="1"/>
    <xf numFmtId="0" fontId="0" fillId="0" borderId="0" xfId="0" applyAlignment="1"/>
    <xf numFmtId="0" fontId="2" fillId="0" borderId="0" xfId="0" applyFont="1" applyAlignment="1">
      <alignment horizontal="center" vertical="center"/>
    </xf>
    <xf numFmtId="0" fontId="5" fillId="0" borderId="0" xfId="0" applyFont="1" applyAlignment="1">
      <alignment horizontal="center" vertical="center"/>
    </xf>
    <xf numFmtId="0" fontId="19"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left" indent="4"/>
    </xf>
    <xf numFmtId="0" fontId="2" fillId="0" borderId="0" xfId="0" applyFont="1" applyAlignment="1"/>
    <xf numFmtId="0" fontId="1" fillId="0" borderId="0" xfId="0" applyFont="1" applyAlignment="1">
      <alignment horizontal="left" indent="4"/>
    </xf>
    <xf numFmtId="0" fontId="15" fillId="0" borderId="46" xfId="0" applyFont="1" applyBorder="1" applyAlignment="1">
      <alignment horizontal="center" vertical="center" wrapText="1"/>
    </xf>
    <xf numFmtId="0" fontId="0" fillId="0" borderId="46" xfId="0" applyBorder="1" applyAlignment="1">
      <alignment horizontal="center" vertical="center" wrapText="1"/>
    </xf>
    <xf numFmtId="0" fontId="15" fillId="0" borderId="47" xfId="0" applyFont="1" applyBorder="1" applyAlignment="1">
      <alignment horizontal="center" vertical="top"/>
    </xf>
    <xf numFmtId="0" fontId="0" fillId="0" borderId="47" xfId="0" applyBorder="1" applyAlignment="1">
      <alignment horizontal="center" vertical="top"/>
    </xf>
    <xf numFmtId="0" fontId="0" fillId="0" borderId="37" xfId="0" applyBorder="1" applyAlignment="1"/>
    <xf numFmtId="0" fontId="0" fillId="0" borderId="48" xfId="0" applyBorder="1" applyAlignment="1"/>
    <xf numFmtId="0" fontId="0" fillId="0" borderId="0" xfId="0" applyAlignment="1">
      <alignment wrapText="1"/>
    </xf>
    <xf numFmtId="0" fontId="6" fillId="0" borderId="0" xfId="0" applyFont="1" applyAlignment="1">
      <alignment horizontal="left" indent="13"/>
    </xf>
    <xf numFmtId="0" fontId="0" fillId="0" borderId="1" xfId="0" applyBorder="1" applyAlignment="1"/>
    <xf numFmtId="0" fontId="16" fillId="0" borderId="0" xfId="0" applyFont="1" applyAlignment="1"/>
    <xf numFmtId="0" fontId="0" fillId="0" borderId="0" xfId="0" applyAlignment="1">
      <alignment vertical="center"/>
    </xf>
    <xf numFmtId="0" fontId="0" fillId="0" borderId="0" xfId="0" applyAlignment="1">
      <alignment horizontal="center" vertical="center"/>
    </xf>
    <xf numFmtId="0" fontId="16" fillId="0" borderId="0" xfId="0" applyFont="1" applyAlignment="1">
      <alignment horizontal="center" vertical="center"/>
    </xf>
    <xf numFmtId="0" fontId="5" fillId="0" borderId="60" xfId="0" applyFont="1" applyBorder="1" applyAlignment="1">
      <alignment horizontal="center"/>
    </xf>
    <xf numFmtId="0" fontId="5" fillId="0" borderId="82" xfId="0" applyFont="1" applyBorder="1" applyAlignment="1">
      <alignment horizontal="center"/>
    </xf>
    <xf numFmtId="0" fontId="0" fillId="0" borderId="48" xfId="0" applyBorder="1" applyAlignment="1">
      <alignment horizontal="center"/>
    </xf>
    <xf numFmtId="0" fontId="0" fillId="0" borderId="81" xfId="0" applyBorder="1" applyAlignment="1">
      <alignment horizontal="center"/>
    </xf>
    <xf numFmtId="0" fontId="18" fillId="0" borderId="0" xfId="0" applyFont="1" applyBorder="1" applyAlignment="1">
      <alignment horizontal="right" vertical="center"/>
    </xf>
    <xf numFmtId="0" fontId="6" fillId="0" borderId="84"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6" fillId="0" borderId="48" xfId="0" applyNumberFormat="1" applyFont="1" applyBorder="1" applyAlignment="1">
      <alignment horizontal="center"/>
    </xf>
    <xf numFmtId="49" fontId="0" fillId="0" borderId="81" xfId="0" applyNumberFormat="1" applyBorder="1" applyAlignment="1">
      <alignment horizontal="center"/>
    </xf>
    <xf numFmtId="0" fontId="5" fillId="0" borderId="83" xfId="0" applyFont="1" applyBorder="1" applyAlignment="1">
      <alignment horizontal="center"/>
    </xf>
    <xf numFmtId="0" fontId="0" fillId="0" borderId="0" xfId="0" applyFill="1" applyBorder="1" applyAlignment="1">
      <alignment horizontal="left" indent="3"/>
    </xf>
    <xf numFmtId="0" fontId="0" fillId="0" borderId="0" xfId="0" applyAlignment="1">
      <alignment horizontal="left" indent="3"/>
    </xf>
    <xf numFmtId="0" fontId="16" fillId="0" borderId="51" xfId="0" applyFont="1" applyBorder="1" applyAlignment="1">
      <alignment horizontal="center" vertical="top"/>
    </xf>
    <xf numFmtId="0" fontId="16" fillId="0" borderId="52" xfId="0" applyFont="1" applyBorder="1" applyAlignment="1">
      <alignment horizontal="center" vertical="top"/>
    </xf>
    <xf numFmtId="0" fontId="16" fillId="0" borderId="53" xfId="0" applyFont="1" applyBorder="1" applyAlignment="1">
      <alignment horizontal="center" vertical="top"/>
    </xf>
    <xf numFmtId="0" fontId="0" fillId="0" borderId="57" xfId="0" applyBorder="1" applyAlignment="1"/>
    <xf numFmtId="0" fontId="6" fillId="0" borderId="0" xfId="0" applyFont="1" applyAlignment="1"/>
    <xf numFmtId="0" fontId="11" fillId="0" borderId="0" xfId="0" applyFont="1" applyAlignment="1">
      <alignment horizontal="center" vertical="center" wrapText="1"/>
    </xf>
    <xf numFmtId="0" fontId="5" fillId="0" borderId="0" xfId="0" applyFont="1" applyBorder="1" applyAlignment="1">
      <alignment horizontal="center"/>
    </xf>
    <xf numFmtId="0" fontId="5" fillId="0" borderId="55" xfId="0" applyFont="1" applyBorder="1" applyAlignment="1">
      <alignment horizontal="center"/>
    </xf>
    <xf numFmtId="0" fontId="5" fillId="0" borderId="54" xfId="0" applyFont="1" applyBorder="1" applyAlignment="1">
      <alignment horizontal="center"/>
    </xf>
    <xf numFmtId="0" fontId="5" fillId="0" borderId="0" xfId="0" applyFont="1" applyAlignment="1">
      <alignment horizontal="center"/>
    </xf>
    <xf numFmtId="0" fontId="6" fillId="0" borderId="76" xfId="0" applyFont="1" applyBorder="1" applyAlignment="1">
      <alignment horizontal="left" indent="2"/>
    </xf>
    <xf numFmtId="0" fontId="0" fillId="0" borderId="46" xfId="0" applyBorder="1" applyAlignment="1">
      <alignment horizontal="left" indent="2"/>
    </xf>
    <xf numFmtId="164" fontId="0" fillId="0" borderId="48" xfId="0" applyNumberFormat="1" applyBorder="1" applyAlignment="1">
      <alignment horizontal="center"/>
    </xf>
    <xf numFmtId="164" fontId="0" fillId="0" borderId="81" xfId="0" applyNumberFormat="1" applyBorder="1" applyAlignment="1">
      <alignment horizontal="center"/>
    </xf>
    <xf numFmtId="0" fontId="6" fillId="0" borderId="48" xfId="0" applyFont="1" applyFill="1" applyBorder="1" applyAlignment="1">
      <alignment horizontal="center"/>
    </xf>
    <xf numFmtId="0" fontId="5" fillId="0" borderId="52" xfId="0" applyFont="1" applyFill="1" applyBorder="1" applyAlignment="1">
      <alignment horizontal="center"/>
    </xf>
    <xf numFmtId="0" fontId="5" fillId="0" borderId="52" xfId="0" applyFont="1" applyBorder="1" applyAlignment="1">
      <alignment horizontal="center"/>
    </xf>
    <xf numFmtId="0" fontId="0" fillId="0" borderId="52" xfId="0" applyBorder="1" applyAlignment="1"/>
    <xf numFmtId="0" fontId="0" fillId="0" borderId="76" xfId="0" applyBorder="1" applyAlignment="1">
      <alignment horizontal="left" indent="2"/>
    </xf>
    <xf numFmtId="0" fontId="0" fillId="0" borderId="46" xfId="0" applyBorder="1" applyAlignment="1"/>
    <xf numFmtId="0" fontId="0" fillId="0" borderId="0" xfId="0" applyBorder="1" applyAlignment="1"/>
    <xf numFmtId="0" fontId="0" fillId="0" borderId="55" xfId="0" applyBorder="1" applyAlignment="1"/>
    <xf numFmtId="0" fontId="5" fillId="0" borderId="77" xfId="0" applyFont="1" applyBorder="1" applyAlignment="1">
      <alignment horizontal="center"/>
    </xf>
    <xf numFmtId="0" fontId="5" fillId="0" borderId="78" xfId="0" applyFont="1" applyBorder="1" applyAlignment="1">
      <alignment horizontal="center"/>
    </xf>
    <xf numFmtId="0" fontId="0" fillId="0" borderId="58" xfId="0" applyBorder="1" applyAlignment="1"/>
    <xf numFmtId="0" fontId="0" fillId="0" borderId="84" xfId="0" applyFill="1" applyBorder="1" applyAlignment="1">
      <alignment horizontal="center"/>
    </xf>
    <xf numFmtId="0" fontId="0" fillId="0" borderId="48" xfId="0" applyFill="1" applyBorder="1" applyAlignment="1">
      <alignment horizontal="center"/>
    </xf>
    <xf numFmtId="0" fontId="0" fillId="0" borderId="84" xfId="0" applyBorder="1" applyAlignment="1">
      <alignment horizontal="center"/>
    </xf>
    <xf numFmtId="0" fontId="0" fillId="0" borderId="54" xfId="0" applyBorder="1" applyAlignment="1"/>
    <xf numFmtId="0" fontId="0" fillId="0" borderId="54" xfId="0" applyBorder="1" applyAlignment="1">
      <alignment horizontal="center"/>
    </xf>
    <xf numFmtId="0" fontId="0" fillId="0" borderId="0" xfId="0" applyBorder="1" applyAlignment="1">
      <alignment horizontal="center"/>
    </xf>
    <xf numFmtId="0" fontId="6" fillId="0" borderId="76" xfId="0" applyFont="1" applyFill="1" applyBorder="1" applyAlignment="1">
      <alignment horizontal="left" indent="2"/>
    </xf>
    <xf numFmtId="0" fontId="0" fillId="0" borderId="46" xfId="0" applyFill="1" applyBorder="1" applyAlignment="1"/>
    <xf numFmtId="0" fontId="0" fillId="0" borderId="76" xfId="0" applyFill="1" applyBorder="1" applyAlignment="1">
      <alignment horizontal="left" indent="2"/>
    </xf>
    <xf numFmtId="0" fontId="15" fillId="0" borderId="61" xfId="0" applyFont="1" applyBorder="1" applyAlignment="1">
      <alignment vertical="center"/>
    </xf>
    <xf numFmtId="0" fontId="15" fillId="0" borderId="48" xfId="0" applyFont="1" applyBorder="1" applyAlignment="1">
      <alignment vertical="center"/>
    </xf>
    <xf numFmtId="0" fontId="15" fillId="0" borderId="60" xfId="0" applyFont="1" applyBorder="1" applyAlignment="1">
      <alignment horizontal="center" vertical="top"/>
    </xf>
    <xf numFmtId="0" fontId="0" fillId="0" borderId="60" xfId="0" applyBorder="1" applyAlignment="1">
      <alignment horizontal="center" vertical="top"/>
    </xf>
    <xf numFmtId="0" fontId="5" fillId="0" borderId="50" xfId="0" applyFont="1" applyBorder="1" applyAlignment="1">
      <alignment horizontal="center" vertical="center"/>
    </xf>
    <xf numFmtId="0" fontId="5" fillId="0" borderId="60" xfId="0" applyFont="1" applyBorder="1" applyAlignment="1">
      <alignment horizontal="center" vertical="center"/>
    </xf>
    <xf numFmtId="0" fontId="0" fillId="0" borderId="79" xfId="0" applyBorder="1" applyAlignment="1"/>
    <xf numFmtId="0" fontId="0" fillId="0" borderId="21" xfId="0" applyBorder="1" applyAlignment="1"/>
    <xf numFmtId="0" fontId="5" fillId="0" borderId="68" xfId="0" applyFont="1" applyBorder="1" applyAlignment="1">
      <alignment horizontal="center" vertical="center"/>
    </xf>
    <xf numFmtId="0" fontId="5" fillId="0" borderId="79" xfId="0" applyFont="1" applyBorder="1" applyAlignment="1">
      <alignment horizontal="center" vertical="center"/>
    </xf>
    <xf numFmtId="0" fontId="5" fillId="0" borderId="21" xfId="0" applyFont="1" applyBorder="1" applyAlignment="1">
      <alignment horizontal="center" vertical="center"/>
    </xf>
    <xf numFmtId="0" fontId="0" fillId="0" borderId="14" xfId="0" applyBorder="1" applyAlignment="1"/>
    <xf numFmtId="0" fontId="0" fillId="0" borderId="0" xfId="0" applyAlignment="1">
      <alignment horizontal="left" vertical="center" wrapText="1" indent="1"/>
    </xf>
    <xf numFmtId="0" fontId="22" fillId="2" borderId="54" xfId="0" applyFont="1" applyFill="1" applyBorder="1" applyAlignment="1">
      <alignment horizontal="left" indent="2"/>
    </xf>
    <xf numFmtId="0" fontId="0" fillId="2" borderId="0" xfId="0" applyFill="1" applyAlignment="1">
      <alignment horizontal="left" indent="2"/>
    </xf>
    <xf numFmtId="0" fontId="0" fillId="2" borderId="55" xfId="0" applyFill="1" applyBorder="1" applyAlignment="1">
      <alignment horizontal="left" indent="2"/>
    </xf>
    <xf numFmtId="0" fontId="2" fillId="0" borderId="0" xfId="0" applyFont="1" applyAlignment="1">
      <alignment horizontal="center" vertical="top"/>
    </xf>
    <xf numFmtId="0" fontId="2" fillId="2" borderId="56" xfId="0" applyFont="1" applyFill="1" applyBorder="1" applyAlignment="1">
      <alignment horizontal="left" indent="2"/>
    </xf>
    <xf numFmtId="0" fontId="2" fillId="2" borderId="57" xfId="0" applyFont="1" applyFill="1" applyBorder="1" applyAlignment="1">
      <alignment horizontal="left" indent="2"/>
    </xf>
    <xf numFmtId="0" fontId="2" fillId="2" borderId="58" xfId="0" applyFont="1" applyFill="1" applyBorder="1" applyAlignment="1">
      <alignment horizontal="left" indent="2"/>
    </xf>
    <xf numFmtId="0" fontId="2" fillId="2" borderId="54" xfId="0" applyFont="1" applyFill="1" applyBorder="1" applyAlignment="1">
      <alignment horizontal="left" indent="2"/>
    </xf>
    <xf numFmtId="0" fontId="2" fillId="2" borderId="0" xfId="0" applyFont="1" applyFill="1" applyBorder="1" applyAlignment="1">
      <alignment horizontal="left" indent="2"/>
    </xf>
    <xf numFmtId="0" fontId="2" fillId="2" borderId="55" xfId="0" applyFont="1" applyFill="1" applyBorder="1" applyAlignment="1">
      <alignment horizontal="left" indent="2"/>
    </xf>
    <xf numFmtId="0" fontId="2" fillId="2" borderId="54" xfId="0" applyFont="1" applyFill="1" applyBorder="1" applyAlignment="1">
      <alignment horizontal="left" indent="6"/>
    </xf>
    <xf numFmtId="0" fontId="22" fillId="2" borderId="0" xfId="0" applyFont="1" applyFill="1" applyBorder="1" applyAlignment="1">
      <alignment horizontal="left" indent="6"/>
    </xf>
    <xf numFmtId="0" fontId="22" fillId="2" borderId="55" xfId="0" applyFont="1" applyFill="1" applyBorder="1" applyAlignment="1">
      <alignment horizontal="left" indent="6"/>
    </xf>
    <xf numFmtId="0" fontId="2" fillId="2" borderId="51" xfId="0" applyFont="1" applyFill="1" applyBorder="1" applyAlignment="1">
      <alignment horizontal="left" indent="6"/>
    </xf>
    <xf numFmtId="0" fontId="2" fillId="2" borderId="52" xfId="0" applyFont="1" applyFill="1" applyBorder="1" applyAlignment="1">
      <alignment horizontal="left" indent="6"/>
    </xf>
    <xf numFmtId="0" fontId="2" fillId="2" borderId="53" xfId="0" applyFont="1" applyFill="1" applyBorder="1" applyAlignment="1">
      <alignment horizontal="left" indent="6"/>
    </xf>
    <xf numFmtId="0" fontId="5" fillId="0" borderId="26" xfId="0" applyFont="1" applyBorder="1" applyAlignment="1">
      <alignment horizontal="center" vertical="center"/>
    </xf>
    <xf numFmtId="0" fontId="0" fillId="0" borderId="68" xfId="0" applyBorder="1" applyAlignment="1"/>
    <xf numFmtId="0" fontId="0" fillId="0" borderId="62" xfId="0" applyBorder="1" applyAlignment="1"/>
    <xf numFmtId="0" fontId="0" fillId="0" borderId="80" xfId="0" applyBorder="1" applyAlignment="1"/>
    <xf numFmtId="0" fontId="0" fillId="0" borderId="47" xfId="0" applyBorder="1" applyAlignment="1"/>
    <xf numFmtId="0" fontId="0" fillId="0" borderId="16" xfId="0" applyBorder="1" applyAlignment="1"/>
    <xf numFmtId="0" fontId="15" fillId="0" borderId="49" xfId="0" applyFont="1" applyBorder="1" applyAlignment="1">
      <alignment wrapText="1"/>
    </xf>
    <xf numFmtId="0" fontId="15" fillId="0" borderId="0" xfId="0" applyFont="1" applyBorder="1" applyAlignment="1">
      <alignment wrapText="1"/>
    </xf>
    <xf numFmtId="0" fontId="15" fillId="0" borderId="12" xfId="0" applyFont="1" applyBorder="1" applyAlignment="1">
      <alignment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15" xfId="0" applyFont="1" applyBorder="1" applyAlignment="1">
      <alignment vertical="center"/>
    </xf>
    <xf numFmtId="0" fontId="15" fillId="0" borderId="49" xfId="0" applyFont="1" applyBorder="1" applyAlignment="1">
      <alignment vertical="center" wrapText="1"/>
    </xf>
    <xf numFmtId="0" fontId="15" fillId="0" borderId="0" xfId="0" applyFont="1" applyAlignment="1">
      <alignment vertical="center"/>
    </xf>
    <xf numFmtId="0" fontId="15" fillId="0" borderId="12"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vertical="top"/>
    </xf>
    <xf numFmtId="0" fontId="6" fillId="0" borderId="0" xfId="0" applyFont="1" applyAlignment="1">
      <alignment horizontal="left" vertical="center" indent="1"/>
    </xf>
    <xf numFmtId="0" fontId="23"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left" vertical="center" wrapText="1"/>
    </xf>
    <xf numFmtId="0" fontId="1" fillId="0" borderId="0" xfId="0" applyFont="1" applyAlignment="1">
      <alignment horizontal="right" vertical="center"/>
    </xf>
    <xf numFmtId="0" fontId="0" fillId="0" borderId="77" xfId="0" applyBorder="1" applyAlignment="1">
      <alignment horizontal="left" indent="2"/>
    </xf>
    <xf numFmtId="0" fontId="0" fillId="0" borderId="78" xfId="0" applyBorder="1" applyAlignment="1"/>
    <xf numFmtId="0" fontId="11" fillId="0" borderId="47" xfId="0" applyFont="1" applyBorder="1" applyAlignment="1">
      <alignment horizontal="center" vertical="top"/>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1" fillId="0" borderId="0" xfId="0" applyFont="1" applyAlignment="1" applyProtection="1">
      <alignment horizontal="center" wrapText="1"/>
    </xf>
    <xf numFmtId="0" fontId="0" fillId="0" borderId="62" xfId="0" applyBorder="1" applyAlignment="1" applyProtection="1"/>
    <xf numFmtId="0" fontId="0" fillId="0" borderId="46" xfId="0" applyBorder="1" applyAlignment="1" applyProtection="1"/>
    <xf numFmtId="0" fontId="0" fillId="0" borderId="14" xfId="0" applyBorder="1" applyAlignment="1" applyProtection="1"/>
    <xf numFmtId="0" fontId="5" fillId="0" borderId="62" xfId="0" applyFont="1" applyBorder="1" applyAlignment="1" applyProtection="1">
      <alignment horizontal="right"/>
    </xf>
    <xf numFmtId="0" fontId="5" fillId="0" borderId="46" xfId="0" applyFont="1" applyBorder="1" applyAlignment="1" applyProtection="1">
      <alignment horizontal="right"/>
    </xf>
    <xf numFmtId="0" fontId="5" fillId="0" borderId="14" xfId="0" applyFont="1" applyBorder="1" applyAlignment="1" applyProtection="1">
      <alignment horizontal="right"/>
    </xf>
    <xf numFmtId="0" fontId="1"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vertical="center" wrapText="1"/>
    </xf>
    <xf numFmtId="0" fontId="2" fillId="0" borderId="0" xfId="0" applyFont="1" applyAlignment="1" applyProtection="1">
      <alignment horizontal="center" vertical="center"/>
    </xf>
    <xf numFmtId="0" fontId="6" fillId="0" borderId="0" xfId="0" applyFont="1" applyFill="1" applyBorder="1" applyAlignment="1" applyProtection="1">
      <alignment horizontal="left" wrapText="1" indent="5"/>
    </xf>
    <xf numFmtId="0" fontId="0" fillId="0" borderId="0" xfId="0" applyAlignment="1">
      <alignment horizontal="left" wrapText="1" indent="5"/>
    </xf>
    <xf numFmtId="0" fontId="0" fillId="0" borderId="12" xfId="0" applyBorder="1" applyAlignment="1">
      <alignment horizontal="left" wrapText="1" indent="5"/>
    </xf>
    <xf numFmtId="166" fontId="6" fillId="2" borderId="27" xfId="0" applyNumberFormat="1" applyFont="1" applyFill="1" applyBorder="1" applyAlignment="1" applyProtection="1"/>
    <xf numFmtId="166" fontId="6" fillId="2" borderId="32" xfId="0" applyNumberFormat="1" applyFont="1" applyFill="1" applyBorder="1" applyAlignment="1" applyProtection="1"/>
    <xf numFmtId="0" fontId="2" fillId="0" borderId="62" xfId="0" applyFont="1" applyBorder="1" applyAlignment="1" applyProtection="1"/>
    <xf numFmtId="0" fontId="2" fillId="0" borderId="46" xfId="0" applyFont="1" applyBorder="1" applyAlignment="1" applyProtection="1"/>
    <xf numFmtId="0" fontId="2" fillId="0" borderId="14" xfId="0" applyFont="1" applyBorder="1" applyAlignment="1" applyProtection="1"/>
    <xf numFmtId="0" fontId="0" fillId="0" borderId="49" xfId="0" applyBorder="1" applyAlignment="1" applyProtection="1">
      <alignment horizontal="center" vertical="center" wrapText="1"/>
    </xf>
    <xf numFmtId="0" fontId="0" fillId="0" borderId="0" xfId="0" applyAlignment="1" applyProtection="1">
      <alignment horizontal="center" vertical="center" wrapText="1"/>
    </xf>
    <xf numFmtId="0" fontId="0" fillId="0" borderId="49" xfId="0" applyBorder="1" applyAlignment="1" applyProtection="1">
      <alignment horizontal="justify" vertical="center" wrapText="1"/>
    </xf>
    <xf numFmtId="0" fontId="0" fillId="0" borderId="0" xfId="0" applyAlignment="1" applyProtection="1">
      <alignment horizontal="justify" vertical="center" wrapText="1"/>
    </xf>
    <xf numFmtId="0" fontId="2" fillId="0" borderId="50"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4" fillId="0" borderId="60"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4" fillId="0" borderId="48"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0" fillId="0" borderId="0" xfId="0" applyAlignment="1" applyProtection="1"/>
    <xf numFmtId="4" fontId="0" fillId="0" borderId="27" xfId="0" applyNumberFormat="1" applyBorder="1" applyAlignment="1" applyProtection="1"/>
    <xf numFmtId="4" fontId="0" fillId="0" borderId="6" xfId="0" applyNumberFormat="1" applyBorder="1" applyAlignment="1" applyProtection="1"/>
    <xf numFmtId="0" fontId="2" fillId="0" borderId="1" xfId="0" applyFont="1" applyBorder="1" applyAlignment="1" applyProtection="1">
      <alignment horizontal="center" vertical="center" wrapText="1"/>
    </xf>
    <xf numFmtId="0" fontId="4" fillId="0" borderId="0" xfId="0" applyFont="1" applyAlignment="1" applyProtection="1">
      <alignment horizontal="right" vertical="center"/>
    </xf>
    <xf numFmtId="0" fontId="0" fillId="0" borderId="14" xfId="0" applyBorder="1" applyAlignment="1" applyProtection="1">
      <alignment horizontal="left" indent="4"/>
    </xf>
    <xf numFmtId="0" fontId="0" fillId="0" borderId="8" xfId="0" applyBorder="1" applyAlignment="1" applyProtection="1">
      <alignment horizontal="left" indent="4"/>
    </xf>
    <xf numFmtId="0" fontId="0" fillId="0" borderId="48" xfId="0" applyBorder="1" applyAlignment="1" applyProtection="1"/>
    <xf numFmtId="0" fontId="0" fillId="0" borderId="15" xfId="0" applyBorder="1" applyAlignment="1" applyProtection="1"/>
    <xf numFmtId="0" fontId="0" fillId="0" borderId="79" xfId="0" applyBorder="1" applyAlignment="1" applyProtection="1"/>
    <xf numFmtId="0" fontId="0" fillId="0" borderId="21" xfId="0" applyBorder="1" applyAlignment="1" applyProtection="1"/>
    <xf numFmtId="0" fontId="0" fillId="0" borderId="49" xfId="0" applyBorder="1" applyAlignment="1" applyProtection="1">
      <alignment horizontal="center" vertical="center"/>
    </xf>
    <xf numFmtId="0" fontId="0" fillId="0" borderId="0" xfId="0" applyAlignment="1" applyProtection="1">
      <alignment horizontal="center" vertical="center"/>
    </xf>
    <xf numFmtId="0" fontId="6" fillId="0" borderId="49" xfId="0" applyFont="1" applyBorder="1" applyAlignment="1" applyProtection="1">
      <alignment horizontal="justify" vertical="center" wrapText="1"/>
    </xf>
    <xf numFmtId="0" fontId="0" fillId="0" borderId="16" xfId="0" applyBorder="1" applyAlignment="1" applyProtection="1"/>
    <xf numFmtId="0" fontId="0" fillId="0" borderId="17" xfId="0" applyBorder="1" applyAlignment="1" applyProtection="1"/>
    <xf numFmtId="0" fontId="16" fillId="0" borderId="60" xfId="0" applyFont="1" applyBorder="1" applyAlignment="1" applyProtection="1">
      <alignment vertical="center" wrapText="1"/>
    </xf>
    <xf numFmtId="0" fontId="0" fillId="0" borderId="26" xfId="0" applyBorder="1" applyAlignment="1" applyProtection="1">
      <alignment vertical="center" wrapText="1"/>
    </xf>
    <xf numFmtId="0" fontId="0" fillId="0" borderId="48" xfId="0" applyBorder="1" applyAlignment="1" applyProtection="1">
      <alignment vertical="center" wrapText="1"/>
    </xf>
    <xf numFmtId="0" fontId="0" fillId="0" borderId="15" xfId="0" applyBorder="1" applyAlignment="1" applyProtection="1">
      <alignment vertical="center" wrapText="1"/>
    </xf>
    <xf numFmtId="0" fontId="6" fillId="0" borderId="50" xfId="0" applyFont="1" applyFill="1" applyBorder="1" applyAlignment="1" applyProtection="1">
      <alignment horizontal="left"/>
    </xf>
    <xf numFmtId="0" fontId="6" fillId="0" borderId="60" xfId="0" applyFont="1" applyFill="1" applyBorder="1" applyAlignment="1" applyProtection="1">
      <alignment horizontal="left"/>
    </xf>
    <xf numFmtId="0" fontId="6" fillId="0" borderId="49" xfId="0" applyFont="1" applyFill="1" applyBorder="1" applyAlignment="1" applyProtection="1"/>
    <xf numFmtId="0" fontId="0" fillId="0" borderId="0" xfId="0" applyFill="1" applyBorder="1" applyAlignment="1"/>
    <xf numFmtId="0" fontId="0" fillId="0" borderId="12" xfId="0" applyFill="1" applyBorder="1" applyAlignment="1"/>
    <xf numFmtId="4" fontId="0" fillId="0" borderId="49" xfId="0" applyNumberFormat="1" applyBorder="1" applyAlignment="1" applyProtection="1">
      <alignment horizontal="left" indent="2"/>
    </xf>
    <xf numFmtId="0" fontId="0" fillId="0" borderId="0" xfId="0" applyAlignment="1">
      <alignment horizontal="left" indent="2"/>
    </xf>
    <xf numFmtId="0" fontId="0" fillId="0" borderId="14" xfId="0" applyBorder="1" applyAlignment="1" applyProtection="1">
      <alignment horizontal="left" vertical="center" wrapText="1" indent="4"/>
    </xf>
    <xf numFmtId="0" fontId="6" fillId="0" borderId="37" xfId="0" applyFont="1" applyBorder="1" applyAlignment="1" applyProtection="1">
      <alignment horizontal="left" indent="7"/>
    </xf>
    <xf numFmtId="0" fontId="0" fillId="0" borderId="37" xfId="0" applyBorder="1" applyAlignment="1" applyProtection="1">
      <alignment horizontal="left" indent="7"/>
    </xf>
    <xf numFmtId="0" fontId="2" fillId="0" borderId="60" xfId="0" applyFont="1" applyBorder="1" applyAlignment="1" applyProtection="1">
      <alignment horizontal="center"/>
    </xf>
    <xf numFmtId="0" fontId="0" fillId="0" borderId="60" xfId="0" applyBorder="1" applyAlignment="1" applyProtection="1">
      <alignment horizontal="center"/>
    </xf>
    <xf numFmtId="0" fontId="6" fillId="0" borderId="46" xfId="0" applyFont="1" applyBorder="1" applyAlignment="1" applyProtection="1">
      <alignment wrapText="1"/>
    </xf>
    <xf numFmtId="0" fontId="6" fillId="0" borderId="46" xfId="0" applyFont="1" applyBorder="1" applyAlignment="1" applyProtection="1">
      <alignment horizontal="left" indent="4"/>
    </xf>
    <xf numFmtId="0" fontId="6" fillId="0" borderId="46" xfId="0" applyFont="1" applyBorder="1" applyAlignment="1" applyProtection="1"/>
    <xf numFmtId="0" fontId="6" fillId="0" borderId="46" xfId="0" applyFont="1" applyBorder="1" applyAlignment="1" applyProtection="1">
      <alignment vertical="center" wrapText="1"/>
    </xf>
    <xf numFmtId="0" fontId="0" fillId="0" borderId="10" xfId="0" applyBorder="1" applyAlignment="1" applyProtection="1"/>
    <xf numFmtId="0" fontId="0" fillId="0" borderId="11" xfId="0" applyBorder="1" applyAlignment="1" applyProtection="1"/>
    <xf numFmtId="0" fontId="0" fillId="0" borderId="46" xfId="0" applyBorder="1" applyAlignment="1" applyProtection="1">
      <alignment horizontal="left" indent="4"/>
    </xf>
    <xf numFmtId="0" fontId="6" fillId="0" borderId="46" xfId="0" applyFont="1" applyBorder="1" applyAlignment="1" applyProtection="1">
      <alignment horizontal="left" indent="8"/>
    </xf>
    <xf numFmtId="0" fontId="0" fillId="0" borderId="46" xfId="0" applyBorder="1" applyAlignment="1" applyProtection="1">
      <alignment horizontal="left" indent="8"/>
    </xf>
    <xf numFmtId="0" fontId="2" fillId="0" borderId="0" xfId="0" applyFont="1" applyFill="1" applyAlignment="1">
      <alignment horizontal="center"/>
    </xf>
    <xf numFmtId="0" fontId="0" fillId="0" borderId="0" xfId="0" applyFill="1" applyAlignment="1"/>
    <xf numFmtId="0" fontId="5" fillId="0" borderId="0" xfId="0" applyFont="1" applyFill="1" applyBorder="1" applyAlignment="1" applyProtection="1">
      <alignment horizontal="left" indent="17"/>
    </xf>
    <xf numFmtId="0" fontId="0" fillId="0" borderId="0" xfId="0" applyAlignment="1">
      <alignment horizontal="left" indent="17"/>
    </xf>
    <xf numFmtId="0" fontId="5" fillId="0" borderId="0" xfId="0" applyFont="1" applyFill="1" applyBorder="1" applyAlignment="1" applyProtection="1">
      <alignment horizontal="left" indent="18"/>
    </xf>
    <xf numFmtId="0" fontId="0" fillId="0" borderId="0" xfId="0" applyBorder="1" applyAlignment="1">
      <alignment horizontal="left" indent="18"/>
    </xf>
    <xf numFmtId="0" fontId="2" fillId="0" borderId="50"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6" fillId="0" borderId="49" xfId="0" applyFont="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Alignment="1">
      <alignment horizontal="left" indent="5"/>
    </xf>
    <xf numFmtId="0" fontId="0" fillId="0" borderId="12" xfId="0" applyBorder="1" applyAlignment="1">
      <alignment horizontal="left" indent="5"/>
    </xf>
    <xf numFmtId="0" fontId="0" fillId="0" borderId="0" xfId="0" applyBorder="1" applyAlignment="1">
      <alignment horizontal="left" indent="17"/>
    </xf>
    <xf numFmtId="0" fontId="0" fillId="0" borderId="0" xfId="0" applyAlignment="1">
      <alignment horizontal="left" indent="18"/>
    </xf>
    <xf numFmtId="0" fontId="4" fillId="0" borderId="60" xfId="0" applyFont="1" applyBorder="1" applyAlignment="1" applyProtection="1">
      <alignment horizontal="right" vertical="center"/>
    </xf>
    <xf numFmtId="0" fontId="4" fillId="0" borderId="26" xfId="0" applyFont="1" applyBorder="1" applyAlignment="1" applyProtection="1">
      <alignment horizontal="right" vertical="center"/>
    </xf>
    <xf numFmtId="0" fontId="4" fillId="0" borderId="48" xfId="0" applyFont="1" applyBorder="1" applyAlignment="1" applyProtection="1">
      <alignment horizontal="right" vertical="center"/>
    </xf>
    <xf numFmtId="0" fontId="4" fillId="0" borderId="15" xfId="0" applyFont="1" applyBorder="1" applyAlignment="1" applyProtection="1">
      <alignment horizontal="right" vertical="center"/>
    </xf>
    <xf numFmtId="4" fontId="6" fillId="0" borderId="0" xfId="0" applyNumberFormat="1" applyFont="1" applyBorder="1" applyAlignment="1" applyProtection="1">
      <alignment horizontal="center" vertical="center" wrapText="1"/>
    </xf>
    <xf numFmtId="4" fontId="0" fillId="0" borderId="0" xfId="0" applyNumberFormat="1" applyBorder="1" applyAlignment="1" applyProtection="1">
      <alignment horizontal="center" vertical="center" wrapText="1"/>
    </xf>
    <xf numFmtId="0" fontId="0" fillId="0" borderId="62" xfId="0" applyBorder="1" applyAlignment="1" applyProtection="1">
      <protection locked="0"/>
    </xf>
    <xf numFmtId="0" fontId="0" fillId="0" borderId="14" xfId="0" applyBorder="1" applyAlignment="1" applyProtection="1">
      <protection locked="0"/>
    </xf>
    <xf numFmtId="0" fontId="0" fillId="0" borderId="46" xfId="0" applyBorder="1" applyAlignment="1" applyProtection="1">
      <protection locked="0"/>
    </xf>
    <xf numFmtId="0" fontId="0" fillId="0" borderId="59" xfId="0" applyBorder="1" applyAlignment="1" applyProtection="1">
      <protection locked="0"/>
    </xf>
    <xf numFmtId="0" fontId="6" fillId="0" borderId="62" xfId="0" applyFont="1" applyBorder="1" applyAlignment="1" applyProtection="1">
      <protection locked="0"/>
    </xf>
    <xf numFmtId="0" fontId="6" fillId="0" borderId="75" xfId="0" applyFont="1" applyBorder="1" applyAlignment="1">
      <alignment horizontal="left" vertical="center" wrapText="1"/>
    </xf>
    <xf numFmtId="0" fontId="0" fillId="0" borderId="75" xfId="0" applyBorder="1" applyAlignment="1">
      <alignment horizontal="left" vertical="center"/>
    </xf>
    <xf numFmtId="0" fontId="0" fillId="0" borderId="85" xfId="0" applyBorder="1" applyAlignment="1">
      <alignment horizontal="left" vertical="center"/>
    </xf>
    <xf numFmtId="0" fontId="2" fillId="0" borderId="86" xfId="0" applyFont="1" applyBorder="1" applyAlignment="1">
      <alignment horizontal="center" vertical="center"/>
    </xf>
    <xf numFmtId="0" fontId="0" fillId="0" borderId="85" xfId="0" applyBorder="1" applyAlignment="1">
      <alignment horizontal="center" vertical="center"/>
    </xf>
    <xf numFmtId="0" fontId="2" fillId="0" borderId="75" xfId="0" applyFont="1" applyBorder="1" applyAlignment="1">
      <alignment horizontal="center" vertical="center"/>
    </xf>
    <xf numFmtId="0" fontId="2" fillId="0" borderId="85" xfId="0" applyFont="1" applyBorder="1" applyAlignment="1">
      <alignment horizontal="center" vertical="center"/>
    </xf>
    <xf numFmtId="3" fontId="0" fillId="0" borderId="62" xfId="0" applyNumberFormat="1" applyBorder="1" applyAlignment="1" applyProtection="1">
      <alignment horizontal="center"/>
      <protection locked="0"/>
    </xf>
    <xf numFmtId="3" fontId="0" fillId="0" borderId="14" xfId="0" applyNumberFormat="1" applyBorder="1" applyAlignment="1" applyProtection="1">
      <alignment horizontal="center"/>
      <protection locked="0"/>
    </xf>
    <xf numFmtId="0" fontId="6" fillId="0" borderId="62" xfId="0" applyFont="1" applyBorder="1" applyAlignment="1" applyProtection="1">
      <alignment wrapText="1"/>
      <protection locked="0"/>
    </xf>
    <xf numFmtId="0" fontId="0" fillId="0" borderId="46" xfId="0" applyBorder="1" applyAlignment="1" applyProtection="1">
      <alignment wrapText="1"/>
      <protection locked="0"/>
    </xf>
    <xf numFmtId="0" fontId="0" fillId="0" borderId="59" xfId="0" applyBorder="1" applyAlignment="1" applyProtection="1">
      <alignment wrapText="1"/>
      <protection locked="0"/>
    </xf>
    <xf numFmtId="3" fontId="0" fillId="0" borderId="62" xfId="0" applyNumberFormat="1" applyBorder="1" applyAlignment="1" applyProtection="1">
      <protection locked="0"/>
    </xf>
    <xf numFmtId="3" fontId="0" fillId="0" borderId="14" xfId="0" applyNumberFormat="1" applyBorder="1" applyAlignment="1" applyProtection="1">
      <protection locked="0"/>
    </xf>
    <xf numFmtId="4" fontId="5" fillId="0" borderId="26" xfId="0" applyNumberFormat="1" applyFont="1" applyFill="1" applyBorder="1" applyAlignment="1" applyProtection="1">
      <alignment vertical="center" wrapText="1"/>
    </xf>
    <xf numFmtId="0" fontId="0" fillId="0" borderId="12" xfId="0" applyFill="1" applyBorder="1" applyAlignment="1" applyProtection="1">
      <alignment vertical="center" wrapText="1"/>
    </xf>
    <xf numFmtId="4" fontId="5" fillId="0" borderId="26" xfId="0" applyNumberFormat="1" applyFont="1" applyFill="1" applyBorder="1" applyAlignment="1" applyProtection="1">
      <alignment wrapText="1"/>
    </xf>
    <xf numFmtId="0" fontId="0" fillId="0" borderId="12" xfId="0" applyFill="1" applyBorder="1" applyAlignment="1" applyProtection="1"/>
    <xf numFmtId="4" fontId="5" fillId="0" borderId="37" xfId="0" applyNumberFormat="1" applyFont="1" applyBorder="1" applyAlignment="1">
      <alignment horizontal="left" vertical="center"/>
    </xf>
    <xf numFmtId="0" fontId="0" fillId="0" borderId="48" xfId="0" applyBorder="1" applyAlignment="1">
      <alignment horizontal="left" vertical="center"/>
    </xf>
    <xf numFmtId="49" fontId="5" fillId="0" borderId="19" xfId="0" applyNumberFormat="1" applyFont="1" applyBorder="1" applyAlignment="1">
      <alignment horizontal="center" vertical="center"/>
    </xf>
    <xf numFmtId="0" fontId="0" fillId="0" borderId="8" xfId="0" applyBorder="1" applyAlignment="1">
      <alignment horizontal="center" vertical="center"/>
    </xf>
    <xf numFmtId="4" fontId="5" fillId="0" borderId="79" xfId="0" applyNumberFormat="1" applyFont="1" applyBorder="1" applyAlignment="1">
      <alignment horizontal="center" vertical="center"/>
    </xf>
    <xf numFmtId="0" fontId="0" fillId="0" borderId="21" xfId="0" applyBorder="1" applyAlignment="1">
      <alignment horizontal="center" vertical="center"/>
    </xf>
    <xf numFmtId="4" fontId="5" fillId="0" borderId="23" xfId="0" applyNumberFormat="1" applyFont="1" applyBorder="1" applyAlignment="1">
      <alignment horizontal="center" vertical="center" wrapText="1"/>
    </xf>
    <xf numFmtId="0" fontId="0" fillId="0" borderId="7" xfId="0" applyBorder="1" applyAlignment="1">
      <alignment horizontal="center" vertical="center" wrapText="1"/>
    </xf>
    <xf numFmtId="4" fontId="5" fillId="0" borderId="48" xfId="0" applyNumberFormat="1" applyFont="1" applyBorder="1" applyAlignment="1">
      <alignment horizontal="left" vertical="center"/>
    </xf>
    <xf numFmtId="49" fontId="5" fillId="0" borderId="22" xfId="0" applyNumberFormat="1" applyFont="1" applyBorder="1" applyAlignment="1">
      <alignment horizontal="center" vertical="center"/>
    </xf>
    <xf numFmtId="0" fontId="0" fillId="0" borderId="6" xfId="0" applyBorder="1" applyAlignment="1">
      <alignment horizontal="center" vertical="center"/>
    </xf>
    <xf numFmtId="4" fontId="10" fillId="0" borderId="23"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5" fillId="0" borderId="54" xfId="0" applyFont="1" applyBorder="1" applyAlignment="1">
      <alignment horizontal="center" wrapText="1"/>
    </xf>
    <xf numFmtId="0" fontId="2" fillId="0" borderId="68" xfId="0" applyFont="1" applyBorder="1" applyAlignment="1">
      <alignment horizontal="center" vertical="center"/>
    </xf>
    <xf numFmtId="0" fontId="2" fillId="0" borderId="87" xfId="0" applyFont="1" applyBorder="1" applyAlignment="1">
      <alignment horizontal="center" vertical="center"/>
    </xf>
    <xf numFmtId="4" fontId="5" fillId="0" borderId="24" xfId="0" applyNumberFormat="1" applyFont="1" applyBorder="1" applyAlignment="1">
      <alignment horizontal="left" vertical="center" wrapText="1"/>
    </xf>
    <xf numFmtId="0" fontId="0" fillId="0" borderId="15" xfId="0" applyBorder="1" applyAlignment="1">
      <alignment horizontal="left" vertical="center" wrapText="1"/>
    </xf>
    <xf numFmtId="4" fontId="5" fillId="0" borderId="68" xfId="0" applyNumberFormat="1" applyFont="1" applyBorder="1" applyAlignment="1">
      <alignment horizontal="center" vertical="center"/>
    </xf>
    <xf numFmtId="0" fontId="0" fillId="0" borderId="79" xfId="0" applyBorder="1" applyAlignment="1">
      <alignment horizontal="center"/>
    </xf>
    <xf numFmtId="0" fontId="0" fillId="0" borderId="21" xfId="0" applyBorder="1" applyAlignment="1">
      <alignment horizontal="center"/>
    </xf>
    <xf numFmtId="4" fontId="5" fillId="0" borderId="24" xfId="0" applyNumberFormat="1" applyFont="1" applyBorder="1" applyAlignment="1">
      <alignment horizontal="left" vertical="center"/>
    </xf>
    <xf numFmtId="4" fontId="5" fillId="0" borderId="15" xfId="0" applyNumberFormat="1" applyFont="1" applyBorder="1" applyAlignment="1">
      <alignment horizontal="left" vertical="center"/>
    </xf>
    <xf numFmtId="49" fontId="5" fillId="0" borderId="6" xfId="0" applyNumberFormat="1" applyFont="1" applyBorder="1" applyAlignment="1">
      <alignment horizontal="center" vertical="center"/>
    </xf>
    <xf numFmtId="4" fontId="5" fillId="0" borderId="7" xfId="0" applyNumberFormat="1" applyFont="1" applyBorder="1" applyAlignment="1">
      <alignment horizontal="center" vertical="center" wrapText="1"/>
    </xf>
    <xf numFmtId="0" fontId="0" fillId="0" borderId="15" xfId="0" applyBorder="1" applyAlignment="1">
      <alignment horizontal="left" vertical="center"/>
    </xf>
    <xf numFmtId="4" fontId="5" fillId="0" borderId="21" xfId="0" applyNumberFormat="1" applyFont="1" applyBorder="1" applyAlignment="1">
      <alignment horizontal="center" vertical="center"/>
    </xf>
    <xf numFmtId="4" fontId="4" fillId="0" borderId="0"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xf>
    <xf numFmtId="4" fontId="5" fillId="0" borderId="1" xfId="0" applyNumberFormat="1" applyFont="1" applyFill="1" applyBorder="1" applyAlignment="1" applyProtection="1">
      <alignment horizontal="center" wrapText="1"/>
    </xf>
    <xf numFmtId="4" fontId="6" fillId="0" borderId="1" xfId="0" applyNumberFormat="1" applyFont="1" applyFill="1" applyBorder="1" applyAlignment="1" applyProtection="1">
      <alignment horizontal="center" wrapText="1"/>
    </xf>
    <xf numFmtId="4" fontId="0" fillId="0" borderId="68" xfId="0" applyNumberFormat="1" applyFill="1" applyBorder="1" applyAlignment="1" applyProtection="1">
      <alignment horizontal="center"/>
    </xf>
    <xf numFmtId="0" fontId="0" fillId="0" borderId="79" xfId="0" applyFill="1" applyBorder="1" applyAlignment="1" applyProtection="1">
      <alignment horizontal="center"/>
    </xf>
    <xf numFmtId="0" fontId="0" fillId="0" borderId="21" xfId="0" applyFill="1" applyBorder="1" applyAlignment="1" applyProtection="1">
      <alignment horizontal="center"/>
    </xf>
    <xf numFmtId="4" fontId="6" fillId="0" borderId="57" xfId="0" applyNumberFormat="1" applyFont="1" applyFill="1" applyBorder="1" applyAlignment="1" applyProtection="1">
      <alignment horizontal="center"/>
    </xf>
    <xf numFmtId="0" fontId="0" fillId="0" borderId="57" xfId="0" applyFill="1" applyBorder="1" applyAlignment="1" applyProtection="1">
      <alignment horizontal="center"/>
    </xf>
    <xf numFmtId="4" fontId="0" fillId="0" borderId="79" xfId="0" applyNumberFormat="1" applyFill="1" applyBorder="1" applyAlignment="1" applyProtection="1">
      <alignment horizontal="center"/>
    </xf>
    <xf numFmtId="4" fontId="11" fillId="0" borderId="27" xfId="0" applyNumberFormat="1" applyFont="1" applyFill="1" applyBorder="1" applyAlignment="1" applyProtection="1">
      <alignment vertical="center" wrapText="1"/>
    </xf>
    <xf numFmtId="0" fontId="0" fillId="0" borderId="6" xfId="0" applyFill="1" applyBorder="1" applyAlignment="1" applyProtection="1">
      <alignment vertical="center" wrapText="1"/>
    </xf>
    <xf numFmtId="49" fontId="0" fillId="0" borderId="27" xfId="0" applyNumberFormat="1" applyFill="1" applyBorder="1" applyAlignment="1" applyProtection="1"/>
    <xf numFmtId="49" fontId="0" fillId="0" borderId="6" xfId="0" applyNumberFormat="1" applyFill="1" applyBorder="1" applyAlignment="1" applyProtection="1"/>
    <xf numFmtId="4" fontId="0" fillId="0" borderId="27" xfId="0" applyNumberFormat="1" applyFill="1" applyBorder="1" applyAlignment="1" applyProtection="1">
      <protection locked="0"/>
    </xf>
    <xf numFmtId="0" fontId="0" fillId="0" borderId="6" xfId="0" applyFill="1" applyBorder="1" applyAlignment="1" applyProtection="1">
      <protection locked="0"/>
    </xf>
    <xf numFmtId="0" fontId="6" fillId="0" borderId="0" xfId="0" applyNumberFormat="1" applyFont="1" applyAlignment="1">
      <alignment wrapText="1"/>
    </xf>
    <xf numFmtId="0" fontId="0" fillId="0" borderId="0" xfId="0" applyNumberFormat="1" applyAlignment="1">
      <alignment wrapText="1"/>
    </xf>
    <xf numFmtId="165" fontId="0" fillId="0" borderId="62" xfId="0" applyNumberFormat="1" applyBorder="1" applyAlignment="1"/>
    <xf numFmtId="165" fontId="0" fillId="0" borderId="46" xfId="0" applyNumberFormat="1" applyBorder="1" applyAlignment="1"/>
    <xf numFmtId="0" fontId="0" fillId="0" borderId="46" xfId="0" applyBorder="1" applyAlignment="1">
      <alignment horizontal="left" indent="4"/>
    </xf>
    <xf numFmtId="49" fontId="0" fillId="0" borderId="49" xfId="0" applyNumberFormat="1" applyBorder="1" applyAlignment="1"/>
    <xf numFmtId="165" fontId="0" fillId="0" borderId="2" xfId="0" applyNumberFormat="1" applyBorder="1" applyAlignment="1">
      <alignment horizontal="center"/>
    </xf>
    <xf numFmtId="165" fontId="0" fillId="0" borderId="37" xfId="0" applyNumberFormat="1" applyBorder="1" applyAlignment="1">
      <alignment horizontal="center"/>
    </xf>
    <xf numFmtId="0" fontId="18" fillId="0" borderId="0" xfId="0" applyFont="1" applyAlignment="1">
      <alignment horizontal="center" vertical="center"/>
    </xf>
    <xf numFmtId="0" fontId="0" fillId="0" borderId="14" xfId="0" applyFill="1" applyBorder="1" applyAlignment="1">
      <alignment horizontal="left" indent="8"/>
    </xf>
    <xf numFmtId="0" fontId="0" fillId="0" borderId="8" xfId="0" applyFill="1" applyBorder="1" applyAlignment="1">
      <alignment horizontal="left" indent="8"/>
    </xf>
    <xf numFmtId="165" fontId="0" fillId="0" borderId="8" xfId="0" applyNumberFormat="1" applyBorder="1" applyAlignment="1"/>
    <xf numFmtId="0" fontId="0" fillId="0" borderId="0" xfId="0" applyAlignment="1">
      <alignment horizontal="left" vertical="center"/>
    </xf>
    <xf numFmtId="0" fontId="0" fillId="0" borderId="14" xfId="0" applyFill="1" applyBorder="1" applyAlignment="1"/>
    <xf numFmtId="0" fontId="0" fillId="0" borderId="8" xfId="0" applyFill="1" applyBorder="1" applyAlignment="1"/>
    <xf numFmtId="0" fontId="0" fillId="0" borderId="16" xfId="0" applyFill="1" applyBorder="1" applyAlignment="1">
      <alignment horizontal="left" indent="4"/>
    </xf>
    <xf numFmtId="0" fontId="0" fillId="0" borderId="17" xfId="0" applyFill="1" applyBorder="1" applyAlignment="1">
      <alignment horizontal="left" indent="4"/>
    </xf>
    <xf numFmtId="0" fontId="6" fillId="0" borderId="37" xfId="0" applyFont="1" applyBorder="1" applyAlignment="1">
      <alignment vertical="center" wrapText="1"/>
    </xf>
    <xf numFmtId="0" fontId="0" fillId="0" borderId="37" xfId="0" applyBorder="1" applyAlignment="1">
      <alignment vertical="center" wrapText="1"/>
    </xf>
    <xf numFmtId="0" fontId="0" fillId="0" borderId="0" xfId="0" applyAlignment="1">
      <alignment vertical="center" wrapText="1"/>
    </xf>
    <xf numFmtId="0" fontId="0" fillId="0" borderId="8" xfId="0" applyBorder="1" applyAlignment="1"/>
    <xf numFmtId="0" fontId="2" fillId="0" borderId="60" xfId="0" applyFont="1" applyBorder="1" applyAlignment="1">
      <alignment horizontal="center"/>
    </xf>
    <xf numFmtId="0" fontId="0" fillId="0" borderId="0" xfId="0" applyAlignment="1">
      <alignment horizontal="left" vertical="top" wrapText="1"/>
    </xf>
    <xf numFmtId="0" fontId="0" fillId="0" borderId="48" xfId="0" applyBorder="1" applyAlignment="1">
      <alignment horizontal="left" vertical="top"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4" fontId="0" fillId="0" borderId="50" xfId="0" applyNumberFormat="1" applyFill="1" applyBorder="1" applyAlignment="1"/>
    <xf numFmtId="4" fontId="0" fillId="0" borderId="61" xfId="0" applyNumberFormat="1" applyFill="1" applyBorder="1" applyAlignment="1"/>
    <xf numFmtId="4" fontId="0" fillId="0" borderId="26" xfId="0" applyNumberFormat="1" applyFill="1" applyBorder="1" applyAlignment="1"/>
    <xf numFmtId="4" fontId="0" fillId="0" borderId="15" xfId="0" applyNumberFormat="1" applyFill="1" applyBorder="1" applyAlignment="1"/>
    <xf numFmtId="4" fontId="0" fillId="0" borderId="27" xfId="0" applyNumberFormat="1" applyFill="1" applyBorder="1" applyAlignment="1"/>
    <xf numFmtId="4" fontId="0" fillId="0" borderId="6" xfId="0" applyNumberFormat="1" applyFill="1" applyBorder="1" applyAlignment="1"/>
    <xf numFmtId="0" fontId="2" fillId="0" borderId="0" xfId="0" applyFont="1" applyAlignment="1">
      <alignment vertical="center"/>
    </xf>
    <xf numFmtId="0" fontId="0" fillId="0" borderId="2" xfId="0" applyBorder="1" applyAlignment="1">
      <alignment horizontal="center" vertical="top" wrapText="1"/>
    </xf>
    <xf numFmtId="0" fontId="0" fillId="0" borderId="37" xfId="0" applyBorder="1" applyAlignment="1">
      <alignment horizontal="center" vertical="top" wrapText="1"/>
    </xf>
    <xf numFmtId="0" fontId="0" fillId="0" borderId="24" xfId="0" applyBorder="1" applyAlignment="1">
      <alignment horizontal="center" vertical="top" wrapText="1"/>
    </xf>
    <xf numFmtId="0" fontId="0" fillId="0" borderId="49"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90" xfId="0" applyBorder="1" applyAlignment="1">
      <alignment horizontal="center" vertical="top" wrapText="1"/>
    </xf>
    <xf numFmtId="0" fontId="0" fillId="0" borderId="1" xfId="0" applyBorder="1" applyAlignment="1">
      <alignment horizontal="center" vertical="top" wrapText="1"/>
    </xf>
    <xf numFmtId="0" fontId="0" fillId="0" borderId="25" xfId="0" applyBorder="1" applyAlignment="1">
      <alignment horizontal="center" vertical="top" wrapText="1"/>
    </xf>
    <xf numFmtId="0" fontId="0" fillId="0" borderId="68" xfId="0" applyBorder="1" applyAlignment="1">
      <alignment horizontal="center" vertical="center"/>
    </xf>
    <xf numFmtId="0" fontId="0" fillId="0" borderId="79" xfId="0" applyBorder="1" applyAlignment="1">
      <alignment horizontal="center" vertical="center"/>
    </xf>
    <xf numFmtId="0" fontId="11" fillId="0" borderId="27"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22" xfId="0" applyBorder="1" applyAlignment="1">
      <alignment horizontal="center" vertical="top" wrapText="1"/>
    </xf>
    <xf numFmtId="0" fontId="0" fillId="0" borderId="32" xfId="0" applyBorder="1" applyAlignment="1">
      <alignment horizontal="center" vertical="top"/>
    </xf>
    <xf numFmtId="0" fontId="0" fillId="0" borderId="36" xfId="0" applyBorder="1" applyAlignment="1">
      <alignment horizontal="center" vertical="top"/>
    </xf>
    <xf numFmtId="0" fontId="0" fillId="0" borderId="32" xfId="0" applyBorder="1" applyAlignment="1">
      <alignment horizontal="center" vertical="top" wrapText="1"/>
    </xf>
    <xf numFmtId="0" fontId="0" fillId="0" borderId="36" xfId="0" applyBorder="1" applyAlignment="1">
      <alignment horizontal="center" vertical="top" wrapText="1"/>
    </xf>
    <xf numFmtId="0" fontId="6" fillId="0" borderId="8" xfId="0" applyFont="1" applyFill="1" applyBorder="1" applyAlignment="1">
      <alignment wrapText="1"/>
    </xf>
    <xf numFmtId="49" fontId="0" fillId="0" borderId="0" xfId="0" applyNumberFormat="1" applyBorder="1" applyAlignment="1">
      <alignment wrapText="1"/>
    </xf>
    <xf numFmtId="0" fontId="0" fillId="0" borderId="0" xfId="0" applyBorder="1" applyAlignment="1">
      <alignment wrapText="1"/>
    </xf>
    <xf numFmtId="0" fontId="4" fillId="0" borderId="49" xfId="0" applyFont="1" applyBorder="1" applyAlignment="1">
      <alignment vertical="top"/>
    </xf>
    <xf numFmtId="0" fontId="2" fillId="0" borderId="0" xfId="0" applyFont="1" applyBorder="1" applyAlignment="1">
      <alignment horizontal="center"/>
    </xf>
    <xf numFmtId="0" fontId="0" fillId="0" borderId="0" xfId="0" applyBorder="1" applyAlignment="1">
      <alignment vertical="center"/>
    </xf>
    <xf numFmtId="0" fontId="0" fillId="0" borderId="0" xfId="0" applyBorder="1" applyAlignment="1">
      <alignment horizontal="justify"/>
    </xf>
    <xf numFmtId="0" fontId="0" fillId="0" borderId="12" xfId="0" applyBorder="1" applyAlignment="1">
      <alignment horizontal="justify"/>
    </xf>
    <xf numFmtId="0" fontId="6" fillId="0" borderId="0" xfId="0" applyFont="1" applyBorder="1" applyAlignment="1">
      <alignment horizontal="justify"/>
    </xf>
    <xf numFmtId="0" fontId="5" fillId="0" borderId="62" xfId="0" applyFont="1" applyBorder="1" applyAlignment="1">
      <alignment horizontal="center"/>
    </xf>
    <xf numFmtId="0" fontId="0" fillId="0" borderId="46" xfId="0" applyBorder="1"/>
    <xf numFmtId="0" fontId="16" fillId="0" borderId="49" xfId="0" applyFont="1" applyBorder="1" applyAlignment="1">
      <alignment horizontal="left" vertical="top" indent="4"/>
    </xf>
    <xf numFmtId="0" fontId="16" fillId="0" borderId="0" xfId="0" applyFont="1" applyBorder="1" applyAlignment="1">
      <alignment horizontal="left" vertical="top" indent="4"/>
    </xf>
    <xf numFmtId="49" fontId="0" fillId="0" borderId="0" xfId="0" applyNumberFormat="1" applyBorder="1" applyAlignment="1">
      <alignment vertical="center"/>
    </xf>
    <xf numFmtId="0" fontId="2" fillId="0" borderId="50" xfId="0" applyFont="1" applyBorder="1" applyAlignment="1">
      <alignment horizontal="center" wrapText="1"/>
    </xf>
    <xf numFmtId="0" fontId="0" fillId="0" borderId="60" xfId="0" applyBorder="1" applyAlignment="1">
      <alignment horizontal="center" wrapText="1"/>
    </xf>
    <xf numFmtId="0" fontId="0" fillId="0" borderId="26" xfId="0" applyBorder="1" applyAlignment="1">
      <alignment horizontal="center" wrapText="1"/>
    </xf>
    <xf numFmtId="0" fontId="0" fillId="0" borderId="90" xfId="0" applyBorder="1" applyAlignment="1">
      <alignment horizontal="center" wrapText="1"/>
    </xf>
    <xf numFmtId="0" fontId="0" fillId="0" borderId="1" xfId="0" applyBorder="1" applyAlignment="1">
      <alignment horizontal="center" wrapText="1"/>
    </xf>
    <xf numFmtId="0" fontId="0" fillId="0" borderId="25" xfId="0" applyBorder="1" applyAlignment="1">
      <alignment horizontal="center" wrapText="1"/>
    </xf>
    <xf numFmtId="0" fontId="0" fillId="0" borderId="49" xfId="0" applyBorder="1" applyAlignment="1">
      <alignment horizontal="left" indent="8"/>
    </xf>
    <xf numFmtId="0" fontId="0" fillId="0" borderId="0" xfId="0" applyAlignment="1">
      <alignment horizontal="left" indent="8"/>
    </xf>
    <xf numFmtId="0" fontId="0" fillId="0" borderId="49" xfId="0" applyBorder="1" applyAlignment="1">
      <alignment horizontal="left" indent="4"/>
    </xf>
    <xf numFmtId="0" fontId="0" fillId="0" borderId="0" xfId="0" applyAlignment="1">
      <alignment horizontal="left" indent="4"/>
    </xf>
    <xf numFmtId="0" fontId="6" fillId="0" borderId="0" xfId="0" applyFont="1" applyFill="1" applyBorder="1" applyAlignment="1">
      <alignment horizontal="justify"/>
    </xf>
    <xf numFmtId="0" fontId="0" fillId="0" borderId="0" xfId="0" applyFill="1" applyBorder="1" applyAlignment="1">
      <alignment horizontal="justify"/>
    </xf>
    <xf numFmtId="0" fontId="0" fillId="0" borderId="12" xfId="0" applyFill="1" applyBorder="1" applyAlignment="1">
      <alignment horizontal="justify"/>
    </xf>
    <xf numFmtId="0" fontId="11" fillId="0" borderId="62" xfId="0" applyFont="1" applyFill="1" applyBorder="1" applyAlignment="1">
      <alignment wrapText="1"/>
    </xf>
    <xf numFmtId="0" fontId="11" fillId="0" borderId="14" xfId="0" applyFont="1" applyFill="1" applyBorder="1" applyAlignment="1">
      <alignment wrapText="1"/>
    </xf>
    <xf numFmtId="0" fontId="26" fillId="0" borderId="22" xfId="0" applyFont="1" applyBorder="1" applyAlignment="1">
      <alignment horizontal="center" vertical="center"/>
    </xf>
    <xf numFmtId="0" fontId="26" fillId="0" borderId="32" xfId="0" applyFont="1" applyBorder="1" applyAlignment="1">
      <alignment horizontal="center" vertical="center"/>
    </xf>
    <xf numFmtId="0" fontId="26" fillId="0" borderId="36" xfId="0" applyFont="1" applyBorder="1" applyAlignment="1">
      <alignment horizontal="center" vertical="center"/>
    </xf>
    <xf numFmtId="0" fontId="6" fillId="0" borderId="68" xfId="0" applyFont="1" applyBorder="1" applyAlignment="1">
      <alignment horizontal="center"/>
    </xf>
    <xf numFmtId="0" fontId="11" fillId="0" borderId="27" xfId="0" applyFont="1" applyBorder="1" applyAlignment="1">
      <alignment horizontal="center" vertical="top" wrapText="1"/>
    </xf>
    <xf numFmtId="0" fontId="11" fillId="0" borderId="36" xfId="0" applyFont="1" applyBorder="1" applyAlignment="1">
      <alignment horizontal="center" vertical="top" wrapText="1"/>
    </xf>
    <xf numFmtId="0" fontId="11" fillId="0" borderId="62" xfId="0" applyFont="1" applyFill="1" applyBorder="1" applyAlignment="1">
      <alignment vertical="center" wrapText="1"/>
    </xf>
    <xf numFmtId="0" fontId="11" fillId="0" borderId="14" xfId="0" applyFont="1" applyFill="1" applyBorder="1" applyAlignment="1">
      <alignment vertical="center" wrapText="1"/>
    </xf>
    <xf numFmtId="0" fontId="11" fillId="0" borderId="68" xfId="0" applyFont="1" applyFill="1" applyBorder="1" applyAlignment="1">
      <alignment wrapText="1"/>
    </xf>
    <xf numFmtId="0" fontId="11" fillId="0" borderId="21" xfId="0" applyFont="1" applyFill="1" applyBorder="1" applyAlignment="1">
      <alignment wrapText="1"/>
    </xf>
    <xf numFmtId="0" fontId="0" fillId="0" borderId="27" xfId="0" applyBorder="1" applyAlignment="1">
      <alignment horizontal="center" vertical="center" wrapText="1"/>
    </xf>
    <xf numFmtId="0" fontId="0" fillId="0" borderId="68" xfId="0" applyBorder="1" applyAlignment="1">
      <alignment horizontal="center"/>
    </xf>
    <xf numFmtId="0" fontId="6" fillId="0" borderId="27" xfId="0" applyFont="1" applyBorder="1" applyAlignment="1">
      <alignment horizontal="center" vertical="center" wrapText="1"/>
    </xf>
    <xf numFmtId="0" fontId="0" fillId="0" borderId="0" xfId="0" applyAlignment="1">
      <alignment horizontal="center" vertical="center" wrapText="1"/>
    </xf>
    <xf numFmtId="4" fontId="0" fillId="0" borderId="48" xfId="0" applyNumberFormat="1" applyBorder="1" applyAlignment="1"/>
    <xf numFmtId="0" fontId="0" fillId="0" borderId="0" xfId="0" applyFill="1" applyBorder="1" applyAlignment="1">
      <alignment horizontal="left" indent="9"/>
    </xf>
    <xf numFmtId="0" fontId="6" fillId="0" borderId="0" xfId="0" applyFont="1" applyFill="1" applyBorder="1" applyAlignment="1"/>
    <xf numFmtId="0" fontId="0" fillId="0" borderId="0" xfId="0"/>
    <xf numFmtId="0" fontId="0" fillId="0" borderId="61" xfId="0" applyFill="1" applyBorder="1" applyAlignment="1"/>
    <xf numFmtId="49" fontId="0" fillId="0" borderId="50" xfId="0" applyNumberFormat="1" applyBorder="1" applyAlignment="1"/>
    <xf numFmtId="0" fontId="0" fillId="0" borderId="60" xfId="0" applyBorder="1" applyAlignment="1"/>
    <xf numFmtId="0" fontId="0" fillId="0" borderId="46" xfId="0" applyBorder="1" applyAlignment="1">
      <alignment vertical="center" wrapText="1"/>
    </xf>
    <xf numFmtId="0" fontId="0" fillId="0" borderId="14" xfId="0" applyBorder="1" applyAlignment="1">
      <alignment vertical="center" wrapText="1"/>
    </xf>
    <xf numFmtId="0" fontId="0" fillId="0" borderId="19" xfId="0" applyBorder="1" applyAlignment="1"/>
    <xf numFmtId="165" fontId="0" fillId="0" borderId="17" xfId="0" applyNumberFormat="1" applyBorder="1" applyAlignment="1"/>
    <xf numFmtId="165" fontId="0" fillId="0" borderId="80" xfId="0" applyNumberFormat="1" applyBorder="1" applyAlignment="1"/>
    <xf numFmtId="0" fontId="5" fillId="0" borderId="0" xfId="0" applyFont="1" applyAlignment="1">
      <alignment horizontal="center" vertical="center" wrapText="1"/>
    </xf>
    <xf numFmtId="165" fontId="0" fillId="0" borderId="62" xfId="0" applyNumberFormat="1" applyBorder="1" applyAlignment="1">
      <alignment horizontal="center"/>
    </xf>
    <xf numFmtId="165" fontId="0" fillId="0" borderId="46" xfId="0" applyNumberFormat="1" applyBorder="1" applyAlignment="1">
      <alignment horizontal="center"/>
    </xf>
    <xf numFmtId="0" fontId="0" fillId="0" borderId="14" xfId="0" applyFill="1" applyBorder="1" applyAlignment="1">
      <alignment horizontal="left" indent="4"/>
    </xf>
    <xf numFmtId="0" fontId="0" fillId="0" borderId="8" xfId="0" applyFill="1" applyBorder="1" applyAlignment="1">
      <alignment horizontal="left" indent="4"/>
    </xf>
    <xf numFmtId="165" fontId="0" fillId="0" borderId="61" xfId="0" applyNumberFormat="1" applyBorder="1" applyAlignment="1"/>
    <xf numFmtId="165" fontId="0" fillId="0" borderId="48" xfId="0" applyNumberFormat="1" applyBorder="1" applyAlignment="1"/>
    <xf numFmtId="7" fontId="0" fillId="0" borderId="8" xfId="0" applyNumberFormat="1" applyBorder="1" applyAlignment="1"/>
    <xf numFmtId="7" fontId="0" fillId="0" borderId="62" xfId="0" applyNumberFormat="1" applyBorder="1" applyAlignment="1"/>
    <xf numFmtId="165" fontId="0" fillId="0" borderId="88" xfId="0" applyNumberFormat="1" applyBorder="1" applyAlignment="1"/>
    <xf numFmtId="165" fontId="0" fillId="0" borderId="89" xfId="0" applyNumberFormat="1" applyBorder="1" applyAlignment="1"/>
    <xf numFmtId="0" fontId="0" fillId="0" borderId="47" xfId="0" applyBorder="1" applyAlignment="1">
      <alignment horizontal="left" indent="4"/>
    </xf>
    <xf numFmtId="0" fontId="0" fillId="0" borderId="14" xfId="0" applyBorder="1" applyAlignment="1">
      <alignment horizontal="left" indent="8"/>
    </xf>
    <xf numFmtId="0" fontId="0" fillId="0" borderId="8" xfId="0" applyBorder="1" applyAlignment="1">
      <alignment horizontal="left" indent="8"/>
    </xf>
    <xf numFmtId="0" fontId="11" fillId="0" borderId="50" xfId="0" applyFont="1" applyFill="1" applyBorder="1" applyAlignment="1">
      <alignment vertical="center" wrapText="1"/>
    </xf>
    <xf numFmtId="0" fontId="11" fillId="0" borderId="26" xfId="0" applyFont="1" applyFill="1" applyBorder="1" applyAlignment="1">
      <alignment vertical="center" wrapText="1"/>
    </xf>
    <xf numFmtId="0" fontId="0" fillId="0" borderId="61" xfId="0" applyFill="1" applyBorder="1" applyAlignment="1">
      <alignment vertical="center" wrapText="1"/>
    </xf>
    <xf numFmtId="0" fontId="0" fillId="0" borderId="15" xfId="0" applyFill="1" applyBorder="1" applyAlignment="1">
      <alignment vertical="center" wrapText="1"/>
    </xf>
    <xf numFmtId="0" fontId="6" fillId="0" borderId="50" xfId="0" applyFont="1" applyFill="1" applyBorder="1" applyAlignment="1">
      <alignment vertical="center" wrapText="1"/>
    </xf>
    <xf numFmtId="0" fontId="0" fillId="0" borderId="26" xfId="0" applyFill="1" applyBorder="1" applyAlignment="1">
      <alignment vertical="center" wrapText="1"/>
    </xf>
    <xf numFmtId="0" fontId="0" fillId="0" borderId="14" xfId="0" applyBorder="1" applyAlignment="1">
      <alignment horizontal="left" indent="4"/>
    </xf>
    <xf numFmtId="0" fontId="0" fillId="0" borderId="8" xfId="0" applyBorder="1" applyAlignment="1">
      <alignment horizontal="left" indent="4"/>
    </xf>
    <xf numFmtId="0" fontId="11" fillId="0" borderId="17" xfId="0" applyFont="1" applyBorder="1" applyAlignment="1">
      <alignment wrapText="1"/>
    </xf>
    <xf numFmtId="0" fontId="2" fillId="0" borderId="0" xfId="0" applyFont="1" applyAlignment="1">
      <alignment horizontal="center" vertical="center" wrapText="1"/>
    </xf>
    <xf numFmtId="0" fontId="6" fillId="0" borderId="46" xfId="0" applyFont="1" applyBorder="1" applyAlignment="1">
      <alignment wrapText="1"/>
    </xf>
    <xf numFmtId="0" fontId="0" fillId="0" borderId="46" xfId="0" applyBorder="1" applyAlignment="1">
      <alignment wrapText="1"/>
    </xf>
    <xf numFmtId="0" fontId="0" fillId="0" borderId="14" xfId="0" applyBorder="1" applyAlignment="1">
      <alignment wrapText="1"/>
    </xf>
    <xf numFmtId="0" fontId="0" fillId="0" borderId="46" xfId="0" applyBorder="1" applyAlignment="1">
      <alignment horizontal="left" indent="8"/>
    </xf>
    <xf numFmtId="0" fontId="25" fillId="0" borderId="94" xfId="0" applyFont="1" applyBorder="1" applyAlignment="1">
      <alignment horizontal="center" vertical="center" wrapText="1"/>
    </xf>
    <xf numFmtId="0" fontId="25" fillId="0" borderId="95" xfId="0" applyFont="1" applyBorder="1" applyAlignment="1">
      <alignment horizontal="center" vertical="center" wrapText="1"/>
    </xf>
    <xf numFmtId="0" fontId="25" fillId="0" borderId="96" xfId="0" applyFont="1" applyBorder="1" applyAlignment="1">
      <alignment horizontal="center" vertical="center" wrapText="1"/>
    </xf>
    <xf numFmtId="0" fontId="0" fillId="0" borderId="97" xfId="0" applyBorder="1" applyAlignment="1">
      <alignment horizontal="left" indent="1"/>
    </xf>
    <xf numFmtId="0" fontId="0" fillId="0" borderId="0" xfId="0" applyBorder="1" applyAlignment="1">
      <alignment horizontal="left" indent="1"/>
    </xf>
    <xf numFmtId="0" fontId="0" fillId="0" borderId="97" xfId="0" applyBorder="1" applyAlignment="1">
      <alignment horizontal="left" indent="3"/>
    </xf>
    <xf numFmtId="0" fontId="0" fillId="0" borderId="0" xfId="0" applyBorder="1" applyAlignment="1">
      <alignment horizontal="left" indent="3"/>
    </xf>
    <xf numFmtId="0" fontId="6" fillId="0" borderId="98" xfId="0" applyFont="1" applyFill="1" applyBorder="1" applyAlignment="1">
      <alignment horizontal="left" indent="3"/>
    </xf>
    <xf numFmtId="0" fontId="0" fillId="0" borderId="64" xfId="0" applyBorder="1" applyAlignment="1">
      <alignment horizontal="left" indent="3"/>
    </xf>
    <xf numFmtId="0" fontId="0" fillId="0" borderId="93" xfId="0" applyBorder="1" applyAlignment="1"/>
    <xf numFmtId="0" fontId="0" fillId="0" borderId="97" xfId="0" applyFill="1" applyBorder="1" applyAlignment="1">
      <alignment horizontal="left" indent="3"/>
    </xf>
    <xf numFmtId="0" fontId="0" fillId="0" borderId="93" xfId="0" applyBorder="1" applyAlignment="1">
      <alignment horizontal="left" indent="2"/>
    </xf>
    <xf numFmtId="0" fontId="0" fillId="0" borderId="14" xfId="0" applyBorder="1" applyAlignment="1">
      <alignment horizontal="left" indent="2"/>
    </xf>
    <xf numFmtId="0" fontId="6" fillId="0" borderId="97" xfId="0" applyFont="1" applyFill="1" applyBorder="1" applyAlignment="1">
      <alignment horizontal="left" indent="3"/>
    </xf>
    <xf numFmtId="0" fontId="11" fillId="0" borderId="93" xfId="0" applyFont="1" applyBorder="1" applyAlignment="1">
      <alignment horizontal="left" vertical="center" wrapText="1" indent="2"/>
    </xf>
    <xf numFmtId="0" fontId="0" fillId="0" borderId="14" xfId="0" applyBorder="1" applyAlignment="1">
      <alignment horizontal="left" vertical="center" wrapText="1" indent="2"/>
    </xf>
    <xf numFmtId="0" fontId="2" fillId="0" borderId="61" xfId="0" applyFont="1" applyBorder="1" applyAlignment="1">
      <alignment horizontal="left" vertical="center"/>
    </xf>
    <xf numFmtId="0" fontId="28" fillId="0" borderId="50" xfId="0" applyFont="1" applyBorder="1" applyAlignment="1">
      <alignment horizontal="left" vertical="center" wrapText="1"/>
    </xf>
    <xf numFmtId="0" fontId="28" fillId="0" borderId="60" xfId="0" applyFont="1" applyBorder="1" applyAlignment="1">
      <alignment wrapText="1"/>
    </xf>
    <xf numFmtId="0" fontId="28" fillId="0" borderId="61" xfId="0" applyFont="1" applyBorder="1" applyAlignment="1">
      <alignment wrapText="1"/>
    </xf>
    <xf numFmtId="0" fontId="28" fillId="0" borderId="48" xfId="0" applyFont="1" applyBorder="1" applyAlignment="1">
      <alignment wrapText="1"/>
    </xf>
    <xf numFmtId="0" fontId="0" fillId="0" borderId="62" xfId="0" applyBorder="1" applyAlignment="1">
      <alignment horizontal="left" vertical="center" wrapText="1" indent="2"/>
    </xf>
    <xf numFmtId="0" fontId="0" fillId="0" borderId="46" xfId="0" applyBorder="1" applyAlignment="1">
      <alignment horizontal="left" wrapText="1" indent="2"/>
    </xf>
    <xf numFmtId="0" fontId="6" fillId="0" borderId="8" xfId="0" applyFont="1" applyBorder="1" applyAlignment="1">
      <alignment horizontal="center" vertical="center"/>
    </xf>
    <xf numFmtId="0" fontId="0" fillId="0" borderId="93" xfId="0" applyBorder="1" applyAlignment="1">
      <alignment vertical="center" wrapText="1"/>
    </xf>
    <xf numFmtId="0" fontId="0" fillId="0" borderId="62" xfId="0" applyBorder="1" applyAlignment="1">
      <alignment horizontal="left" indent="2"/>
    </xf>
    <xf numFmtId="0" fontId="0" fillId="0" borderId="27" xfId="0" applyBorder="1" applyAlignment="1">
      <alignment horizontal="center" vertical="center"/>
    </xf>
    <xf numFmtId="0" fontId="0" fillId="0" borderId="8" xfId="0" applyBorder="1" applyAlignment="1">
      <alignment horizontal="center"/>
    </xf>
    <xf numFmtId="0" fontId="6" fillId="0" borderId="62" xfId="0" applyFont="1" applyBorder="1" applyAlignment="1">
      <alignment horizontal="center" vertical="center" wrapText="1"/>
    </xf>
    <xf numFmtId="0" fontId="0" fillId="0" borderId="62" xfId="0" applyBorder="1" applyAlignment="1">
      <alignment horizontal="center" vertical="center"/>
    </xf>
    <xf numFmtId="0" fontId="0" fillId="0" borderId="91"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cellXfs>
  <cellStyles count="6">
    <cellStyle name="Comma" xfId="3" builtinId="3"/>
    <cellStyle name="Currency" xfId="5" builtinId="4"/>
    <cellStyle name="Normal" xfId="0" builtinId="0"/>
    <cellStyle name="Normal 2" xfId="1"/>
    <cellStyle name="Normal 3" xfId="2"/>
    <cellStyle name="Percent" xfId="4"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R96"/>
  <sheetViews>
    <sheetView tabSelected="1" view="pageBreakPreview" zoomScale="80" zoomScaleNormal="75" zoomScaleSheetLayoutView="80" workbookViewId="0">
      <selection activeCell="E8" sqref="E8"/>
    </sheetView>
  </sheetViews>
  <sheetFormatPr defaultRowHeight="24.95" customHeight="1"/>
  <cols>
    <col min="7" max="7" width="11" bestFit="1" customWidth="1"/>
  </cols>
  <sheetData>
    <row r="1" spans="1:18" ht="24.95" customHeight="1">
      <c r="A1" s="678" t="s">
        <v>1307</v>
      </c>
      <c r="B1" s="678"/>
      <c r="C1" s="678"/>
      <c r="D1" s="678"/>
      <c r="E1" s="678"/>
      <c r="F1" s="678"/>
      <c r="G1" s="678"/>
      <c r="H1" s="678"/>
      <c r="I1" s="678"/>
      <c r="J1" s="678"/>
      <c r="K1" s="678"/>
      <c r="L1" s="678"/>
      <c r="M1" s="678"/>
      <c r="N1" s="678"/>
      <c r="O1" s="678"/>
      <c r="P1" s="678"/>
      <c r="Q1" s="692"/>
      <c r="R1" s="86" t="s">
        <v>795</v>
      </c>
    </row>
    <row r="2" spans="1:18" ht="24.95" customHeight="1">
      <c r="A2" s="678" t="s">
        <v>892</v>
      </c>
      <c r="B2" s="678"/>
      <c r="C2" s="678"/>
      <c r="D2" s="678"/>
      <c r="E2" s="678"/>
      <c r="F2" s="678"/>
      <c r="G2" s="678"/>
      <c r="H2" s="678"/>
      <c r="I2" s="678"/>
      <c r="J2" s="678"/>
      <c r="K2" s="678"/>
      <c r="L2" s="678"/>
      <c r="M2" s="678"/>
      <c r="N2" s="678"/>
      <c r="O2" s="678"/>
      <c r="P2" s="678"/>
      <c r="Q2" s="693"/>
      <c r="R2" s="92"/>
    </row>
    <row r="3" spans="1:18" ht="24.95" customHeight="1">
      <c r="A3" s="694" t="s">
        <v>1318</v>
      </c>
      <c r="B3" s="694"/>
      <c r="C3" s="694"/>
      <c r="D3" s="694"/>
      <c r="E3" s="694"/>
      <c r="F3" s="694"/>
      <c r="G3" s="694"/>
      <c r="H3" s="694"/>
      <c r="I3" s="694"/>
      <c r="J3" s="694"/>
      <c r="K3" s="694"/>
      <c r="L3" s="694"/>
      <c r="M3" s="694"/>
      <c r="N3" s="694"/>
      <c r="O3" s="694"/>
      <c r="P3" s="694"/>
      <c r="Q3" s="673"/>
      <c r="R3" s="91"/>
    </row>
    <row r="4" spans="1:18" ht="24.95" customHeight="1" thickBot="1">
      <c r="A4" s="674" t="s">
        <v>915</v>
      </c>
      <c r="B4" s="673"/>
      <c r="C4" s="673"/>
      <c r="D4" s="673"/>
      <c r="E4" s="673"/>
      <c r="F4" s="673"/>
      <c r="G4" s="673"/>
      <c r="H4" s="673"/>
      <c r="I4" s="673"/>
      <c r="J4" s="673"/>
      <c r="K4" s="673"/>
      <c r="L4" s="673"/>
      <c r="M4" s="673"/>
      <c r="N4" s="673"/>
      <c r="O4" s="673"/>
      <c r="P4" s="673"/>
      <c r="Q4" s="673"/>
      <c r="R4" s="91"/>
    </row>
    <row r="5" spans="1:18" ht="20.100000000000001" customHeight="1">
      <c r="A5" s="93"/>
      <c r="B5" s="94"/>
      <c r="C5" s="94"/>
      <c r="D5" s="94"/>
      <c r="E5" s="94"/>
      <c r="F5" s="94"/>
      <c r="G5" s="94"/>
      <c r="H5" s="95"/>
      <c r="J5" s="701" t="s">
        <v>907</v>
      </c>
      <c r="K5" s="702"/>
      <c r="L5" s="702"/>
      <c r="M5" s="702"/>
      <c r="N5" s="702"/>
      <c r="O5" s="702"/>
      <c r="P5" s="702"/>
      <c r="Q5" s="702"/>
      <c r="R5" s="703"/>
    </row>
    <row r="6" spans="1:18" ht="20.100000000000001" customHeight="1">
      <c r="A6" s="700" t="s">
        <v>1308</v>
      </c>
      <c r="B6" s="697"/>
      <c r="C6" s="697"/>
      <c r="D6" s="697"/>
      <c r="E6" s="697"/>
      <c r="F6" s="83"/>
      <c r="G6" s="704" t="s">
        <v>1309</v>
      </c>
      <c r="H6" s="705"/>
      <c r="J6" s="96"/>
      <c r="K6" s="83"/>
      <c r="L6" s="83"/>
      <c r="M6" s="83"/>
      <c r="N6" s="83"/>
      <c r="O6" s="83"/>
      <c r="P6" s="83"/>
      <c r="Q6" s="83"/>
      <c r="R6" s="97"/>
    </row>
    <row r="7" spans="1:18" ht="20.100000000000001" customHeight="1">
      <c r="A7" s="706" t="s">
        <v>893</v>
      </c>
      <c r="B7" s="695"/>
      <c r="C7" s="695"/>
      <c r="D7" s="695"/>
      <c r="E7" s="695"/>
      <c r="F7" s="83"/>
      <c r="G7" s="695" t="s">
        <v>894</v>
      </c>
      <c r="H7" s="696"/>
      <c r="J7" s="717" t="s">
        <v>908</v>
      </c>
      <c r="K7" s="718"/>
      <c r="L7" s="718"/>
      <c r="M7" s="718"/>
      <c r="N7" s="718"/>
      <c r="O7" s="83"/>
      <c r="P7" s="83"/>
      <c r="Q7" s="715" t="s">
        <v>894</v>
      </c>
      <c r="R7" s="716"/>
    </row>
    <row r="8" spans="1:18" ht="20.100000000000001" customHeight="1" thickBot="1">
      <c r="A8" s="98"/>
      <c r="B8" s="99"/>
      <c r="C8" s="99"/>
      <c r="D8" s="99"/>
      <c r="E8" s="99"/>
      <c r="F8" s="99"/>
      <c r="G8" s="99"/>
      <c r="H8" s="100"/>
      <c r="J8" s="719" t="s">
        <v>1154</v>
      </c>
      <c r="K8" s="720"/>
      <c r="L8" s="720"/>
      <c r="M8" s="720"/>
      <c r="N8" s="720"/>
      <c r="O8" s="83"/>
      <c r="P8" s="83"/>
      <c r="Q8" s="704" t="s">
        <v>1117</v>
      </c>
      <c r="R8" s="705"/>
    </row>
    <row r="9" spans="1:18" ht="20.100000000000001" customHeight="1" thickBot="1">
      <c r="J9" s="719" t="s">
        <v>1118</v>
      </c>
      <c r="K9" s="720"/>
      <c r="L9" s="720"/>
      <c r="M9" s="720"/>
      <c r="N9" s="720"/>
      <c r="O9" s="83"/>
      <c r="P9" s="83"/>
      <c r="Q9" s="704" t="s">
        <v>1117</v>
      </c>
      <c r="R9" s="705"/>
    </row>
    <row r="10" spans="1:18" ht="20.100000000000001" customHeight="1">
      <c r="A10" s="701" t="s">
        <v>895</v>
      </c>
      <c r="B10" s="702"/>
      <c r="C10" s="702"/>
      <c r="D10" s="702"/>
      <c r="E10" s="702"/>
      <c r="F10" s="702"/>
      <c r="G10" s="702"/>
      <c r="H10" s="703"/>
      <c r="J10" s="719" t="s">
        <v>1315</v>
      </c>
      <c r="K10" s="720"/>
      <c r="L10" s="720"/>
      <c r="M10" s="720"/>
      <c r="N10" s="720"/>
      <c r="O10" s="83"/>
      <c r="P10" s="83"/>
      <c r="Q10" s="704" t="s">
        <v>1117</v>
      </c>
      <c r="R10" s="705"/>
    </row>
    <row r="11" spans="1:18" ht="20.100000000000001" customHeight="1">
      <c r="A11" s="737"/>
      <c r="B11" s="673"/>
      <c r="C11" s="673"/>
      <c r="D11" s="673"/>
      <c r="E11" s="673"/>
      <c r="F11" s="699" t="s">
        <v>914</v>
      </c>
      <c r="G11" s="721">
        <v>32874</v>
      </c>
      <c r="H11" s="722"/>
      <c r="J11" s="740" t="s">
        <v>1316</v>
      </c>
      <c r="K11" s="741"/>
      <c r="L11" s="741"/>
      <c r="M11" s="741"/>
      <c r="N11" s="741"/>
      <c r="O11" s="83"/>
      <c r="P11" s="83"/>
      <c r="Q11" s="704" t="s">
        <v>1309</v>
      </c>
      <c r="R11" s="705"/>
    </row>
    <row r="12" spans="1:18" ht="20.100000000000001" customHeight="1">
      <c r="A12" s="700" t="s">
        <v>1310</v>
      </c>
      <c r="B12" s="697"/>
      <c r="C12" s="697"/>
      <c r="D12" s="697"/>
      <c r="E12" s="697"/>
      <c r="F12" s="699"/>
      <c r="G12" s="695" t="s">
        <v>897</v>
      </c>
      <c r="H12" s="696"/>
      <c r="J12" s="727" t="s">
        <v>484</v>
      </c>
      <c r="K12" s="728"/>
      <c r="L12" s="728"/>
      <c r="M12" s="728"/>
      <c r="N12" s="728"/>
      <c r="O12" s="83"/>
      <c r="P12" s="83"/>
      <c r="Q12" s="704" t="s">
        <v>1117</v>
      </c>
      <c r="R12" s="705"/>
    </row>
    <row r="13" spans="1:18" ht="20.100000000000001" customHeight="1">
      <c r="A13" s="706" t="s">
        <v>1311</v>
      </c>
      <c r="B13" s="695"/>
      <c r="C13" s="695"/>
      <c r="D13" s="695"/>
      <c r="E13" s="695"/>
      <c r="F13" s="699"/>
      <c r="G13" s="697">
        <v>443</v>
      </c>
      <c r="H13" s="698"/>
      <c r="J13" s="742" t="s">
        <v>909</v>
      </c>
      <c r="K13" s="741"/>
      <c r="L13" s="741"/>
      <c r="M13" s="741"/>
      <c r="N13" s="741"/>
      <c r="O13" s="83"/>
      <c r="P13" s="83"/>
      <c r="Q13" s="704" t="s">
        <v>1309</v>
      </c>
      <c r="R13" s="705"/>
    </row>
    <row r="14" spans="1:18" ht="20.100000000000001" customHeight="1">
      <c r="A14" s="738"/>
      <c r="B14" s="739"/>
      <c r="C14" s="739"/>
      <c r="D14" s="739"/>
      <c r="E14" s="739"/>
      <c r="F14" s="673"/>
      <c r="G14" s="695" t="s">
        <v>898</v>
      </c>
      <c r="H14" s="696"/>
      <c r="J14" s="740" t="s">
        <v>1317</v>
      </c>
      <c r="K14" s="741"/>
      <c r="L14" s="741"/>
      <c r="M14" s="741"/>
      <c r="N14" s="741"/>
      <c r="O14" s="83"/>
      <c r="P14" s="83"/>
      <c r="Q14" s="704" t="s">
        <v>1309</v>
      </c>
      <c r="R14" s="705"/>
    </row>
    <row r="15" spans="1:18" ht="20.100000000000001" customHeight="1">
      <c r="A15" s="736" t="s">
        <v>906</v>
      </c>
      <c r="B15" s="697"/>
      <c r="C15" s="697"/>
      <c r="D15" s="697"/>
      <c r="E15" s="697"/>
      <c r="F15" s="83"/>
      <c r="G15" s="697">
        <v>301</v>
      </c>
      <c r="H15" s="698"/>
      <c r="J15" s="727" t="s">
        <v>854</v>
      </c>
      <c r="K15" s="728"/>
      <c r="L15" s="728"/>
      <c r="M15" s="728"/>
      <c r="N15" s="728"/>
      <c r="O15" s="83"/>
      <c r="P15" s="83"/>
      <c r="Q15" s="704" t="s">
        <v>1117</v>
      </c>
      <c r="R15" s="705"/>
    </row>
    <row r="16" spans="1:18" ht="20.100000000000001" customHeight="1">
      <c r="A16" s="706" t="s">
        <v>896</v>
      </c>
      <c r="B16" s="695"/>
      <c r="C16" s="695"/>
      <c r="D16" s="695"/>
      <c r="E16" s="695"/>
      <c r="F16" s="83"/>
      <c r="G16" s="695" t="s">
        <v>899</v>
      </c>
      <c r="H16" s="696"/>
      <c r="J16" s="727" t="s">
        <v>855</v>
      </c>
      <c r="K16" s="728"/>
      <c r="L16" s="728"/>
      <c r="M16" s="728"/>
      <c r="N16" s="728"/>
      <c r="O16" s="83"/>
      <c r="P16" s="83"/>
      <c r="Q16" s="704" t="s">
        <v>1117</v>
      </c>
      <c r="R16" s="705"/>
    </row>
    <row r="17" spans="1:18" ht="20.100000000000001" customHeight="1">
      <c r="A17" s="700" t="s">
        <v>1313</v>
      </c>
      <c r="B17" s="697"/>
      <c r="C17" s="697"/>
      <c r="D17" s="697"/>
      <c r="E17" s="697"/>
      <c r="F17" s="83"/>
      <c r="G17" s="723" t="s">
        <v>1314</v>
      </c>
      <c r="H17" s="698"/>
      <c r="J17" s="727"/>
      <c r="K17" s="728"/>
      <c r="L17" s="728"/>
      <c r="M17" s="728"/>
      <c r="N17" s="728"/>
      <c r="O17" s="83"/>
      <c r="P17" s="83"/>
      <c r="Q17" s="102"/>
      <c r="R17" s="103"/>
    </row>
    <row r="18" spans="1:18" ht="20.100000000000001" customHeight="1">
      <c r="A18" s="706" t="s">
        <v>1312</v>
      </c>
      <c r="B18" s="695"/>
      <c r="C18" s="695"/>
      <c r="D18" s="695"/>
      <c r="E18" s="695"/>
      <c r="F18" s="83"/>
      <c r="G18" s="695" t="s">
        <v>899</v>
      </c>
      <c r="H18" s="696"/>
      <c r="J18" s="727"/>
      <c r="K18" s="728"/>
      <c r="L18" s="728"/>
      <c r="M18" s="728"/>
      <c r="N18" s="728"/>
      <c r="O18" s="83"/>
      <c r="P18" s="83"/>
      <c r="Q18" s="102"/>
      <c r="R18" s="103"/>
    </row>
    <row r="19" spans="1:18" ht="20.100000000000001" customHeight="1">
      <c r="A19" s="736" t="s">
        <v>685</v>
      </c>
      <c r="B19" s="697"/>
      <c r="C19" s="697"/>
      <c r="D19" s="697"/>
      <c r="E19" s="697"/>
      <c r="F19" s="83"/>
      <c r="G19" s="697" t="s">
        <v>686</v>
      </c>
      <c r="H19" s="698"/>
      <c r="J19" s="727"/>
      <c r="K19" s="720"/>
      <c r="L19" s="720"/>
      <c r="M19" s="720"/>
      <c r="N19" s="720"/>
      <c r="O19" s="83"/>
      <c r="P19" s="83"/>
      <c r="Q19" s="102"/>
      <c r="R19" s="103"/>
    </row>
    <row r="20" spans="1:18" ht="20.100000000000001" customHeight="1">
      <c r="A20" s="706" t="s">
        <v>902</v>
      </c>
      <c r="B20" s="695"/>
      <c r="C20" s="695"/>
      <c r="D20" s="695"/>
      <c r="E20" s="695"/>
      <c r="F20" s="83"/>
      <c r="G20" s="695" t="s">
        <v>900</v>
      </c>
      <c r="H20" s="696"/>
      <c r="J20" s="727"/>
      <c r="K20" s="728"/>
      <c r="L20" s="728"/>
      <c r="M20" s="728"/>
      <c r="N20" s="728"/>
      <c r="O20" s="83"/>
      <c r="P20" s="83"/>
      <c r="Q20" s="102"/>
      <c r="R20" s="103"/>
    </row>
    <row r="21" spans="1:18" ht="20.100000000000001" customHeight="1">
      <c r="A21" s="734" t="s">
        <v>1197</v>
      </c>
      <c r="B21" s="735"/>
      <c r="C21" s="735"/>
      <c r="D21" s="735"/>
      <c r="E21" s="735"/>
      <c r="F21" s="83"/>
      <c r="G21" s="729"/>
      <c r="H21" s="730"/>
      <c r="J21" s="719"/>
      <c r="K21" s="728"/>
      <c r="L21" s="728"/>
      <c r="M21" s="728"/>
      <c r="N21" s="728"/>
      <c r="O21" s="83"/>
      <c r="P21" s="83"/>
      <c r="Q21" s="102"/>
      <c r="R21" s="103"/>
    </row>
    <row r="22" spans="1:18" ht="20.100000000000001" customHeight="1" thickBot="1">
      <c r="A22" s="731" t="s">
        <v>1196</v>
      </c>
      <c r="B22" s="732"/>
      <c r="C22" s="732"/>
      <c r="D22" s="732"/>
      <c r="E22" s="732"/>
      <c r="F22" s="99"/>
      <c r="G22" s="712"/>
      <c r="H22" s="733"/>
      <c r="J22" s="795"/>
      <c r="K22" s="796"/>
      <c r="L22" s="796"/>
      <c r="M22" s="796"/>
      <c r="N22" s="796"/>
      <c r="O22" s="99"/>
      <c r="P22" s="99"/>
      <c r="Q22" s="104"/>
      <c r="R22" s="105"/>
    </row>
    <row r="23" spans="1:18" ht="20.100000000000001" customHeight="1">
      <c r="A23" s="724" t="s">
        <v>903</v>
      </c>
      <c r="B23" s="725"/>
      <c r="C23" s="725"/>
      <c r="D23" s="725"/>
      <c r="E23" s="725"/>
      <c r="F23" s="726"/>
      <c r="G23" s="726"/>
      <c r="H23" s="726"/>
      <c r="J23" s="107" t="s">
        <v>1323</v>
      </c>
    </row>
    <row r="24" spans="1:18" ht="20.100000000000001" customHeight="1" thickBot="1">
      <c r="C24" s="212" t="s">
        <v>904</v>
      </c>
      <c r="D24" s="106"/>
      <c r="E24" s="106"/>
      <c r="K24" s="714" t="s">
        <v>132</v>
      </c>
      <c r="L24" s="714"/>
      <c r="M24" s="714"/>
      <c r="N24" s="714"/>
    </row>
    <row r="25" spans="1:18" ht="20.100000000000001" customHeight="1">
      <c r="C25" s="212" t="s">
        <v>905</v>
      </c>
      <c r="D25" s="106"/>
      <c r="E25" s="106"/>
      <c r="K25" s="714"/>
      <c r="L25" s="714"/>
      <c r="M25" s="714"/>
      <c r="N25" s="714"/>
      <c r="P25" s="709" t="s">
        <v>911</v>
      </c>
      <c r="Q25" s="710"/>
      <c r="R25" s="711"/>
    </row>
    <row r="26" spans="1:18" ht="20.100000000000001" customHeight="1">
      <c r="C26" s="707" t="s">
        <v>630</v>
      </c>
      <c r="D26" s="708"/>
      <c r="E26" s="708"/>
      <c r="I26" s="101"/>
      <c r="K26" s="714"/>
      <c r="L26" s="714"/>
      <c r="M26" s="714"/>
      <c r="N26" s="714"/>
      <c r="P26" s="96" t="s">
        <v>912</v>
      </c>
      <c r="Q26" s="83"/>
      <c r="R26" s="97"/>
    </row>
    <row r="27" spans="1:18" ht="24.95" customHeight="1" thickBot="1">
      <c r="I27" s="101" t="s">
        <v>910</v>
      </c>
      <c r="P27" s="98" t="s">
        <v>913</v>
      </c>
      <c r="Q27" s="99"/>
      <c r="R27" s="100"/>
    </row>
    <row r="28" spans="1:18" ht="20.100000000000001" customHeight="1" thickBot="1">
      <c r="A28" s="712"/>
      <c r="B28" s="712"/>
      <c r="C28" s="712"/>
      <c r="D28" s="712"/>
      <c r="E28" s="712"/>
      <c r="F28" s="712"/>
      <c r="G28" s="712"/>
      <c r="H28" s="712"/>
      <c r="I28" s="712"/>
      <c r="J28" s="712"/>
      <c r="K28" s="712"/>
      <c r="L28" s="712"/>
      <c r="M28" s="712"/>
      <c r="N28" s="712"/>
      <c r="O28" s="712"/>
      <c r="P28" s="712"/>
      <c r="Q28" s="712"/>
      <c r="R28" s="86" t="s">
        <v>795</v>
      </c>
    </row>
    <row r="29" spans="1:18" ht="20.100000000000001" customHeight="1">
      <c r="A29" s="678" t="s">
        <v>1307</v>
      </c>
      <c r="B29" s="678"/>
      <c r="C29" s="678"/>
      <c r="D29" s="678"/>
      <c r="E29" s="678"/>
      <c r="F29" s="678"/>
      <c r="G29" s="678"/>
      <c r="H29" s="678"/>
      <c r="I29" s="678"/>
      <c r="J29" s="678"/>
      <c r="K29" s="678"/>
      <c r="L29" s="678"/>
      <c r="M29" s="678"/>
      <c r="N29" s="678"/>
      <c r="O29" s="678"/>
      <c r="P29" s="678"/>
      <c r="Q29" s="692"/>
    </row>
    <row r="30" spans="1:18" ht="20.100000000000001" customHeight="1">
      <c r="A30" s="678" t="s">
        <v>892</v>
      </c>
      <c r="B30" s="678"/>
      <c r="C30" s="678"/>
      <c r="D30" s="678"/>
      <c r="E30" s="678"/>
      <c r="F30" s="678"/>
      <c r="G30" s="678"/>
      <c r="H30" s="678"/>
      <c r="I30" s="678"/>
      <c r="J30" s="678"/>
      <c r="K30" s="678"/>
      <c r="L30" s="678"/>
      <c r="M30" s="678"/>
      <c r="N30" s="678"/>
      <c r="O30" s="678"/>
      <c r="P30" s="678"/>
      <c r="Q30" s="693"/>
    </row>
    <row r="31" spans="1:18" ht="24.95" customHeight="1">
      <c r="A31" s="713" t="s">
        <v>1319</v>
      </c>
      <c r="B31" s="673"/>
      <c r="C31" s="673"/>
      <c r="D31" s="673"/>
      <c r="E31" s="673"/>
      <c r="F31" s="673"/>
      <c r="G31" s="673"/>
      <c r="H31" s="673"/>
      <c r="I31" s="673"/>
      <c r="J31" s="673"/>
      <c r="K31" s="673"/>
      <c r="L31" s="673"/>
      <c r="M31" s="673"/>
      <c r="N31" s="673"/>
      <c r="O31" s="673"/>
      <c r="P31" s="673"/>
      <c r="Q31" s="673"/>
    </row>
    <row r="32" spans="1:18" ht="15" customHeight="1" thickBot="1">
      <c r="A32" s="690"/>
      <c r="B32" s="690"/>
      <c r="C32" s="690"/>
      <c r="D32" s="690"/>
      <c r="E32" s="690"/>
      <c r="F32" s="690"/>
      <c r="G32" s="690"/>
      <c r="H32" s="690"/>
      <c r="I32" s="690"/>
      <c r="J32" s="690"/>
      <c r="K32" s="690"/>
      <c r="L32" s="690"/>
      <c r="M32" s="690"/>
      <c r="N32" s="690"/>
      <c r="O32" s="690"/>
      <c r="P32" s="690"/>
      <c r="Q32" s="690"/>
    </row>
    <row r="33" spans="1:18" ht="18" customHeight="1" thickTop="1">
      <c r="A33" s="110" t="s">
        <v>336</v>
      </c>
      <c r="M33" s="686"/>
      <c r="N33" s="686"/>
      <c r="O33" s="686"/>
      <c r="P33" s="686"/>
      <c r="Q33" s="686"/>
    </row>
    <row r="34" spans="1:18" ht="18" customHeight="1">
      <c r="A34" t="s">
        <v>337</v>
      </c>
      <c r="M34" s="687"/>
      <c r="N34" s="687"/>
      <c r="O34" s="687"/>
      <c r="P34" s="687"/>
      <c r="Q34" s="687"/>
    </row>
    <row r="35" spans="1:18" ht="24.95" customHeight="1">
      <c r="A35" s="691" t="s">
        <v>1528</v>
      </c>
      <c r="B35" s="673"/>
      <c r="C35" s="673"/>
      <c r="D35" s="673"/>
      <c r="E35" s="673"/>
      <c r="F35" s="673"/>
      <c r="G35" s="673"/>
      <c r="H35" s="673"/>
      <c r="I35" s="673"/>
      <c r="J35" s="673"/>
      <c r="K35" s="673"/>
      <c r="M35" s="682" t="s">
        <v>339</v>
      </c>
      <c r="N35" s="683"/>
      <c r="O35" s="683"/>
      <c r="P35" s="683"/>
      <c r="Q35" s="683"/>
    </row>
    <row r="36" spans="1:18" ht="24.95" customHeight="1">
      <c r="A36" s="688" t="s">
        <v>342</v>
      </c>
      <c r="B36" s="688"/>
      <c r="C36" s="688"/>
      <c r="D36" s="688"/>
      <c r="E36" s="688"/>
      <c r="F36" s="688"/>
      <c r="G36" s="688"/>
      <c r="H36" s="688"/>
      <c r="I36" s="688"/>
      <c r="J36" s="688"/>
      <c r="K36" s="688"/>
      <c r="M36" s="682" t="s">
        <v>340</v>
      </c>
      <c r="N36" s="683"/>
      <c r="O36" s="683"/>
      <c r="P36" s="683"/>
      <c r="Q36" s="683"/>
    </row>
    <row r="37" spans="1:18" ht="24.95" customHeight="1">
      <c r="A37" s="689" t="s">
        <v>1529</v>
      </c>
      <c r="B37" s="673"/>
      <c r="C37" s="673"/>
      <c r="D37" s="673"/>
      <c r="E37" s="673"/>
      <c r="F37" s="673"/>
      <c r="G37" s="673"/>
      <c r="H37" s="673"/>
      <c r="I37" s="673"/>
      <c r="J37" s="673"/>
      <c r="K37" s="673"/>
      <c r="M37" s="682" t="s">
        <v>341</v>
      </c>
      <c r="N37" s="683"/>
      <c r="O37" s="683"/>
      <c r="P37" s="683"/>
      <c r="Q37" s="683"/>
    </row>
    <row r="38" spans="1:18" ht="15" customHeight="1" thickBot="1">
      <c r="A38" s="690"/>
      <c r="B38" s="690"/>
      <c r="C38" s="690"/>
      <c r="D38" s="690"/>
      <c r="E38" s="690"/>
      <c r="F38" s="690"/>
      <c r="G38" s="690"/>
      <c r="H38" s="690"/>
      <c r="I38" s="690"/>
      <c r="J38" s="690"/>
      <c r="K38" s="690"/>
      <c r="L38" s="690"/>
      <c r="M38" s="684" t="s">
        <v>338</v>
      </c>
      <c r="N38" s="685"/>
      <c r="O38" s="685"/>
      <c r="P38" s="685"/>
      <c r="Q38" s="685"/>
    </row>
    <row r="39" spans="1:18" ht="24.95" customHeight="1" thickTop="1">
      <c r="A39" s="755" t="s">
        <v>497</v>
      </c>
      <c r="B39" s="755"/>
      <c r="C39" s="755"/>
      <c r="D39" s="755"/>
      <c r="E39" s="755"/>
      <c r="F39" s="755"/>
      <c r="G39" s="755"/>
      <c r="H39" s="755"/>
      <c r="I39" s="755"/>
      <c r="J39" s="755"/>
      <c r="K39" s="755"/>
      <c r="L39" s="755"/>
      <c r="M39" s="755"/>
      <c r="N39" s="755"/>
      <c r="O39" s="755"/>
      <c r="P39" s="755"/>
      <c r="Q39" s="755"/>
      <c r="R39" s="755"/>
    </row>
    <row r="40" spans="1:18" ht="20.100000000000001" customHeight="1">
      <c r="A40" s="713" t="s">
        <v>1537</v>
      </c>
      <c r="B40" s="673"/>
      <c r="C40" s="673"/>
      <c r="D40" s="673"/>
      <c r="E40" s="673"/>
      <c r="F40" s="673"/>
      <c r="G40" s="673"/>
      <c r="H40" s="673"/>
      <c r="I40" s="673"/>
      <c r="J40" s="673"/>
      <c r="K40" s="673"/>
      <c r="L40" s="673"/>
      <c r="M40" s="673"/>
      <c r="N40" s="673"/>
      <c r="O40" s="673"/>
      <c r="P40" s="673"/>
      <c r="Q40" s="673"/>
    </row>
    <row r="41" spans="1:18" ht="20.100000000000001" customHeight="1">
      <c r="A41" s="687"/>
      <c r="B41" s="687"/>
      <c r="C41" s="687"/>
      <c r="D41" s="687"/>
      <c r="F41" s="697" t="s">
        <v>578</v>
      </c>
      <c r="G41" s="697"/>
      <c r="H41" s="697"/>
      <c r="I41" s="697"/>
      <c r="K41" s="713" t="s">
        <v>1530</v>
      </c>
      <c r="L41" s="673"/>
      <c r="M41" s="673"/>
      <c r="N41" s="673"/>
      <c r="O41" s="673"/>
      <c r="P41" s="673"/>
      <c r="Q41" s="673"/>
    </row>
    <row r="42" spans="1:18" ht="20.100000000000001" customHeight="1">
      <c r="A42" s="745" t="s">
        <v>902</v>
      </c>
      <c r="B42" s="746"/>
      <c r="C42" s="746"/>
      <c r="D42" s="746"/>
      <c r="F42" s="745" t="s">
        <v>214</v>
      </c>
      <c r="G42" s="746"/>
      <c r="H42" s="746"/>
      <c r="I42" s="746"/>
      <c r="L42" s="673"/>
      <c r="M42" s="673"/>
      <c r="N42" s="673"/>
      <c r="O42" s="673"/>
      <c r="P42" s="673"/>
    </row>
    <row r="43" spans="1:18" ht="20.100000000000001" customHeight="1">
      <c r="A43" s="697" t="s">
        <v>577</v>
      </c>
      <c r="B43" s="697"/>
      <c r="C43" s="697"/>
      <c r="D43" s="697"/>
      <c r="F43" s="697" t="s">
        <v>579</v>
      </c>
      <c r="G43" s="697"/>
      <c r="H43" s="697"/>
      <c r="I43" s="697"/>
      <c r="L43" s="687"/>
      <c r="M43" s="687"/>
      <c r="N43" s="687"/>
      <c r="O43" s="687"/>
      <c r="P43" s="687"/>
    </row>
    <row r="44" spans="1:18" ht="15" customHeight="1" thickBot="1">
      <c r="A44" s="684" t="s">
        <v>214</v>
      </c>
      <c r="B44" s="685"/>
      <c r="C44" s="685"/>
      <c r="D44" s="685"/>
      <c r="E44" s="112"/>
      <c r="F44" s="684" t="s">
        <v>338</v>
      </c>
      <c r="G44" s="685"/>
      <c r="H44" s="685"/>
      <c r="I44" s="685"/>
      <c r="J44" s="112"/>
      <c r="K44" s="112"/>
      <c r="L44" s="797" t="s">
        <v>901</v>
      </c>
      <c r="M44" s="685"/>
      <c r="N44" s="685"/>
      <c r="O44" s="685"/>
      <c r="P44" s="776"/>
      <c r="Q44" s="112"/>
    </row>
    <row r="45" spans="1:18" ht="20.100000000000001" customHeight="1" thickTop="1">
      <c r="A45" s="749"/>
      <c r="B45" s="749"/>
      <c r="C45" s="749"/>
      <c r="D45" s="749"/>
      <c r="E45" s="749"/>
      <c r="F45" s="750"/>
      <c r="G45" s="751" t="s">
        <v>215</v>
      </c>
      <c r="H45" s="752"/>
      <c r="I45" s="752"/>
      <c r="J45" s="752"/>
      <c r="K45" s="752"/>
      <c r="L45" s="753"/>
      <c r="M45" s="773"/>
      <c r="N45" s="749"/>
      <c r="O45" s="749"/>
      <c r="P45" s="749"/>
      <c r="Q45" s="749"/>
      <c r="R45" s="91"/>
    </row>
    <row r="46" spans="1:18" ht="20.100000000000001" customHeight="1">
      <c r="A46" s="728"/>
      <c r="B46" s="728"/>
      <c r="C46" s="728"/>
      <c r="D46" s="728"/>
      <c r="E46" s="728"/>
      <c r="F46" s="754"/>
      <c r="G46" s="774"/>
      <c r="H46" s="728"/>
      <c r="I46" s="728"/>
      <c r="J46" s="728"/>
      <c r="K46" s="728"/>
      <c r="L46" s="754"/>
      <c r="M46" s="774"/>
      <c r="N46" s="728"/>
      <c r="O46" s="728"/>
      <c r="P46" s="728"/>
      <c r="Q46" s="728"/>
      <c r="R46" s="91"/>
    </row>
    <row r="47" spans="1:18" ht="20.100000000000001" customHeight="1">
      <c r="A47" s="728"/>
      <c r="B47" s="728"/>
      <c r="C47" s="728"/>
      <c r="D47" s="728"/>
      <c r="E47" s="728"/>
      <c r="F47" s="754"/>
      <c r="G47" s="774"/>
      <c r="H47" s="728"/>
      <c r="I47" s="728"/>
      <c r="J47" s="728"/>
      <c r="K47" s="728"/>
      <c r="L47" s="754"/>
      <c r="M47" s="774"/>
      <c r="N47" s="728"/>
      <c r="O47" s="728"/>
      <c r="P47" s="728"/>
      <c r="Q47" s="728"/>
      <c r="R47" s="91"/>
    </row>
    <row r="48" spans="1:18" ht="20.100000000000001" customHeight="1" thickBot="1">
      <c r="A48" s="776"/>
      <c r="B48" s="776"/>
      <c r="C48" s="776"/>
      <c r="D48" s="776"/>
      <c r="E48" s="776"/>
      <c r="F48" s="777"/>
      <c r="G48" s="775"/>
      <c r="H48" s="776"/>
      <c r="I48" s="776"/>
      <c r="J48" s="776"/>
      <c r="K48" s="776"/>
      <c r="L48" s="777"/>
      <c r="M48" s="775"/>
      <c r="N48" s="776"/>
      <c r="O48" s="776"/>
      <c r="P48" s="776"/>
      <c r="Q48" s="776"/>
      <c r="R48" s="91"/>
    </row>
    <row r="49" spans="1:18" ht="5.0999999999999996" customHeight="1" thickTop="1">
      <c r="A49" s="111"/>
      <c r="B49" s="111"/>
      <c r="C49" s="111"/>
      <c r="D49" s="111"/>
      <c r="E49" s="111"/>
      <c r="F49" s="111"/>
      <c r="G49" s="111"/>
      <c r="H49" s="111"/>
      <c r="I49" s="111"/>
      <c r="J49" s="111"/>
      <c r="K49" s="108"/>
      <c r="L49" s="108"/>
      <c r="M49" s="108"/>
      <c r="N49" s="108"/>
      <c r="O49" s="108"/>
      <c r="P49" s="108"/>
      <c r="Q49" s="108"/>
      <c r="R49" s="91"/>
    </row>
    <row r="50" spans="1:18" ht="24.95" customHeight="1">
      <c r="A50" s="747" t="s">
        <v>224</v>
      </c>
      <c r="B50" s="748"/>
      <c r="C50" s="748"/>
      <c r="D50" s="748"/>
      <c r="E50" s="748"/>
      <c r="F50" s="748"/>
      <c r="G50" s="748"/>
      <c r="H50" s="115" t="s">
        <v>221</v>
      </c>
      <c r="I50" s="113"/>
      <c r="J50" s="114"/>
      <c r="K50" s="748" t="s">
        <v>225</v>
      </c>
      <c r="L50" s="748"/>
      <c r="M50" s="748"/>
      <c r="N50" s="748"/>
      <c r="O50" s="748"/>
      <c r="P50" s="748"/>
      <c r="Q50" s="772"/>
    </row>
    <row r="51" spans="1:18" ht="32.1" customHeight="1">
      <c r="A51" s="778" t="s">
        <v>222</v>
      </c>
      <c r="B51" s="779"/>
      <c r="C51" s="779"/>
      <c r="D51" s="779"/>
      <c r="E51" s="779"/>
      <c r="F51" s="779"/>
      <c r="G51" s="779"/>
      <c r="H51" s="780"/>
      <c r="I51" s="108"/>
      <c r="J51" s="784" t="s">
        <v>226</v>
      </c>
      <c r="K51" s="785"/>
      <c r="L51" s="785"/>
      <c r="M51" s="785"/>
      <c r="N51" s="785"/>
      <c r="O51" s="785"/>
      <c r="P51" s="785"/>
      <c r="Q51" s="786"/>
    </row>
    <row r="52" spans="1:18" ht="32.1" customHeight="1">
      <c r="A52" s="116"/>
      <c r="B52" s="109"/>
      <c r="C52" s="109"/>
      <c r="D52" s="109"/>
      <c r="E52" s="781" t="s">
        <v>223</v>
      </c>
      <c r="F52" s="781"/>
      <c r="G52" s="781"/>
      <c r="H52" s="782"/>
      <c r="I52" s="108"/>
      <c r="J52" s="116"/>
      <c r="K52" s="109"/>
      <c r="L52" s="109"/>
      <c r="M52" s="109"/>
      <c r="N52" s="781" t="s">
        <v>223</v>
      </c>
      <c r="O52" s="781"/>
      <c r="P52" s="781"/>
      <c r="Q52" s="782"/>
    </row>
    <row r="53" spans="1:18" ht="24.95" customHeight="1">
      <c r="A53" s="743" t="s">
        <v>227</v>
      </c>
      <c r="B53" s="744"/>
      <c r="C53" s="744"/>
      <c r="D53" s="744"/>
      <c r="E53" s="744" t="s">
        <v>228</v>
      </c>
      <c r="F53" s="744"/>
      <c r="G53" s="744"/>
      <c r="H53" s="783"/>
      <c r="I53" s="117"/>
      <c r="J53" s="743" t="s">
        <v>227</v>
      </c>
      <c r="K53" s="744"/>
      <c r="L53" s="744"/>
      <c r="M53" s="744"/>
      <c r="N53" s="744" t="s">
        <v>228</v>
      </c>
      <c r="O53" s="744"/>
      <c r="P53" s="744"/>
      <c r="Q53" s="783"/>
    </row>
    <row r="54" spans="1:18" ht="24.95" customHeight="1">
      <c r="A54" s="677" t="s">
        <v>216</v>
      </c>
      <c r="B54" s="677"/>
      <c r="C54" s="677"/>
      <c r="D54" s="677"/>
      <c r="E54" s="677"/>
      <c r="F54" s="677"/>
      <c r="G54" s="677"/>
      <c r="H54" s="677"/>
      <c r="I54" s="677"/>
      <c r="J54" s="677"/>
      <c r="K54" s="677"/>
      <c r="L54" s="677"/>
      <c r="M54" s="677"/>
      <c r="N54" s="677"/>
      <c r="O54" s="677"/>
      <c r="P54" s="677"/>
      <c r="Q54" s="677"/>
      <c r="R54" s="677"/>
    </row>
    <row r="55" spans="1:18" ht="24.95" customHeight="1">
      <c r="A55" s="673"/>
      <c r="B55" s="673"/>
      <c r="C55" s="673"/>
      <c r="D55" s="673"/>
      <c r="E55" s="673"/>
      <c r="F55" s="673"/>
      <c r="G55" s="673"/>
      <c r="H55" s="673"/>
      <c r="I55" s="673"/>
      <c r="J55" s="673"/>
      <c r="K55" s="673"/>
      <c r="L55" s="673"/>
      <c r="M55" s="673"/>
      <c r="N55" s="673"/>
      <c r="O55" s="673"/>
      <c r="P55" s="673"/>
      <c r="Q55" s="673"/>
      <c r="R55" s="86" t="s">
        <v>795</v>
      </c>
    </row>
    <row r="56" spans="1:18" ht="24.95" customHeight="1">
      <c r="B56" s="674" t="s">
        <v>18</v>
      </c>
      <c r="C56" s="674"/>
      <c r="D56" s="674"/>
      <c r="E56" s="674"/>
      <c r="F56" s="674"/>
      <c r="G56" s="674"/>
      <c r="H56" s="674"/>
      <c r="I56" s="674"/>
      <c r="J56" s="674"/>
      <c r="K56" s="674"/>
      <c r="L56" s="674"/>
      <c r="M56" s="674"/>
      <c r="N56" s="674"/>
      <c r="O56" s="674"/>
      <c r="P56" s="674"/>
      <c r="Q56" s="674"/>
    </row>
    <row r="58" spans="1:18" ht="24.95" customHeight="1">
      <c r="A58" s="675" t="s">
        <v>20</v>
      </c>
      <c r="B58" s="675"/>
      <c r="C58" s="675"/>
      <c r="D58" s="675"/>
      <c r="E58" s="675"/>
      <c r="F58" s="675"/>
      <c r="G58" s="675"/>
      <c r="H58" s="675"/>
      <c r="I58" s="675"/>
      <c r="J58" s="675"/>
      <c r="K58" s="675"/>
      <c r="L58" s="675"/>
      <c r="M58" s="675"/>
      <c r="N58" s="675"/>
      <c r="O58" s="675"/>
      <c r="P58" s="675"/>
      <c r="Q58" s="675"/>
    </row>
    <row r="60" spans="1:18" ht="24.95" customHeight="1">
      <c r="A60" s="676" t="s">
        <v>36</v>
      </c>
      <c r="B60" s="676"/>
      <c r="C60" s="676"/>
      <c r="D60" s="676"/>
      <c r="E60" s="676"/>
      <c r="F60" s="676"/>
      <c r="G60" s="676"/>
      <c r="H60" s="676"/>
      <c r="I60" s="676"/>
      <c r="J60" s="676"/>
      <c r="K60" s="676"/>
      <c r="L60" s="676"/>
      <c r="M60" s="676"/>
      <c r="N60" s="676"/>
      <c r="O60" s="676"/>
      <c r="P60" s="676"/>
      <c r="Q60" s="676"/>
    </row>
    <row r="77" spans="1:18" ht="24.95" customHeight="1">
      <c r="A77" s="677" t="s">
        <v>802</v>
      </c>
      <c r="B77" s="677"/>
      <c r="C77" s="677"/>
      <c r="D77" s="677"/>
      <c r="E77" s="677"/>
      <c r="F77" s="677"/>
      <c r="G77" s="677"/>
      <c r="H77" s="677"/>
      <c r="I77" s="677"/>
      <c r="J77" s="677"/>
      <c r="K77" s="677"/>
      <c r="L77" s="677"/>
      <c r="M77" s="677"/>
      <c r="N77" s="677"/>
      <c r="O77" s="677"/>
      <c r="P77" s="677"/>
      <c r="Q77" s="677"/>
      <c r="R77" s="677"/>
    </row>
    <row r="78" spans="1:18" ht="24.95" customHeight="1">
      <c r="A78" s="678" t="s">
        <v>37</v>
      </c>
      <c r="B78" s="678"/>
      <c r="C78" s="678"/>
      <c r="D78" s="678"/>
      <c r="E78" s="678"/>
      <c r="F78" s="678"/>
      <c r="G78" s="678"/>
      <c r="H78" s="678"/>
      <c r="I78" s="678"/>
      <c r="J78" s="678"/>
      <c r="K78" s="678"/>
      <c r="L78" s="678"/>
      <c r="M78" s="678"/>
      <c r="N78" s="678"/>
      <c r="O78" s="678"/>
      <c r="P78" s="678"/>
      <c r="Q78" s="678"/>
      <c r="R78" s="86" t="s">
        <v>795</v>
      </c>
    </row>
    <row r="79" spans="1:18" ht="24.95" customHeight="1">
      <c r="A79" s="674"/>
      <c r="B79" s="674"/>
      <c r="C79" s="674"/>
      <c r="D79" s="674"/>
      <c r="E79" s="674"/>
      <c r="F79" s="674"/>
      <c r="G79" s="674"/>
      <c r="H79" s="674"/>
      <c r="I79" s="674"/>
      <c r="J79" s="674"/>
      <c r="K79" s="674"/>
      <c r="L79" s="674"/>
      <c r="M79" s="674"/>
      <c r="N79" s="674"/>
      <c r="O79" s="674"/>
      <c r="P79" s="674"/>
      <c r="Q79" s="674"/>
      <c r="R79" s="86"/>
    </row>
    <row r="80" spans="1:18" ht="24.95" customHeight="1">
      <c r="A80" s="680" t="s">
        <v>38</v>
      </c>
      <c r="B80" s="680"/>
      <c r="C80" s="673"/>
      <c r="D80" s="673"/>
      <c r="E80" s="673"/>
      <c r="F80" s="673"/>
      <c r="G80" s="673"/>
      <c r="H80" s="673"/>
      <c r="I80" s="673"/>
      <c r="J80" s="673"/>
      <c r="K80" s="673"/>
      <c r="L80" s="673"/>
      <c r="M80" s="673"/>
      <c r="N80" s="673"/>
      <c r="O80" s="673"/>
      <c r="P80" s="673"/>
      <c r="Q80" s="673"/>
    </row>
    <row r="81" spans="1:18" ht="24.95" customHeight="1">
      <c r="A81" s="679" t="s">
        <v>1320</v>
      </c>
      <c r="B81" s="679"/>
      <c r="C81" s="679"/>
      <c r="D81" s="679"/>
      <c r="E81" s="679"/>
      <c r="F81" s="679"/>
      <c r="G81" s="679"/>
      <c r="H81" s="679"/>
      <c r="I81" s="679"/>
      <c r="J81" s="679"/>
      <c r="K81" s="679"/>
      <c r="L81" s="679"/>
      <c r="M81" s="679"/>
      <c r="N81" s="679"/>
      <c r="O81" s="679"/>
      <c r="P81" s="679"/>
      <c r="Q81" s="679"/>
    </row>
    <row r="82" spans="1:18" ht="24.95" customHeight="1">
      <c r="A82" s="679" t="s">
        <v>1321</v>
      </c>
      <c r="B82" s="681"/>
      <c r="C82" s="681"/>
      <c r="D82" s="681"/>
      <c r="E82" s="681"/>
      <c r="F82" s="681"/>
      <c r="G82" s="681"/>
      <c r="H82" s="681"/>
      <c r="I82" s="681"/>
      <c r="J82" s="681"/>
      <c r="K82" s="681"/>
      <c r="L82" s="681"/>
      <c r="M82" s="681"/>
      <c r="N82" s="681"/>
      <c r="O82" s="681"/>
      <c r="P82" s="681"/>
      <c r="Q82" s="681"/>
    </row>
    <row r="83" spans="1:18" ht="24.95" customHeight="1">
      <c r="A83" s="679" t="s">
        <v>39</v>
      </c>
      <c r="B83" s="679"/>
      <c r="C83" s="679"/>
      <c r="D83" s="679"/>
      <c r="E83" s="679"/>
      <c r="F83" s="679"/>
      <c r="G83" s="679"/>
      <c r="H83" s="679"/>
      <c r="I83" s="679"/>
      <c r="J83" s="679"/>
      <c r="K83" s="679"/>
      <c r="L83" s="679"/>
      <c r="M83" s="679"/>
      <c r="N83" s="679"/>
      <c r="O83" s="679"/>
      <c r="P83" s="679"/>
      <c r="Q83" s="679"/>
    </row>
    <row r="84" spans="1:18" ht="24.95" customHeight="1">
      <c r="A84" s="679" t="s">
        <v>1531</v>
      </c>
      <c r="B84" s="679"/>
      <c r="C84" s="679"/>
      <c r="D84" s="679"/>
      <c r="E84" s="679"/>
      <c r="F84" s="679"/>
      <c r="G84" s="679"/>
      <c r="H84" s="679"/>
      <c r="I84" s="679"/>
      <c r="J84" s="679"/>
      <c r="K84" s="679"/>
      <c r="L84" s="679"/>
      <c r="M84" s="679"/>
      <c r="N84" s="679"/>
      <c r="O84" s="679"/>
      <c r="P84" s="679"/>
      <c r="Q84" s="679"/>
    </row>
    <row r="85" spans="1:18" ht="24.75" customHeight="1">
      <c r="A85" s="679" t="s">
        <v>1322</v>
      </c>
      <c r="B85" s="679"/>
      <c r="C85" s="679"/>
      <c r="D85" s="679"/>
      <c r="E85" s="679"/>
      <c r="F85" s="679"/>
      <c r="G85" s="679"/>
      <c r="H85" s="679"/>
      <c r="I85" s="679"/>
      <c r="J85" s="679"/>
      <c r="K85" s="679"/>
      <c r="L85" s="679"/>
      <c r="M85" s="679"/>
      <c r="N85" s="679"/>
      <c r="O85" s="679"/>
      <c r="P85" s="679"/>
      <c r="Q85" s="679"/>
    </row>
    <row r="86" spans="1:18" ht="16.5" customHeight="1">
      <c r="A86" s="91"/>
      <c r="B86" s="91"/>
      <c r="C86" s="91"/>
      <c r="D86" s="91"/>
      <c r="E86" s="91"/>
      <c r="F86" s="91"/>
      <c r="G86" s="91"/>
      <c r="H86" s="91"/>
      <c r="I86" s="91"/>
      <c r="J86" s="91"/>
      <c r="K86" s="91"/>
      <c r="L86" s="91"/>
      <c r="M86" s="91"/>
      <c r="N86" s="91"/>
      <c r="O86" s="91"/>
      <c r="P86" s="91"/>
      <c r="Q86" s="91"/>
    </row>
    <row r="87" spans="1:18" ht="24.95" customHeight="1">
      <c r="B87" s="680" t="s">
        <v>40</v>
      </c>
      <c r="C87" s="680"/>
      <c r="D87" s="673"/>
      <c r="E87" s="792" t="s">
        <v>106</v>
      </c>
      <c r="F87" s="791" t="s">
        <v>914</v>
      </c>
      <c r="G87" s="787" t="s">
        <v>1532</v>
      </c>
      <c r="H87" s="787"/>
      <c r="I87" s="792" t="s">
        <v>107</v>
      </c>
      <c r="J87" s="791" t="s">
        <v>914</v>
      </c>
      <c r="K87" s="787" t="s">
        <v>1533</v>
      </c>
      <c r="L87" s="793"/>
      <c r="M87" s="792" t="s">
        <v>800</v>
      </c>
      <c r="N87" s="794"/>
      <c r="O87" s="790"/>
      <c r="P87" s="790"/>
      <c r="Q87" s="790"/>
    </row>
    <row r="88" spans="1:18" ht="24.95" customHeight="1">
      <c r="B88" s="789" t="s">
        <v>105</v>
      </c>
      <c r="C88" s="789"/>
      <c r="E88" s="692"/>
      <c r="F88" s="791"/>
      <c r="G88" s="787"/>
      <c r="H88" s="787"/>
      <c r="I88" s="673"/>
      <c r="J88" s="791"/>
      <c r="K88" s="787"/>
      <c r="L88" s="793"/>
      <c r="M88" s="673"/>
      <c r="N88" s="673"/>
      <c r="O88" s="673"/>
      <c r="P88" s="673"/>
      <c r="Q88" s="673"/>
    </row>
    <row r="89" spans="1:18" ht="51" customHeight="1">
      <c r="A89" s="91"/>
      <c r="B89" s="91"/>
      <c r="C89" s="91"/>
      <c r="D89" s="91"/>
      <c r="E89" s="692"/>
      <c r="F89" s="791"/>
      <c r="G89" s="787"/>
      <c r="H89" s="787"/>
      <c r="I89" s="673"/>
      <c r="J89" s="791"/>
      <c r="K89" s="787"/>
      <c r="L89" s="793"/>
      <c r="M89" s="792" t="s">
        <v>108</v>
      </c>
      <c r="N89" s="794"/>
      <c r="O89" s="787" t="s">
        <v>1534</v>
      </c>
      <c r="P89" s="788"/>
      <c r="Q89" s="788"/>
    </row>
    <row r="90" spans="1:18" ht="24.95" customHeight="1" thickBot="1">
      <c r="A90" s="239"/>
      <c r="B90" s="239"/>
      <c r="C90" s="239"/>
      <c r="D90" s="239"/>
      <c r="E90" s="239"/>
      <c r="F90" s="239"/>
      <c r="G90" s="712"/>
      <c r="H90" s="712"/>
      <c r="I90" s="239"/>
      <c r="J90" s="239"/>
      <c r="K90" s="239"/>
      <c r="L90" s="239" t="s">
        <v>1066</v>
      </c>
      <c r="M90" s="239"/>
      <c r="N90" s="239"/>
      <c r="O90" s="239"/>
      <c r="P90" s="239"/>
      <c r="Q90" s="239"/>
    </row>
    <row r="91" spans="1:18" ht="35.1" customHeight="1">
      <c r="A91" s="769" t="s">
        <v>797</v>
      </c>
      <c r="B91" s="770"/>
      <c r="C91" s="770"/>
      <c r="D91" s="770"/>
      <c r="E91" s="770"/>
      <c r="F91" s="770"/>
      <c r="G91" s="770"/>
      <c r="H91" s="770"/>
      <c r="I91" s="770"/>
      <c r="J91" s="770"/>
      <c r="K91" s="770"/>
      <c r="L91" s="770"/>
      <c r="M91" s="770"/>
      <c r="N91" s="770"/>
      <c r="O91" s="770"/>
      <c r="P91" s="770"/>
      <c r="Q91" s="771"/>
    </row>
    <row r="92" spans="1:18" ht="35.1" customHeight="1">
      <c r="A92" s="763" t="s">
        <v>1535</v>
      </c>
      <c r="B92" s="764"/>
      <c r="C92" s="764"/>
      <c r="D92" s="764"/>
      <c r="E92" s="764"/>
      <c r="F92" s="764"/>
      <c r="G92" s="764"/>
      <c r="H92" s="764"/>
      <c r="I92" s="764"/>
      <c r="J92" s="764"/>
      <c r="K92" s="764"/>
      <c r="L92" s="764"/>
      <c r="M92" s="764"/>
      <c r="N92" s="764"/>
      <c r="O92" s="764"/>
      <c r="P92" s="764"/>
      <c r="Q92" s="765"/>
    </row>
    <row r="93" spans="1:18" ht="35.1" customHeight="1">
      <c r="A93" s="766" t="s">
        <v>1536</v>
      </c>
      <c r="B93" s="767"/>
      <c r="C93" s="767"/>
      <c r="D93" s="767"/>
      <c r="E93" s="767"/>
      <c r="F93" s="767"/>
      <c r="G93" s="767"/>
      <c r="H93" s="767"/>
      <c r="I93" s="767"/>
      <c r="J93" s="767"/>
      <c r="K93" s="767"/>
      <c r="L93" s="767"/>
      <c r="M93" s="767"/>
      <c r="N93" s="767"/>
      <c r="O93" s="767"/>
      <c r="P93" s="767"/>
      <c r="Q93" s="768"/>
    </row>
    <row r="94" spans="1:18" ht="35.1" customHeight="1">
      <c r="A94" s="756" t="s">
        <v>1538</v>
      </c>
      <c r="B94" s="757"/>
      <c r="C94" s="757"/>
      <c r="D94" s="757"/>
      <c r="E94" s="757"/>
      <c r="F94" s="757"/>
      <c r="G94" s="757"/>
      <c r="H94" s="757"/>
      <c r="I94" s="757"/>
      <c r="J94" s="757"/>
      <c r="K94" s="757"/>
      <c r="L94" s="757"/>
      <c r="M94" s="757"/>
      <c r="N94" s="757"/>
      <c r="O94" s="757"/>
      <c r="P94" s="757"/>
      <c r="Q94" s="758"/>
    </row>
    <row r="95" spans="1:18" ht="35.1" customHeight="1" thickBot="1">
      <c r="A95" s="760" t="s">
        <v>801</v>
      </c>
      <c r="B95" s="761"/>
      <c r="C95" s="761"/>
      <c r="D95" s="761"/>
      <c r="E95" s="761"/>
      <c r="F95" s="761"/>
      <c r="G95" s="761"/>
      <c r="H95" s="761"/>
      <c r="I95" s="761"/>
      <c r="J95" s="761"/>
      <c r="K95" s="761"/>
      <c r="L95" s="761"/>
      <c r="M95" s="761"/>
      <c r="N95" s="761"/>
      <c r="O95" s="761"/>
      <c r="P95" s="761"/>
      <c r="Q95" s="762"/>
    </row>
    <row r="96" spans="1:18" ht="24.95" customHeight="1">
      <c r="A96" s="759" t="s">
        <v>796</v>
      </c>
      <c r="B96" s="759"/>
      <c r="C96" s="759"/>
      <c r="D96" s="759"/>
      <c r="E96" s="759"/>
      <c r="F96" s="759"/>
      <c r="G96" s="759"/>
      <c r="H96" s="759"/>
      <c r="I96" s="759"/>
      <c r="J96" s="759"/>
      <c r="K96" s="759"/>
      <c r="L96" s="759"/>
      <c r="M96" s="759"/>
      <c r="N96" s="759"/>
      <c r="O96" s="759"/>
      <c r="P96" s="759"/>
      <c r="Q96" s="759"/>
      <c r="R96" s="759"/>
    </row>
  </sheetData>
  <mergeCells count="150">
    <mergeCell ref="J17:N17"/>
    <mergeCell ref="J18:N18"/>
    <mergeCell ref="J19:N19"/>
    <mergeCell ref="J20:N20"/>
    <mergeCell ref="J14:N14"/>
    <mergeCell ref="J15:N15"/>
    <mergeCell ref="J16:N16"/>
    <mergeCell ref="O89:Q89"/>
    <mergeCell ref="B88:C88"/>
    <mergeCell ref="O87:Q87"/>
    <mergeCell ref="F87:F89"/>
    <mergeCell ref="B87:D87"/>
    <mergeCell ref="E87:E89"/>
    <mergeCell ref="I87:I89"/>
    <mergeCell ref="K87:L89"/>
    <mergeCell ref="J21:N21"/>
    <mergeCell ref="M89:N89"/>
    <mergeCell ref="J22:N22"/>
    <mergeCell ref="M88:Q88"/>
    <mergeCell ref="G87:H90"/>
    <mergeCell ref="M87:N87"/>
    <mergeCell ref="J87:J89"/>
    <mergeCell ref="L44:P44"/>
    <mergeCell ref="N53:Q53"/>
    <mergeCell ref="A39:R39"/>
    <mergeCell ref="A94:Q94"/>
    <mergeCell ref="A96:R96"/>
    <mergeCell ref="A95:Q95"/>
    <mergeCell ref="A92:Q92"/>
    <mergeCell ref="A93:Q93"/>
    <mergeCell ref="A91:Q91"/>
    <mergeCell ref="K50:Q50"/>
    <mergeCell ref="M45:Q45"/>
    <mergeCell ref="M46:Q46"/>
    <mergeCell ref="M47:Q47"/>
    <mergeCell ref="M48:Q48"/>
    <mergeCell ref="A47:F47"/>
    <mergeCell ref="A48:F48"/>
    <mergeCell ref="G46:L46"/>
    <mergeCell ref="G47:L47"/>
    <mergeCell ref="G48:L48"/>
    <mergeCell ref="A54:R54"/>
    <mergeCell ref="A51:H51"/>
    <mergeCell ref="E52:H52"/>
    <mergeCell ref="E53:H53"/>
    <mergeCell ref="J51:Q51"/>
    <mergeCell ref="N52:Q52"/>
    <mergeCell ref="A53:D53"/>
    <mergeCell ref="J53:M53"/>
    <mergeCell ref="A40:I40"/>
    <mergeCell ref="A41:D41"/>
    <mergeCell ref="F41:I41"/>
    <mergeCell ref="K41:Q41"/>
    <mergeCell ref="L42:P42"/>
    <mergeCell ref="L43:P43"/>
    <mergeCell ref="A44:D44"/>
    <mergeCell ref="F42:I42"/>
    <mergeCell ref="F43:I43"/>
    <mergeCell ref="F44:I44"/>
    <mergeCell ref="A42:D42"/>
    <mergeCell ref="A50:G50"/>
    <mergeCell ref="A45:F45"/>
    <mergeCell ref="G45:L45"/>
    <mergeCell ref="A46:F46"/>
    <mergeCell ref="J40:Q40"/>
    <mergeCell ref="A43:D43"/>
    <mergeCell ref="Q15:R15"/>
    <mergeCell ref="Q16:R16"/>
    <mergeCell ref="A23:H23"/>
    <mergeCell ref="Q10:R10"/>
    <mergeCell ref="Q11:R11"/>
    <mergeCell ref="Q12:R12"/>
    <mergeCell ref="J12:N12"/>
    <mergeCell ref="G18:H18"/>
    <mergeCell ref="G21:H21"/>
    <mergeCell ref="A22:E22"/>
    <mergeCell ref="G22:H22"/>
    <mergeCell ref="A20:E20"/>
    <mergeCell ref="A21:E21"/>
    <mergeCell ref="A19:E19"/>
    <mergeCell ref="A18:E18"/>
    <mergeCell ref="A11:E11"/>
    <mergeCell ref="A17:E17"/>
    <mergeCell ref="A15:E15"/>
    <mergeCell ref="A16:E16"/>
    <mergeCell ref="A12:E12"/>
    <mergeCell ref="A13:E13"/>
    <mergeCell ref="A14:E14"/>
    <mergeCell ref="J11:N11"/>
    <mergeCell ref="J13:N13"/>
    <mergeCell ref="A32:Q32"/>
    <mergeCell ref="C26:E26"/>
    <mergeCell ref="P25:R25"/>
    <mergeCell ref="A28:Q28"/>
    <mergeCell ref="A31:Q31"/>
    <mergeCell ref="A29:Q29"/>
    <mergeCell ref="A30:Q30"/>
    <mergeCell ref="K24:N26"/>
    <mergeCell ref="J5:R5"/>
    <mergeCell ref="Q7:R7"/>
    <mergeCell ref="J7:N7"/>
    <mergeCell ref="Q8:R8"/>
    <mergeCell ref="J8:N8"/>
    <mergeCell ref="J10:N10"/>
    <mergeCell ref="J9:N9"/>
    <mergeCell ref="G19:H19"/>
    <mergeCell ref="G20:H20"/>
    <mergeCell ref="G16:H16"/>
    <mergeCell ref="G14:H14"/>
    <mergeCell ref="G15:H15"/>
    <mergeCell ref="G11:H11"/>
    <mergeCell ref="G12:H12"/>
    <mergeCell ref="G17:H17"/>
    <mergeCell ref="G6:H6"/>
    <mergeCell ref="A1:Q1"/>
    <mergeCell ref="A2:Q2"/>
    <mergeCell ref="A3:Q3"/>
    <mergeCell ref="A4:Q4"/>
    <mergeCell ref="G7:H7"/>
    <mergeCell ref="G13:H13"/>
    <mergeCell ref="F11:F14"/>
    <mergeCell ref="A6:E6"/>
    <mergeCell ref="A10:H10"/>
    <mergeCell ref="Q9:R9"/>
    <mergeCell ref="A7:E7"/>
    <mergeCell ref="Q13:R13"/>
    <mergeCell ref="Q14:R14"/>
    <mergeCell ref="M37:Q37"/>
    <mergeCell ref="M38:Q38"/>
    <mergeCell ref="M33:Q34"/>
    <mergeCell ref="A36:K36"/>
    <mergeCell ref="A37:K37"/>
    <mergeCell ref="M35:Q35"/>
    <mergeCell ref="A38:L38"/>
    <mergeCell ref="M36:Q36"/>
    <mergeCell ref="A35:K35"/>
    <mergeCell ref="A55:Q55"/>
    <mergeCell ref="B56:Q56"/>
    <mergeCell ref="A58:Q58"/>
    <mergeCell ref="A60:Q60"/>
    <mergeCell ref="A77:R77"/>
    <mergeCell ref="A78:Q78"/>
    <mergeCell ref="A84:Q84"/>
    <mergeCell ref="A85:Q85"/>
    <mergeCell ref="A79:Q79"/>
    <mergeCell ref="C80:Q80"/>
    <mergeCell ref="A80:B80"/>
    <mergeCell ref="A81:Q81"/>
    <mergeCell ref="A82:Q82"/>
    <mergeCell ref="A83:Q83"/>
  </mergeCells>
  <phoneticPr fontId="0" type="noConversion"/>
  <pageMargins left="0.5" right="0.5" top="0.5" bottom="0.26" header="0.5" footer="0"/>
  <pageSetup paperSize="5"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J231"/>
  <sheetViews>
    <sheetView view="pageBreakPreview" topLeftCell="A226" zoomScale="90" zoomScaleNormal="75" zoomScaleSheetLayoutView="90" workbookViewId="0">
      <selection activeCell="H5" sqref="H5"/>
    </sheetView>
  </sheetViews>
  <sheetFormatPr defaultRowHeight="24.95" customHeight="1"/>
  <cols>
    <col min="1" max="8" width="20.7109375" style="171" customWidth="1"/>
    <col min="9" max="9" width="9.140625" style="171"/>
    <col min="10" max="10" width="15" style="171" bestFit="1" customWidth="1"/>
    <col min="11" max="16384" width="9.140625" style="171"/>
  </cols>
  <sheetData>
    <row r="1" spans="1:8" ht="50.25" customHeight="1" thickBot="1">
      <c r="A1" s="837" t="s">
        <v>665</v>
      </c>
      <c r="B1" s="837"/>
      <c r="C1" s="837"/>
      <c r="D1" s="837"/>
      <c r="E1" s="837"/>
      <c r="F1" s="837"/>
      <c r="G1" s="837"/>
      <c r="H1" s="170" t="s">
        <v>795</v>
      </c>
    </row>
    <row r="2" spans="1:8" ht="24.95" customHeight="1" thickTop="1" thickBot="1">
      <c r="A2" s="870"/>
      <c r="B2" s="870"/>
      <c r="C2" s="870"/>
      <c r="D2" s="870"/>
      <c r="E2" s="870"/>
      <c r="F2" s="870"/>
      <c r="G2" s="871"/>
      <c r="H2" s="172" t="s">
        <v>1324</v>
      </c>
    </row>
    <row r="3" spans="1:8" ht="24.95" customHeight="1" thickTop="1">
      <c r="A3" s="843" t="s">
        <v>666</v>
      </c>
      <c r="B3" s="843"/>
      <c r="C3" s="843"/>
      <c r="D3" s="843"/>
      <c r="E3" s="843"/>
      <c r="F3" s="843"/>
      <c r="G3" s="844"/>
      <c r="H3" s="173" t="s">
        <v>672</v>
      </c>
    </row>
    <row r="4" spans="1:8" ht="24.95" customHeight="1">
      <c r="A4" s="802" t="s">
        <v>667</v>
      </c>
      <c r="B4" s="802"/>
      <c r="C4" s="802"/>
      <c r="D4" s="802"/>
      <c r="E4" s="802"/>
      <c r="F4" s="802"/>
      <c r="G4" s="803"/>
      <c r="H4" s="174" t="s">
        <v>672</v>
      </c>
    </row>
    <row r="5" spans="1:8" ht="24.95" customHeight="1">
      <c r="A5" s="867" t="s">
        <v>1212</v>
      </c>
      <c r="B5" s="802"/>
      <c r="C5" s="802"/>
      <c r="D5" s="802"/>
      <c r="E5" s="802"/>
      <c r="F5" s="802"/>
      <c r="G5" s="803"/>
      <c r="H5" s="175">
        <f>'Sh 12-30a'!C396</f>
        <v>218657619.09200001</v>
      </c>
    </row>
    <row r="6" spans="1:8" ht="24.95" customHeight="1">
      <c r="A6" s="802" t="s">
        <v>668</v>
      </c>
      <c r="B6" s="802"/>
      <c r="C6" s="802"/>
      <c r="D6" s="802"/>
      <c r="E6" s="802"/>
      <c r="F6" s="802"/>
      <c r="G6" s="803"/>
      <c r="H6" s="174" t="s">
        <v>672</v>
      </c>
    </row>
    <row r="7" spans="1:8" ht="24.95" customHeight="1">
      <c r="A7" s="867" t="s">
        <v>1213</v>
      </c>
      <c r="B7" s="802"/>
      <c r="C7" s="802"/>
      <c r="D7" s="802"/>
      <c r="E7" s="802"/>
      <c r="F7" s="802"/>
      <c r="G7" s="803"/>
      <c r="H7" s="175">
        <f>'Sh 12-30a'!C795</f>
        <v>47751390.568000004</v>
      </c>
    </row>
    <row r="8" spans="1:8" ht="24.95" customHeight="1">
      <c r="A8" s="872" t="s">
        <v>669</v>
      </c>
      <c r="B8" s="802"/>
      <c r="C8" s="802"/>
      <c r="D8" s="802"/>
      <c r="E8" s="802"/>
      <c r="F8" s="802"/>
      <c r="G8" s="803"/>
      <c r="H8" s="175">
        <f>'Sh 12-30a'!C822</f>
        <v>0</v>
      </c>
    </row>
    <row r="9" spans="1:8" ht="24.95" customHeight="1">
      <c r="A9" s="873" t="s">
        <v>1214</v>
      </c>
      <c r="B9" s="802"/>
      <c r="C9" s="802"/>
      <c r="D9" s="802"/>
      <c r="E9" s="802"/>
      <c r="F9" s="802"/>
      <c r="G9" s="803"/>
      <c r="H9" s="175">
        <f>'Sh 12-30a'!C824</f>
        <v>47751390.568000004</v>
      </c>
    </row>
    <row r="10" spans="1:8" ht="24.95" customHeight="1">
      <c r="A10" s="868" t="s">
        <v>1325</v>
      </c>
      <c r="B10" s="802"/>
      <c r="C10" s="802"/>
      <c r="D10" s="802"/>
      <c r="E10" s="802"/>
      <c r="F10" s="802"/>
      <c r="G10" s="803"/>
      <c r="H10" s="175">
        <f>'Sh 12-30a'!C828</f>
        <v>16813709.449999999</v>
      </c>
    </row>
    <row r="11" spans="1:8" ht="24.75" customHeight="1">
      <c r="A11" s="868" t="s">
        <v>1215</v>
      </c>
      <c r="B11" s="802"/>
      <c r="C11" s="802"/>
      <c r="D11" s="802"/>
      <c r="E11" s="866" t="s">
        <v>1326</v>
      </c>
      <c r="F11" s="802"/>
      <c r="G11" s="803"/>
      <c r="H11" s="175">
        <f>'Sh 12-30a'!C836</f>
        <v>283222719.11000001</v>
      </c>
    </row>
    <row r="12" spans="1:8" ht="24.95" customHeight="1">
      <c r="A12" s="869" t="s">
        <v>1235</v>
      </c>
      <c r="B12" s="802"/>
      <c r="C12" s="802"/>
      <c r="D12" s="802"/>
      <c r="E12" s="802"/>
      <c r="F12" s="802"/>
      <c r="G12" s="803"/>
      <c r="H12" s="176">
        <f>'Sh 4-11a'!C485</f>
        <v>108929594.47999999</v>
      </c>
    </row>
    <row r="13" spans="1:8" ht="24.95" customHeight="1">
      <c r="A13" s="802" t="s">
        <v>670</v>
      </c>
      <c r="B13" s="802"/>
      <c r="C13" s="802"/>
      <c r="D13" s="802"/>
      <c r="E13" s="802"/>
      <c r="F13" s="802"/>
      <c r="G13" s="803"/>
      <c r="H13" s="177" t="s">
        <v>672</v>
      </c>
    </row>
    <row r="14" spans="1:8" ht="24.95" customHeight="1">
      <c r="A14" s="873" t="s">
        <v>1216</v>
      </c>
      <c r="B14" s="802"/>
      <c r="C14" s="802"/>
      <c r="D14" s="802"/>
      <c r="E14" s="802"/>
      <c r="F14" s="802"/>
      <c r="G14" s="803"/>
      <c r="H14" s="176">
        <f>'Sh 4-11a'!C487</f>
        <v>172020494.47000003</v>
      </c>
    </row>
    <row r="15" spans="1:8" ht="24.95" customHeight="1">
      <c r="A15" s="874" t="s">
        <v>1063</v>
      </c>
      <c r="B15" s="802"/>
      <c r="C15" s="802"/>
      <c r="D15" s="802"/>
      <c r="E15" s="802"/>
      <c r="F15" s="802"/>
      <c r="G15" s="803"/>
      <c r="H15" s="176">
        <f>'Sh 4-11a'!C488</f>
        <v>0</v>
      </c>
    </row>
    <row r="16" spans="1:8" ht="24.95" customHeight="1">
      <c r="A16" s="873" t="s">
        <v>1093</v>
      </c>
      <c r="B16" s="802"/>
      <c r="C16" s="802"/>
      <c r="D16" s="802"/>
      <c r="E16" s="802"/>
      <c r="F16" s="802"/>
      <c r="G16" s="803"/>
      <c r="H16" s="176">
        <f>'Sh 4-11a'!C489</f>
        <v>2272630.16</v>
      </c>
    </row>
    <row r="17" spans="1:8" ht="24.95" customHeight="1">
      <c r="A17" s="802"/>
      <c r="B17" s="802"/>
      <c r="C17" s="802"/>
      <c r="D17" s="802"/>
      <c r="E17" s="802"/>
      <c r="F17" s="802"/>
      <c r="G17" s="803"/>
      <c r="H17" s="169"/>
    </row>
    <row r="18" spans="1:8" ht="24.95" customHeight="1">
      <c r="A18" s="802"/>
      <c r="B18" s="802"/>
      <c r="C18" s="802"/>
      <c r="D18" s="802"/>
      <c r="E18" s="802"/>
      <c r="F18" s="802"/>
      <c r="G18" s="803"/>
      <c r="H18" s="169"/>
    </row>
    <row r="19" spans="1:8" ht="24.95" customHeight="1">
      <c r="A19" s="802"/>
      <c r="B19" s="802"/>
      <c r="C19" s="802"/>
      <c r="D19" s="802"/>
      <c r="E19" s="802"/>
      <c r="F19" s="802"/>
      <c r="G19" s="803"/>
      <c r="H19" s="169"/>
    </row>
    <row r="20" spans="1:8" ht="24.95" customHeight="1">
      <c r="A20" s="802"/>
      <c r="B20" s="802"/>
      <c r="C20" s="802"/>
      <c r="D20" s="802"/>
      <c r="E20" s="802"/>
      <c r="F20" s="802"/>
      <c r="G20" s="803"/>
      <c r="H20" s="169"/>
    </row>
    <row r="21" spans="1:8" ht="24.95" customHeight="1">
      <c r="A21" s="864" t="s">
        <v>671</v>
      </c>
      <c r="B21" s="864"/>
      <c r="C21" s="864"/>
      <c r="D21" s="865"/>
      <c r="E21" s="865"/>
      <c r="F21" s="865"/>
      <c r="G21" s="865"/>
      <c r="H21" s="865"/>
    </row>
    <row r="22" spans="1:8" ht="50.25" customHeight="1" thickBot="1">
      <c r="A22" s="837" t="s">
        <v>1237</v>
      </c>
      <c r="B22" s="837"/>
      <c r="C22" s="837"/>
      <c r="D22" s="837"/>
      <c r="E22" s="837"/>
      <c r="F22" s="837"/>
      <c r="G22" s="838" t="s">
        <v>795</v>
      </c>
      <c r="H22" s="838"/>
    </row>
    <row r="23" spans="1:8" ht="40.5" customHeight="1" thickTop="1">
      <c r="A23" s="843"/>
      <c r="B23" s="844"/>
      <c r="C23" s="260" t="s">
        <v>399</v>
      </c>
      <c r="D23" s="260" t="s">
        <v>400</v>
      </c>
      <c r="E23" s="260" t="s">
        <v>401</v>
      </c>
      <c r="F23" s="260" t="s">
        <v>401</v>
      </c>
      <c r="G23" s="820" t="s">
        <v>404</v>
      </c>
      <c r="H23" s="821"/>
    </row>
    <row r="24" spans="1:8" ht="24.95" customHeight="1">
      <c r="A24" s="841" t="s">
        <v>373</v>
      </c>
      <c r="B24" s="842"/>
      <c r="C24" s="179">
        <v>252613745.28999999</v>
      </c>
      <c r="D24" s="179"/>
      <c r="E24" s="179"/>
      <c r="F24" s="179"/>
      <c r="G24" s="845"/>
      <c r="H24" s="846"/>
    </row>
    <row r="25" spans="1:8" ht="24.95" customHeight="1">
      <c r="A25" s="182" t="s">
        <v>374</v>
      </c>
      <c r="B25" s="183"/>
      <c r="C25" s="166">
        <v>3970624.64</v>
      </c>
      <c r="D25" s="166"/>
      <c r="E25" s="166"/>
      <c r="F25" s="166"/>
      <c r="G25" s="822" t="s">
        <v>356</v>
      </c>
      <c r="H25" s="823"/>
    </row>
    <row r="26" spans="1:8" ht="24.95" customHeight="1">
      <c r="A26" s="182" t="s">
        <v>375</v>
      </c>
      <c r="B26" s="183"/>
      <c r="C26" s="166">
        <v>4395000</v>
      </c>
      <c r="D26" s="166"/>
      <c r="E26" s="166"/>
      <c r="F26" s="166"/>
      <c r="G26" s="822"/>
      <c r="H26" s="823"/>
    </row>
    <row r="27" spans="1:8" ht="24.75" customHeight="1">
      <c r="A27" s="839" t="s">
        <v>377</v>
      </c>
      <c r="B27" s="840"/>
      <c r="C27" s="166">
        <f>SUM(C24:C26)</f>
        <v>260979369.92999998</v>
      </c>
      <c r="D27" s="166"/>
      <c r="E27" s="166"/>
      <c r="F27" s="166"/>
      <c r="G27" s="822" t="s">
        <v>357</v>
      </c>
      <c r="H27" s="823"/>
    </row>
    <row r="28" spans="1:8" ht="24.95" customHeight="1">
      <c r="A28" s="850" t="s">
        <v>402</v>
      </c>
      <c r="B28" s="851"/>
      <c r="C28" s="835">
        <f>252926415.44+2512944.19</f>
        <v>255439359.63</v>
      </c>
      <c r="D28" s="835"/>
      <c r="E28" s="835"/>
      <c r="F28" s="835"/>
      <c r="G28" s="822" t="s">
        <v>359</v>
      </c>
      <c r="H28" s="823"/>
    </row>
    <row r="29" spans="1:8" ht="24.75" customHeight="1">
      <c r="A29" s="852"/>
      <c r="B29" s="853"/>
      <c r="C29" s="836"/>
      <c r="D29" s="836"/>
      <c r="E29" s="836"/>
      <c r="F29" s="836"/>
      <c r="G29" s="822" t="s">
        <v>798</v>
      </c>
      <c r="H29" s="823"/>
    </row>
    <row r="30" spans="1:8" ht="24.95" customHeight="1">
      <c r="A30" s="839" t="s">
        <v>927</v>
      </c>
      <c r="B30" s="840"/>
      <c r="C30" s="166">
        <v>5187901.42</v>
      </c>
      <c r="D30" s="166"/>
      <c r="E30" s="166"/>
      <c r="F30" s="166"/>
      <c r="G30" s="822" t="s">
        <v>358</v>
      </c>
      <c r="H30" s="823"/>
    </row>
    <row r="31" spans="1:8" ht="24.95" customHeight="1">
      <c r="A31" s="182" t="s">
        <v>396</v>
      </c>
      <c r="B31" s="183"/>
      <c r="C31" s="166">
        <v>352108.88</v>
      </c>
      <c r="D31" s="166"/>
      <c r="E31" s="166"/>
      <c r="F31" s="166"/>
      <c r="G31" s="822"/>
      <c r="H31" s="823"/>
    </row>
    <row r="32" spans="1:8" ht="24.95" customHeight="1">
      <c r="A32" s="861" t="s">
        <v>397</v>
      </c>
      <c r="B32" s="840"/>
      <c r="C32" s="166">
        <f>SUM(C28:C31)</f>
        <v>260979369.92999998</v>
      </c>
      <c r="D32" s="166"/>
      <c r="E32" s="166"/>
      <c r="F32" s="166"/>
      <c r="G32" s="847" t="s">
        <v>1347</v>
      </c>
      <c r="H32" s="823"/>
    </row>
    <row r="33" spans="1:8" ht="24.95" customHeight="1" thickBot="1">
      <c r="A33" s="848" t="s">
        <v>398</v>
      </c>
      <c r="B33" s="849"/>
      <c r="C33" s="168"/>
      <c r="D33" s="168"/>
      <c r="E33" s="168"/>
      <c r="F33" s="168"/>
      <c r="G33" s="822"/>
      <c r="H33" s="823"/>
    </row>
    <row r="34" spans="1:8" ht="24.95" customHeight="1" thickTop="1">
      <c r="A34" s="862" t="s">
        <v>1236</v>
      </c>
      <c r="B34" s="863"/>
      <c r="C34" s="863"/>
      <c r="D34" s="863"/>
      <c r="E34" s="863"/>
      <c r="F34" s="863"/>
      <c r="G34" s="834"/>
      <c r="H34" s="834"/>
    </row>
    <row r="35" spans="1:8" ht="24.95" customHeight="1">
      <c r="A35" s="834"/>
      <c r="B35" s="834"/>
      <c r="G35" s="834"/>
      <c r="H35" s="834"/>
    </row>
    <row r="36" spans="1:8" ht="24.95" customHeight="1">
      <c r="A36" s="834"/>
      <c r="B36" s="834"/>
      <c r="G36" s="834"/>
      <c r="H36" s="834"/>
    </row>
    <row r="37" spans="1:8" ht="24.95" customHeight="1">
      <c r="A37" s="834"/>
      <c r="B37" s="834"/>
      <c r="G37" s="834"/>
      <c r="H37" s="834"/>
    </row>
    <row r="38" spans="1:8" ht="24.95" customHeight="1">
      <c r="A38" s="834"/>
      <c r="B38" s="834"/>
      <c r="G38" s="834"/>
      <c r="H38" s="834"/>
    </row>
    <row r="39" spans="1:8" ht="24.95" customHeight="1">
      <c r="A39" s="834"/>
      <c r="B39" s="834"/>
      <c r="G39" s="834"/>
      <c r="H39" s="834"/>
    </row>
    <row r="40" spans="1:8" ht="24.95" customHeight="1">
      <c r="A40" s="834"/>
      <c r="B40" s="834"/>
      <c r="G40" s="834"/>
      <c r="H40" s="834"/>
    </row>
    <row r="41" spans="1:8" ht="24.95" customHeight="1">
      <c r="A41" s="809" t="s">
        <v>372</v>
      </c>
      <c r="B41" s="809"/>
      <c r="C41" s="809"/>
      <c r="D41" s="809"/>
      <c r="E41" s="809"/>
      <c r="F41" s="809"/>
      <c r="G41" s="809"/>
      <c r="H41" s="809"/>
    </row>
    <row r="42" spans="1:8" ht="24.95" customHeight="1">
      <c r="A42" s="662"/>
      <c r="B42" s="663"/>
      <c r="C42" s="824" t="s">
        <v>199</v>
      </c>
      <c r="D42" s="825"/>
      <c r="E42" s="825"/>
      <c r="F42" s="826"/>
      <c r="G42" s="830" t="s">
        <v>795</v>
      </c>
      <c r="H42" s="831"/>
    </row>
    <row r="43" spans="1:8" ht="24.95" customHeight="1">
      <c r="A43" s="664"/>
      <c r="B43" s="665"/>
      <c r="C43" s="827"/>
      <c r="D43" s="828"/>
      <c r="E43" s="828"/>
      <c r="F43" s="829"/>
      <c r="G43" s="832"/>
      <c r="H43" s="833"/>
    </row>
    <row r="44" spans="1:8" ht="14.1" customHeight="1">
      <c r="A44" s="854" t="s">
        <v>256</v>
      </c>
      <c r="B44" s="855"/>
      <c r="C44" s="855"/>
      <c r="D44" s="855"/>
      <c r="E44" s="666"/>
      <c r="F44" s="666"/>
      <c r="G44" s="666"/>
      <c r="H44" s="667"/>
    </row>
    <row r="45" spans="1:8" ht="14.1" customHeight="1">
      <c r="A45" s="856" t="s">
        <v>1328</v>
      </c>
      <c r="B45" s="857"/>
      <c r="C45" s="857"/>
      <c r="D45" s="857"/>
      <c r="E45" s="857"/>
      <c r="F45" s="857"/>
      <c r="G45" s="857"/>
      <c r="H45" s="858"/>
    </row>
    <row r="46" spans="1:8" ht="14.1" customHeight="1">
      <c r="A46" s="856" t="s">
        <v>1527</v>
      </c>
      <c r="B46" s="857"/>
      <c r="C46" s="857"/>
      <c r="D46" s="857"/>
      <c r="E46" s="857"/>
      <c r="F46" s="857"/>
      <c r="G46" s="857"/>
      <c r="H46" s="858"/>
    </row>
    <row r="47" spans="1:8" ht="14.1" customHeight="1">
      <c r="A47" s="194"/>
      <c r="B47" s="191"/>
      <c r="C47" s="191"/>
      <c r="D47" s="191"/>
      <c r="E47" s="191"/>
      <c r="F47" s="165"/>
      <c r="G47" s="165"/>
      <c r="H47" s="167"/>
    </row>
    <row r="48" spans="1:8" ht="14.1" customHeight="1">
      <c r="A48" s="277" t="s">
        <v>1329</v>
      </c>
      <c r="B48" s="191"/>
      <c r="C48" s="191"/>
      <c r="D48" s="191"/>
      <c r="E48" s="167">
        <v>252613745</v>
      </c>
      <c r="F48" s="300" t="s">
        <v>1525</v>
      </c>
      <c r="G48" s="165"/>
      <c r="H48" s="167">
        <f>E68</f>
        <v>199805851</v>
      </c>
    </row>
    <row r="49" spans="1:8" ht="14.1" customHeight="1">
      <c r="A49" s="214" t="s">
        <v>27</v>
      </c>
      <c r="B49" s="191"/>
      <c r="C49" s="191"/>
      <c r="D49" s="191"/>
      <c r="E49" s="200">
        <v>0</v>
      </c>
      <c r="F49" s="859" t="s">
        <v>26</v>
      </c>
      <c r="G49" s="860"/>
      <c r="H49" s="167"/>
    </row>
    <row r="50" spans="1:8" ht="14.1" customHeight="1">
      <c r="A50" s="214" t="s">
        <v>25</v>
      </c>
      <c r="B50" s="191"/>
      <c r="C50" s="191"/>
      <c r="D50" s="191"/>
      <c r="E50" s="167">
        <f>SUM(E48:E49)</f>
        <v>252613745</v>
      </c>
      <c r="F50" s="258"/>
      <c r="G50" s="165"/>
      <c r="H50" s="167"/>
    </row>
    <row r="51" spans="1:8" ht="14.1" customHeight="1">
      <c r="A51" s="213" t="s">
        <v>1084</v>
      </c>
      <c r="B51" s="191"/>
      <c r="C51" s="191"/>
      <c r="D51" s="191"/>
      <c r="E51" s="167"/>
      <c r="F51" s="191"/>
      <c r="G51" s="191"/>
      <c r="H51" s="193"/>
    </row>
    <row r="52" spans="1:8" ht="14.1" customHeight="1">
      <c r="A52" s="194" t="s">
        <v>1085</v>
      </c>
      <c r="B52" s="191"/>
      <c r="C52" s="191"/>
      <c r="D52" s="167">
        <v>16759431</v>
      </c>
      <c r="F52" s="300" t="s">
        <v>1526</v>
      </c>
      <c r="G52" s="165"/>
      <c r="H52" s="200">
        <f>H48*0.01</f>
        <v>1998058.51</v>
      </c>
    </row>
    <row r="53" spans="1:8" ht="14.1" customHeight="1">
      <c r="A53" s="194" t="s">
        <v>1086</v>
      </c>
      <c r="B53" s="191"/>
      <c r="C53" s="191"/>
      <c r="D53" s="167">
        <v>6829553</v>
      </c>
      <c r="F53" s="221"/>
      <c r="G53" s="165"/>
      <c r="H53" s="167"/>
    </row>
    <row r="54" spans="1:8" ht="14.1" customHeight="1">
      <c r="A54" s="194" t="s">
        <v>1087</v>
      </c>
      <c r="B54" s="191"/>
      <c r="C54" s="191"/>
      <c r="D54" s="167">
        <v>340000</v>
      </c>
      <c r="F54" s="165"/>
      <c r="G54" s="165"/>
      <c r="H54" s="167"/>
    </row>
    <row r="55" spans="1:8" ht="14.1" customHeight="1">
      <c r="A55" s="194" t="s">
        <v>1088</v>
      </c>
      <c r="B55" s="191"/>
      <c r="C55" s="191"/>
      <c r="D55" s="167">
        <v>11894877</v>
      </c>
      <c r="F55" s="165"/>
      <c r="G55" s="165"/>
      <c r="H55" s="167"/>
    </row>
    <row r="56" spans="1:8" ht="14.1" customHeight="1">
      <c r="A56" s="194" t="s">
        <v>1089</v>
      </c>
      <c r="B56" s="191"/>
      <c r="C56" s="191"/>
      <c r="D56" s="167">
        <v>3378000</v>
      </c>
      <c r="F56" s="165"/>
      <c r="G56" s="165"/>
      <c r="H56" s="167"/>
    </row>
    <row r="57" spans="1:8" ht="14.1" customHeight="1">
      <c r="A57" s="194" t="s">
        <v>549</v>
      </c>
      <c r="B57" s="191"/>
      <c r="C57" s="191"/>
      <c r="D57" s="167">
        <v>50000</v>
      </c>
      <c r="F57" s="223" t="s">
        <v>257</v>
      </c>
      <c r="G57" s="165"/>
      <c r="H57" s="167"/>
    </row>
    <row r="58" spans="1:8" ht="14.1" customHeight="1">
      <c r="A58" s="194" t="s">
        <v>1083</v>
      </c>
      <c r="B58" s="191"/>
      <c r="C58" s="191"/>
      <c r="D58" s="167">
        <v>0</v>
      </c>
      <c r="F58" s="263" t="s">
        <v>1091</v>
      </c>
      <c r="G58" s="165"/>
      <c r="H58" s="167">
        <f>SUM(H48:H52)</f>
        <v>201803909.50999999</v>
      </c>
    </row>
    <row r="59" spans="1:8" ht="14.1" customHeight="1">
      <c r="A59" s="194" t="s">
        <v>1090</v>
      </c>
      <c r="B59" s="191"/>
      <c r="C59" s="191"/>
      <c r="D59" s="167">
        <v>0</v>
      </c>
      <c r="F59" s="191"/>
      <c r="G59" s="165"/>
      <c r="H59" s="167"/>
    </row>
    <row r="60" spans="1:8" ht="14.1" customHeight="1">
      <c r="A60" s="194" t="s">
        <v>200</v>
      </c>
      <c r="B60" s="191"/>
      <c r="C60" s="191"/>
      <c r="D60" s="167">
        <v>13556033</v>
      </c>
      <c r="F60" s="275" t="s">
        <v>1217</v>
      </c>
      <c r="G60" s="165"/>
      <c r="H60" s="167">
        <v>2858565.74</v>
      </c>
    </row>
    <row r="61" spans="1:8" ht="14.1" customHeight="1">
      <c r="A61" s="216"/>
      <c r="B61" s="191"/>
      <c r="C61" s="191"/>
      <c r="D61" s="259">
        <f>SUM(D51:D60)</f>
        <v>52807894</v>
      </c>
      <c r="E61" s="167"/>
      <c r="F61" s="275" t="s">
        <v>1330</v>
      </c>
      <c r="G61" s="165"/>
      <c r="H61" s="167">
        <v>4908789.9400000004</v>
      </c>
    </row>
    <row r="62" spans="1:8" ht="14.1" customHeight="1">
      <c r="A62" s="217"/>
      <c r="B62" s="191"/>
      <c r="C62" s="191"/>
      <c r="D62" s="218"/>
      <c r="E62" s="167"/>
      <c r="F62" s="224" t="s">
        <v>258</v>
      </c>
      <c r="G62" s="165"/>
      <c r="H62" s="167"/>
    </row>
    <row r="63" spans="1:8" ht="14.1" customHeight="1">
      <c r="A63" s="194" t="s">
        <v>263</v>
      </c>
      <c r="B63" s="191"/>
      <c r="C63" s="191"/>
      <c r="D63" s="219"/>
      <c r="E63" s="238">
        <f>-D61</f>
        <v>-52807894</v>
      </c>
      <c r="F63" s="225" t="s">
        <v>259</v>
      </c>
      <c r="G63" s="165"/>
      <c r="H63" s="624">
        <v>106112</v>
      </c>
    </row>
    <row r="64" spans="1:8" ht="14.1" customHeight="1">
      <c r="A64" s="215"/>
      <c r="B64" s="191"/>
      <c r="C64" s="191"/>
      <c r="D64" s="219"/>
      <c r="E64" s="167"/>
      <c r="F64" s="222" t="s">
        <v>260</v>
      </c>
      <c r="G64" s="165"/>
      <c r="H64" s="167">
        <f>H48*0.025</f>
        <v>4995146.2750000004</v>
      </c>
    </row>
    <row r="65" spans="1:10" ht="14.1" customHeight="1">
      <c r="A65" s="274"/>
      <c r="B65" s="191"/>
      <c r="C65" s="191"/>
      <c r="D65" s="191"/>
      <c r="E65" s="167"/>
      <c r="F65" s="226" t="s">
        <v>261</v>
      </c>
      <c r="G65" s="165"/>
      <c r="H65" s="205">
        <f>SUM(H60:H64)</f>
        <v>12868613.955000002</v>
      </c>
    </row>
    <row r="66" spans="1:10" ht="14.1" customHeight="1">
      <c r="A66" s="194"/>
      <c r="B66" s="191"/>
      <c r="C66" s="191"/>
      <c r="D66" s="191"/>
      <c r="E66" s="167"/>
      <c r="F66" s="165"/>
      <c r="G66" s="165"/>
      <c r="H66" s="167"/>
    </row>
    <row r="67" spans="1:10" ht="14.1" customHeight="1">
      <c r="A67" s="195"/>
      <c r="B67" s="191"/>
      <c r="C67" s="191"/>
      <c r="D67" s="191"/>
      <c r="E67" s="167"/>
      <c r="F67" s="221" t="s">
        <v>262</v>
      </c>
      <c r="G67" s="165"/>
      <c r="H67" s="167"/>
    </row>
    <row r="68" spans="1:10" ht="14.1" customHeight="1" thickBot="1">
      <c r="A68" s="277" t="s">
        <v>1399</v>
      </c>
      <c r="B68" s="191"/>
      <c r="C68" s="191"/>
      <c r="D68" s="191"/>
      <c r="E68" s="167">
        <f>SUM(E50:E67)</f>
        <v>199805851</v>
      </c>
      <c r="F68" s="276" t="s">
        <v>1331</v>
      </c>
      <c r="G68" s="165"/>
      <c r="H68" s="668">
        <f>SUM(H58+H65)</f>
        <v>214672523.465</v>
      </c>
    </row>
    <row r="69" spans="1:10" ht="14.1" customHeight="1" thickTop="1">
      <c r="A69" s="197"/>
      <c r="B69" s="198"/>
      <c r="C69" s="198"/>
      <c r="D69" s="198"/>
      <c r="E69" s="220"/>
      <c r="F69" s="199"/>
      <c r="G69" s="199"/>
      <c r="H69" s="200"/>
      <c r="J69" s="672"/>
    </row>
    <row r="70" spans="1:10" ht="14.1" customHeight="1">
      <c r="A70" s="201" t="s">
        <v>201</v>
      </c>
      <c r="B70" s="264"/>
      <c r="C70" s="264"/>
      <c r="D70" s="864" t="s">
        <v>205</v>
      </c>
      <c r="E70" s="864"/>
      <c r="F70" s="264"/>
      <c r="G70" s="264"/>
      <c r="H70" s="264"/>
    </row>
    <row r="71" spans="1:10" ht="14.1" customHeight="1">
      <c r="A71" s="203" t="s">
        <v>202</v>
      </c>
      <c r="B71" s="202"/>
      <c r="C71" s="202"/>
      <c r="D71" s="202"/>
      <c r="E71" s="202"/>
      <c r="F71" s="202"/>
      <c r="G71" s="202"/>
      <c r="H71" s="191"/>
    </row>
    <row r="72" spans="1:10" ht="14.1" customHeight="1">
      <c r="A72" s="298" t="s">
        <v>1327</v>
      </c>
      <c r="B72" s="266"/>
      <c r="C72" s="266"/>
      <c r="D72" s="266"/>
      <c r="E72" s="266"/>
      <c r="F72" s="266"/>
      <c r="G72" s="266"/>
      <c r="H72" s="267"/>
    </row>
    <row r="73" spans="1:10" ht="14.1" customHeight="1">
      <c r="A73" s="877" t="s">
        <v>1218</v>
      </c>
      <c r="B73" s="878"/>
      <c r="C73" s="878"/>
      <c r="D73" s="878"/>
      <c r="E73" s="878"/>
      <c r="F73" s="878"/>
      <c r="G73" s="878"/>
      <c r="H73" s="878"/>
    </row>
    <row r="74" spans="1:10" ht="14.1" customHeight="1">
      <c r="A74" s="265" t="s">
        <v>1094</v>
      </c>
      <c r="B74" s="266"/>
      <c r="C74" s="266"/>
      <c r="D74" s="266"/>
      <c r="E74" s="266"/>
      <c r="F74" s="266"/>
      <c r="G74" s="266"/>
      <c r="H74" s="267"/>
    </row>
    <row r="75" spans="1:10" ht="14.1" customHeight="1">
      <c r="A75" s="879" t="s">
        <v>207</v>
      </c>
      <c r="B75" s="892"/>
      <c r="C75" s="892"/>
      <c r="D75" s="892"/>
      <c r="E75" s="892"/>
      <c r="F75" s="892"/>
      <c r="G75" s="892"/>
      <c r="H75" s="892"/>
    </row>
    <row r="76" spans="1:10" ht="14.1" customHeight="1">
      <c r="A76" s="879" t="s">
        <v>204</v>
      </c>
      <c r="B76" s="892"/>
      <c r="C76" s="892"/>
      <c r="D76" s="266"/>
      <c r="E76" s="266"/>
      <c r="F76" s="266"/>
      <c r="G76" s="266"/>
      <c r="H76" s="267"/>
    </row>
    <row r="77" spans="1:10" ht="14.1" customHeight="1">
      <c r="A77" s="877" t="s">
        <v>1095</v>
      </c>
      <c r="B77" s="891"/>
      <c r="C77" s="891"/>
      <c r="D77" s="891"/>
      <c r="E77" s="891"/>
      <c r="F77" s="891"/>
      <c r="G77" s="891"/>
      <c r="H77" s="891"/>
    </row>
    <row r="78" spans="1:10" ht="15" customHeight="1">
      <c r="A78" s="879" t="s">
        <v>1096</v>
      </c>
      <c r="B78" s="880"/>
      <c r="C78" s="880"/>
      <c r="D78" s="880"/>
      <c r="E78" s="880"/>
      <c r="F78" s="880"/>
      <c r="G78" s="880"/>
      <c r="H78" s="880"/>
    </row>
    <row r="79" spans="1:10" ht="24.95" customHeight="1">
      <c r="A79" s="184"/>
      <c r="B79" s="185"/>
      <c r="C79" s="881" t="s">
        <v>199</v>
      </c>
      <c r="D79" s="882"/>
      <c r="E79" s="882"/>
      <c r="F79" s="883"/>
      <c r="G79" s="893" t="s">
        <v>795</v>
      </c>
      <c r="H79" s="894"/>
    </row>
    <row r="80" spans="1:10" ht="24.95" customHeight="1">
      <c r="A80" s="186"/>
      <c r="B80" s="178"/>
      <c r="C80" s="884"/>
      <c r="D80" s="885"/>
      <c r="E80" s="885"/>
      <c r="F80" s="886"/>
      <c r="G80" s="895"/>
      <c r="H80" s="896"/>
    </row>
    <row r="81" spans="1:8" ht="14.1" customHeight="1">
      <c r="A81" s="187"/>
      <c r="B81" s="188"/>
      <c r="C81" s="188"/>
      <c r="D81" s="188"/>
      <c r="E81" s="188"/>
      <c r="F81" s="188"/>
      <c r="G81" s="188"/>
      <c r="H81" s="189"/>
    </row>
    <row r="82" spans="1:8" ht="14.1" customHeight="1">
      <c r="A82" s="190"/>
      <c r="B82" s="191"/>
      <c r="C82" s="192"/>
      <c r="D82" s="192"/>
      <c r="E82" s="192"/>
      <c r="F82" s="192"/>
      <c r="G82" s="191"/>
      <c r="H82" s="193"/>
    </row>
    <row r="83" spans="1:8" ht="14.1" customHeight="1">
      <c r="A83" s="180"/>
      <c r="B83" s="181"/>
      <c r="C83" s="888" t="s">
        <v>211</v>
      </c>
      <c r="D83" s="204"/>
      <c r="E83" s="888" t="s">
        <v>212</v>
      </c>
      <c r="F83" s="897" t="s">
        <v>1332</v>
      </c>
      <c r="G83" s="897" t="s">
        <v>1222</v>
      </c>
      <c r="H83" s="167"/>
    </row>
    <row r="84" spans="1:8" ht="14.1" customHeight="1">
      <c r="A84" s="887" t="s">
        <v>210</v>
      </c>
      <c r="B84" s="846"/>
      <c r="C84" s="888"/>
      <c r="D84" s="204"/>
      <c r="E84" s="888"/>
      <c r="F84" s="898"/>
      <c r="G84" s="898"/>
      <c r="H84" s="167"/>
    </row>
    <row r="85" spans="1:8" ht="14.1" customHeight="1">
      <c r="A85" s="195"/>
      <c r="B85" s="191"/>
      <c r="C85" s="165"/>
      <c r="D85" s="165"/>
      <c r="E85" s="165"/>
      <c r="F85" s="165"/>
      <c r="G85" s="165"/>
      <c r="H85" s="167"/>
    </row>
    <row r="86" spans="1:8" ht="14.1" customHeight="1">
      <c r="A86" s="274" t="s">
        <v>1119</v>
      </c>
      <c r="B86" s="191"/>
      <c r="C86" s="165">
        <f>'Sh 12-30a'!C19</f>
        <v>48333721.851999998</v>
      </c>
      <c r="D86" s="165"/>
      <c r="E86" s="165">
        <f>'Sh 12-30a'!C402</f>
        <v>694778.14800000004</v>
      </c>
      <c r="F86" s="165">
        <f>SUM(C86+E86)</f>
        <v>49028500</v>
      </c>
      <c r="G86" s="165">
        <f>'Sh 12-30a'!D402+'Sh 12-30a'!D19</f>
        <v>42415269</v>
      </c>
      <c r="H86" s="167"/>
    </row>
    <row r="87" spans="1:8" ht="14.1" customHeight="1">
      <c r="A87" s="274" t="s">
        <v>1219</v>
      </c>
      <c r="B87" s="191"/>
      <c r="C87" s="165">
        <f>'Sh 12-30a'!C20</f>
        <v>5745000</v>
      </c>
      <c r="D87" s="165"/>
      <c r="E87" s="165">
        <v>0</v>
      </c>
      <c r="F87" s="165">
        <f t="shared" ref="F87:F93" si="0">SUM(C87+E87)</f>
        <v>5745000</v>
      </c>
      <c r="G87" s="165">
        <f>'Sh 12-30a'!D20</f>
        <v>4900000</v>
      </c>
      <c r="H87" s="167"/>
    </row>
    <row r="88" spans="1:8" ht="14.1" customHeight="1">
      <c r="A88" s="274" t="s">
        <v>1120</v>
      </c>
      <c r="B88" s="191"/>
      <c r="C88" s="165">
        <f>'Sh 12-30a'!C26</f>
        <v>4560100</v>
      </c>
      <c r="D88" s="165"/>
      <c r="E88" s="165">
        <v>0</v>
      </c>
      <c r="F88" s="165">
        <f t="shared" si="0"/>
        <v>4560100</v>
      </c>
      <c r="G88" s="165">
        <f>'Sh 12-30a'!D26</f>
        <v>4389116</v>
      </c>
      <c r="H88" s="167"/>
    </row>
    <row r="89" spans="1:8" ht="14.1" customHeight="1">
      <c r="A89" s="274" t="s">
        <v>1220</v>
      </c>
      <c r="B89" s="191"/>
      <c r="C89" s="165">
        <f>'Sh 12-30a'!C119+'Sh 12-30a'!C416+'Sh 12-30a'!C426</f>
        <v>46759004</v>
      </c>
      <c r="D89" s="165"/>
      <c r="E89" s="165">
        <v>0</v>
      </c>
      <c r="F89" s="165">
        <f t="shared" si="0"/>
        <v>46759004</v>
      </c>
      <c r="G89" s="165">
        <f>'Sh 12-30a'!D426+'Sh 12-30a'!D119</f>
        <v>42892891</v>
      </c>
      <c r="H89" s="167"/>
    </row>
    <row r="90" spans="1:8" ht="14.1" customHeight="1">
      <c r="A90" s="274" t="s">
        <v>1221</v>
      </c>
      <c r="B90" s="191"/>
      <c r="C90" s="165">
        <f>'Sh 12-30a'!C427+'Sh 12-30a'!C111</f>
        <v>34227996</v>
      </c>
      <c r="D90" s="165"/>
      <c r="E90" s="165">
        <v>0</v>
      </c>
      <c r="F90" s="165">
        <f t="shared" si="0"/>
        <v>34227996</v>
      </c>
      <c r="G90" s="165">
        <f>'Sh 12-30a'!D111+'Sh 12-30a'!D427</f>
        <v>30415380</v>
      </c>
      <c r="H90" s="167"/>
    </row>
    <row r="91" spans="1:8" ht="14.1" customHeight="1">
      <c r="A91" s="274" t="s">
        <v>1161</v>
      </c>
      <c r="B91" s="191"/>
      <c r="C91" s="165">
        <f>'Sh 12-30a'!C164</f>
        <v>1762645</v>
      </c>
      <c r="D91" s="165"/>
      <c r="E91" s="165">
        <v>0</v>
      </c>
      <c r="F91" s="165">
        <f t="shared" si="0"/>
        <v>1762645</v>
      </c>
      <c r="G91" s="165">
        <f>'Sh 12-30a'!D164</f>
        <v>1440506</v>
      </c>
      <c r="H91" s="167"/>
    </row>
    <row r="92" spans="1:8" ht="14.1" customHeight="1">
      <c r="A92" s="274" t="s">
        <v>1162</v>
      </c>
      <c r="B92" s="191"/>
      <c r="C92" s="165">
        <f>'Sh 12-30a'!C153</f>
        <v>3177602</v>
      </c>
      <c r="D92" s="165"/>
      <c r="E92" s="165">
        <v>0</v>
      </c>
      <c r="F92" s="165">
        <f t="shared" si="0"/>
        <v>3177602</v>
      </c>
      <c r="G92" s="165">
        <f>'Sh 12-30a'!D153</f>
        <v>2997374</v>
      </c>
      <c r="H92" s="167"/>
    </row>
    <row r="93" spans="1:8" ht="14.1" customHeight="1">
      <c r="A93" s="194" t="s">
        <v>459</v>
      </c>
      <c r="B93" s="191"/>
      <c r="C93" s="165">
        <f>'Sh 12-30a'!C300</f>
        <v>2722000</v>
      </c>
      <c r="D93" s="165"/>
      <c r="E93" s="165">
        <v>0</v>
      </c>
      <c r="F93" s="165">
        <f t="shared" si="0"/>
        <v>2722000</v>
      </c>
      <c r="G93" s="165">
        <f>'Sh 12-30a'!D300</f>
        <v>2722000</v>
      </c>
      <c r="H93" s="167"/>
    </row>
    <row r="94" spans="1:8" ht="14.1" customHeight="1">
      <c r="A94" s="196"/>
      <c r="B94" s="191"/>
      <c r="C94" s="165"/>
      <c r="D94" s="165"/>
      <c r="E94" s="165"/>
      <c r="F94" s="165"/>
      <c r="G94" s="165"/>
      <c r="H94" s="167"/>
    </row>
    <row r="95" spans="1:8" ht="14.1" customHeight="1">
      <c r="A95" s="196"/>
      <c r="B95" s="191"/>
      <c r="C95" s="165"/>
      <c r="D95" s="165"/>
      <c r="E95" s="165"/>
      <c r="F95" s="165"/>
      <c r="G95" s="165"/>
      <c r="H95" s="167"/>
    </row>
    <row r="96" spans="1:8" ht="14.1" customHeight="1">
      <c r="A96" s="196"/>
      <c r="B96" s="191"/>
      <c r="C96" s="165"/>
      <c r="D96" s="165"/>
      <c r="E96" s="165"/>
      <c r="F96" s="165"/>
      <c r="G96" s="165"/>
      <c r="H96" s="167"/>
    </row>
    <row r="97" spans="1:8" ht="14.1" customHeight="1">
      <c r="A97" s="196"/>
      <c r="B97" s="191"/>
      <c r="C97" s="165"/>
      <c r="D97" s="165"/>
      <c r="E97" s="165"/>
      <c r="F97" s="165"/>
      <c r="G97" s="165"/>
      <c r="H97" s="167"/>
    </row>
    <row r="98" spans="1:8" ht="14.1" customHeight="1">
      <c r="A98" s="196"/>
      <c r="B98" s="191"/>
      <c r="C98" s="165"/>
      <c r="D98" s="165"/>
      <c r="E98" s="165"/>
      <c r="F98" s="165"/>
      <c r="G98" s="165"/>
      <c r="H98" s="167"/>
    </row>
    <row r="99" spans="1:8" ht="14.1" customHeight="1">
      <c r="A99" s="194"/>
      <c r="B99" s="191"/>
      <c r="C99" s="165"/>
      <c r="D99" s="165"/>
      <c r="E99" s="165"/>
      <c r="F99" s="165"/>
      <c r="G99" s="165"/>
      <c r="H99" s="167"/>
    </row>
    <row r="100" spans="1:8" ht="14.1" customHeight="1">
      <c r="A100" s="194"/>
      <c r="B100" s="191"/>
      <c r="C100" s="165"/>
      <c r="D100" s="165"/>
      <c r="E100" s="165"/>
      <c r="F100" s="165"/>
      <c r="G100" s="165"/>
      <c r="H100" s="167"/>
    </row>
    <row r="101" spans="1:8" ht="14.1" customHeight="1">
      <c r="A101" s="194"/>
      <c r="B101" s="191"/>
      <c r="C101" s="165"/>
      <c r="D101" s="165"/>
      <c r="E101" s="165"/>
      <c r="F101" s="165"/>
      <c r="G101" s="165"/>
      <c r="H101" s="167"/>
    </row>
    <row r="102" spans="1:8" ht="14.1" customHeight="1">
      <c r="A102" s="194"/>
      <c r="B102" s="191"/>
      <c r="C102" s="165"/>
      <c r="D102" s="165"/>
      <c r="E102" s="165"/>
      <c r="F102" s="165"/>
      <c r="G102" s="165"/>
      <c r="H102" s="167"/>
    </row>
    <row r="103" spans="1:8" ht="14.1" customHeight="1">
      <c r="A103" s="194"/>
      <c r="B103" s="191"/>
      <c r="C103" s="165"/>
      <c r="D103" s="165"/>
      <c r="E103" s="165"/>
      <c r="F103" s="165"/>
      <c r="G103" s="165"/>
      <c r="H103" s="167"/>
    </row>
    <row r="104" spans="1:8" ht="14.1" customHeight="1">
      <c r="A104" s="195"/>
      <c r="B104" s="191"/>
      <c r="C104" s="165"/>
      <c r="D104" s="165"/>
      <c r="E104" s="165"/>
      <c r="F104" s="165"/>
      <c r="G104" s="165"/>
      <c r="H104" s="167"/>
    </row>
    <row r="105" spans="1:8" ht="14.1" customHeight="1">
      <c r="A105" s="195"/>
      <c r="B105" s="191"/>
      <c r="C105" s="165"/>
      <c r="D105" s="165"/>
      <c r="E105" s="165"/>
      <c r="F105" s="165"/>
      <c r="G105" s="165"/>
      <c r="H105" s="167"/>
    </row>
    <row r="106" spans="1:8" ht="14.1" customHeight="1">
      <c r="A106" s="195"/>
      <c r="B106" s="191"/>
      <c r="C106" s="165"/>
      <c r="D106" s="165"/>
      <c r="E106" s="165"/>
      <c r="F106" s="165"/>
      <c r="G106" s="165"/>
      <c r="H106" s="167"/>
    </row>
    <row r="107" spans="1:8" ht="14.1" customHeight="1">
      <c r="A107" s="194"/>
      <c r="B107" s="191"/>
      <c r="C107" s="165"/>
      <c r="D107" s="165"/>
      <c r="E107" s="165"/>
      <c r="F107" s="165"/>
      <c r="G107" s="165"/>
      <c r="H107" s="167"/>
    </row>
    <row r="108" spans="1:8" ht="14.1" customHeight="1">
      <c r="A108" s="197"/>
      <c r="B108" s="198"/>
      <c r="C108" s="199"/>
      <c r="D108" s="199"/>
      <c r="E108" s="199"/>
      <c r="F108" s="199"/>
      <c r="G108" s="199"/>
      <c r="H108" s="200"/>
    </row>
    <row r="109" spans="1:8" ht="14.1" customHeight="1">
      <c r="A109" s="864" t="s">
        <v>213</v>
      </c>
      <c r="B109" s="864"/>
      <c r="C109" s="864"/>
      <c r="D109" s="864"/>
      <c r="E109" s="864"/>
      <c r="F109" s="864"/>
      <c r="G109" s="864"/>
      <c r="H109" s="864"/>
    </row>
    <row r="110" spans="1:8" ht="14.1" customHeight="1">
      <c r="A110" s="201" t="s">
        <v>201</v>
      </c>
      <c r="B110" s="202"/>
      <c r="C110" s="202"/>
      <c r="D110" s="202"/>
      <c r="E110" s="202"/>
      <c r="F110" s="202"/>
      <c r="G110" s="202"/>
      <c r="H110" s="191"/>
    </row>
    <row r="111" spans="1:8" ht="14.1" customHeight="1">
      <c r="A111" s="203" t="s">
        <v>202</v>
      </c>
      <c r="B111" s="202"/>
      <c r="C111" s="202"/>
      <c r="D111" s="202"/>
      <c r="E111" s="202"/>
      <c r="F111" s="202"/>
      <c r="G111" s="202"/>
      <c r="H111" s="191"/>
    </row>
    <row r="112" spans="1:8" ht="14.1" customHeight="1">
      <c r="A112" s="877" t="s">
        <v>1333</v>
      </c>
      <c r="B112" s="878"/>
      <c r="C112" s="878"/>
      <c r="D112" s="878"/>
      <c r="E112" s="878"/>
      <c r="F112" s="878"/>
      <c r="G112" s="878"/>
      <c r="H112" s="878"/>
    </row>
    <row r="113" spans="1:8" ht="14.1" customHeight="1">
      <c r="A113" s="877" t="s">
        <v>1334</v>
      </c>
      <c r="B113" s="878"/>
      <c r="C113" s="878"/>
      <c r="D113" s="878"/>
      <c r="E113" s="878"/>
      <c r="F113" s="878"/>
      <c r="G113" s="878"/>
      <c r="H113" s="878"/>
    </row>
    <row r="114" spans="1:8" ht="14.1" customHeight="1">
      <c r="A114" s="877" t="s">
        <v>1335</v>
      </c>
      <c r="B114" s="878"/>
      <c r="C114" s="878"/>
      <c r="D114" s="878"/>
      <c r="E114" s="878"/>
      <c r="F114" s="878"/>
      <c r="G114" s="878"/>
      <c r="H114" s="878"/>
    </row>
    <row r="115" spans="1:8" ht="14.1" customHeight="1">
      <c r="A115" s="877" t="s">
        <v>1097</v>
      </c>
      <c r="B115" s="878"/>
      <c r="C115" s="878"/>
      <c r="D115" s="878"/>
      <c r="E115" s="878"/>
      <c r="F115" s="878"/>
      <c r="G115" s="878"/>
      <c r="H115" s="878"/>
    </row>
    <row r="116" spans="1:8" ht="15.95" customHeight="1">
      <c r="A116" s="252"/>
      <c r="B116" s="253"/>
      <c r="C116" s="253"/>
      <c r="D116" s="253"/>
      <c r="E116" s="253"/>
      <c r="F116" s="202"/>
      <c r="G116" s="202"/>
      <c r="H116" s="191"/>
    </row>
    <row r="117" spans="1:8" ht="14.1" customHeight="1">
      <c r="A117" s="669"/>
      <c r="B117" s="875" t="s">
        <v>288</v>
      </c>
      <c r="C117" s="876"/>
      <c r="D117" s="876"/>
      <c r="E117" s="876"/>
      <c r="F117" s="876"/>
      <c r="G117" s="201"/>
      <c r="H117" s="670"/>
    </row>
    <row r="118" spans="1:8" ht="14.1" customHeight="1">
      <c r="A118" s="669"/>
      <c r="B118" s="669"/>
      <c r="C118" s="671"/>
      <c r="D118" s="671"/>
      <c r="E118" s="671"/>
      <c r="F118" s="671"/>
      <c r="G118" s="201"/>
      <c r="H118" s="670"/>
    </row>
    <row r="119" spans="1:8" ht="14.1" customHeight="1">
      <c r="B119" s="243" t="s">
        <v>279</v>
      </c>
      <c r="C119" s="202"/>
      <c r="D119" s="202"/>
      <c r="E119" s="202"/>
      <c r="F119" s="202"/>
      <c r="G119" s="202"/>
      <c r="H119" s="191"/>
    </row>
    <row r="120" spans="1:8" ht="14.1" customHeight="1">
      <c r="A120" s="243"/>
      <c r="B120" s="202"/>
      <c r="C120" s="202"/>
      <c r="D120" s="202"/>
      <c r="E120" s="202"/>
      <c r="F120" s="202"/>
      <c r="G120" s="202"/>
      <c r="H120" s="191"/>
    </row>
    <row r="121" spans="1:8" ht="14.1" customHeight="1">
      <c r="B121" s="243" t="s">
        <v>280</v>
      </c>
      <c r="C121" s="202"/>
      <c r="D121" s="202"/>
      <c r="E121" s="202"/>
      <c r="F121" s="202"/>
      <c r="G121" s="202"/>
      <c r="H121" s="191"/>
    </row>
    <row r="122" spans="1:8" ht="14.1" customHeight="1">
      <c r="B122" s="241" t="s">
        <v>1163</v>
      </c>
      <c r="C122" s="202"/>
      <c r="D122" s="244"/>
      <c r="F122" s="293">
        <v>148208294</v>
      </c>
      <c r="G122" s="202"/>
      <c r="H122" s="191"/>
    </row>
    <row r="123" spans="1:8" ht="14.1" customHeight="1">
      <c r="B123" s="240" t="s">
        <v>1139</v>
      </c>
      <c r="C123" s="202"/>
      <c r="D123" s="244"/>
      <c r="F123" s="290">
        <v>0</v>
      </c>
      <c r="G123" s="202"/>
      <c r="H123" s="191"/>
    </row>
    <row r="124" spans="1:8" ht="14.1" customHeight="1">
      <c r="B124" s="240" t="s">
        <v>1072</v>
      </c>
      <c r="C124" s="202"/>
      <c r="D124" s="244"/>
      <c r="F124" s="290">
        <v>48554</v>
      </c>
      <c r="G124" s="202"/>
      <c r="H124" s="191"/>
    </row>
    <row r="125" spans="1:8" ht="14.1" customHeight="1">
      <c r="B125" s="240" t="s">
        <v>1223</v>
      </c>
      <c r="C125" s="202"/>
      <c r="D125" s="244"/>
      <c r="F125" s="290">
        <v>3378000</v>
      </c>
      <c r="G125" s="202"/>
      <c r="H125" s="191"/>
    </row>
    <row r="126" spans="1:8" ht="14.1" customHeight="1">
      <c r="B126" s="240" t="s">
        <v>348</v>
      </c>
      <c r="C126" s="202"/>
      <c r="D126" s="244"/>
      <c r="F126" s="290">
        <v>0</v>
      </c>
      <c r="G126" s="202"/>
      <c r="H126" s="191"/>
    </row>
    <row r="127" spans="1:8" ht="14.1" customHeight="1">
      <c r="B127" s="240" t="s">
        <v>1105</v>
      </c>
      <c r="C127" s="202"/>
      <c r="D127" s="244"/>
      <c r="F127" s="290">
        <v>0</v>
      </c>
      <c r="G127" s="202"/>
      <c r="H127" s="191"/>
    </row>
    <row r="128" spans="1:8" ht="14.1" customHeight="1">
      <c r="B128" s="241" t="s">
        <v>1224</v>
      </c>
      <c r="C128" s="202"/>
      <c r="D128" s="244"/>
      <c r="F128" s="249">
        <f>SUM(F122-F123-F124-F125-F126-F127)</f>
        <v>144781740</v>
      </c>
      <c r="G128" s="202"/>
      <c r="H128" s="191"/>
    </row>
    <row r="129" spans="2:8" ht="14.1" customHeight="1">
      <c r="B129" s="240" t="s">
        <v>1225</v>
      </c>
      <c r="C129" s="202"/>
      <c r="D129" s="244"/>
      <c r="F129" s="249">
        <f>F128*0.02</f>
        <v>2895634.8000000003</v>
      </c>
      <c r="G129" s="202"/>
      <c r="H129" s="191"/>
    </row>
    <row r="130" spans="2:8" ht="14.1" customHeight="1">
      <c r="B130" s="243" t="s">
        <v>1226</v>
      </c>
      <c r="C130" s="202"/>
      <c r="D130" s="244"/>
      <c r="F130" s="290">
        <f>F128+F129</f>
        <v>147677374.80000001</v>
      </c>
      <c r="G130" s="202"/>
      <c r="H130" s="191"/>
    </row>
    <row r="131" spans="2:8" ht="14.1" customHeight="1">
      <c r="B131" s="240" t="s">
        <v>1106</v>
      </c>
      <c r="C131" s="202"/>
      <c r="D131" s="244"/>
      <c r="F131" s="290">
        <v>0</v>
      </c>
      <c r="G131" s="202"/>
      <c r="H131" s="191"/>
    </row>
    <row r="132" spans="2:8" ht="14.1" customHeight="1">
      <c r="B132" s="243" t="s">
        <v>1227</v>
      </c>
      <c r="C132" s="202"/>
      <c r="D132" s="244"/>
      <c r="F132" s="251">
        <f>SUM(F128:F129)</f>
        <v>147677374.80000001</v>
      </c>
      <c r="G132" s="202"/>
      <c r="H132" s="191"/>
    </row>
    <row r="133" spans="2:8" ht="14.1" customHeight="1">
      <c r="B133" s="241" t="s">
        <v>281</v>
      </c>
      <c r="C133" s="202"/>
      <c r="D133" s="244"/>
      <c r="F133" s="246"/>
      <c r="G133" s="202"/>
      <c r="H133" s="191"/>
    </row>
    <row r="134" spans="2:8" ht="14.1" customHeight="1">
      <c r="B134" s="240" t="s">
        <v>1107</v>
      </c>
      <c r="C134" s="202"/>
      <c r="E134" s="294">
        <v>0</v>
      </c>
      <c r="F134" s="246"/>
      <c r="G134" s="202"/>
      <c r="H134" s="191"/>
    </row>
    <row r="135" spans="2:8" ht="14.1" customHeight="1">
      <c r="B135" s="240" t="s">
        <v>1228</v>
      </c>
      <c r="C135" s="202"/>
      <c r="E135" s="290">
        <v>1466754</v>
      </c>
      <c r="F135" s="246"/>
      <c r="G135" s="202"/>
      <c r="H135" s="191"/>
    </row>
    <row r="136" spans="2:8" ht="14.1" customHeight="1">
      <c r="B136" s="240" t="s">
        <v>1164</v>
      </c>
      <c r="C136" s="202"/>
      <c r="E136" s="290">
        <v>0</v>
      </c>
      <c r="F136" s="246"/>
      <c r="G136" s="202"/>
      <c r="H136" s="191"/>
    </row>
    <row r="137" spans="2:8" ht="14.1" customHeight="1">
      <c r="B137" s="240" t="s">
        <v>1108</v>
      </c>
      <c r="C137" s="202"/>
      <c r="E137" s="290">
        <v>0</v>
      </c>
      <c r="F137" s="246"/>
      <c r="G137" s="202"/>
      <c r="H137" s="191"/>
    </row>
    <row r="138" spans="2:8" ht="14.1" customHeight="1">
      <c r="B138" s="240" t="s">
        <v>1109</v>
      </c>
      <c r="C138" s="202"/>
      <c r="E138" s="290">
        <v>10000</v>
      </c>
      <c r="F138" s="246"/>
      <c r="G138" s="202"/>
      <c r="H138" s="191"/>
    </row>
    <row r="139" spans="2:8" ht="25.5" customHeight="1">
      <c r="B139" s="812" t="s">
        <v>1229</v>
      </c>
      <c r="C139" s="889"/>
      <c r="D139" s="890"/>
      <c r="E139" s="290">
        <v>3626753</v>
      </c>
      <c r="F139" s="246"/>
      <c r="G139" s="202"/>
      <c r="H139" s="191"/>
    </row>
    <row r="140" spans="2:8" ht="14.1" customHeight="1">
      <c r="B140" s="240" t="s">
        <v>217</v>
      </c>
      <c r="C140" s="202"/>
      <c r="E140" s="290">
        <v>0</v>
      </c>
      <c r="F140" s="246"/>
      <c r="G140" s="202"/>
      <c r="H140" s="191"/>
    </row>
    <row r="141" spans="2:8" ht="14.1" customHeight="1">
      <c r="B141" s="240" t="s">
        <v>1082</v>
      </c>
      <c r="C141" s="268"/>
      <c r="D141" s="269"/>
      <c r="E141" s="295">
        <v>56605</v>
      </c>
      <c r="F141" s="246"/>
      <c r="G141" s="202"/>
      <c r="H141" s="191"/>
    </row>
    <row r="142" spans="2:8" ht="15.95" customHeight="1">
      <c r="B142" s="240" t="s">
        <v>1165</v>
      </c>
      <c r="E142" s="296">
        <v>6973000</v>
      </c>
      <c r="F142" s="247"/>
      <c r="H142" s="170"/>
    </row>
    <row r="143" spans="2:8" ht="15.95" customHeight="1">
      <c r="B143" s="241" t="s">
        <v>1230</v>
      </c>
      <c r="E143" s="247"/>
      <c r="F143" s="248">
        <f>SUM(E134:E142)</f>
        <v>12133112</v>
      </c>
      <c r="H143" s="170"/>
    </row>
    <row r="144" spans="2:8" ht="15.95" customHeight="1">
      <c r="B144" s="241" t="s">
        <v>1231</v>
      </c>
      <c r="E144" s="247"/>
      <c r="F144" s="290">
        <v>575</v>
      </c>
      <c r="H144" s="170"/>
    </row>
    <row r="145" spans="1:8" ht="15.95" customHeight="1">
      <c r="B145" s="243" t="s">
        <v>1232</v>
      </c>
      <c r="E145" s="247"/>
      <c r="F145" s="293">
        <f>F132+F143-F144</f>
        <v>159809911.80000001</v>
      </c>
      <c r="H145" s="170"/>
    </row>
    <row r="146" spans="1:8" ht="15.95" customHeight="1">
      <c r="B146" s="256"/>
      <c r="C146" s="91"/>
      <c r="D146" s="108"/>
      <c r="E146" s="255"/>
      <c r="F146" s="247"/>
      <c r="H146" s="170"/>
    </row>
    <row r="147" spans="1:8" ht="15.95" customHeight="1">
      <c r="A147" s="242"/>
      <c r="D147" s="245"/>
      <c r="E147" s="247"/>
      <c r="H147" s="170"/>
    </row>
    <row r="148" spans="1:8" ht="15.95" customHeight="1">
      <c r="A148" s="242"/>
      <c r="D148" s="245"/>
      <c r="E148" s="247"/>
      <c r="H148" s="170"/>
    </row>
    <row r="149" spans="1:8" ht="15.95" customHeight="1">
      <c r="A149" s="242"/>
      <c r="D149" s="245"/>
      <c r="E149" s="247"/>
      <c r="H149" s="170"/>
    </row>
    <row r="150" spans="1:8" ht="15.95" customHeight="1">
      <c r="A150" s="242"/>
      <c r="D150" s="245"/>
      <c r="E150" s="247"/>
      <c r="H150" s="170"/>
    </row>
    <row r="151" spans="1:8" ht="15.75" customHeight="1">
      <c r="A151" s="242"/>
      <c r="D151" s="245"/>
      <c r="E151" s="247"/>
      <c r="H151" s="170"/>
    </row>
    <row r="152" spans="1:8" ht="15.95" customHeight="1">
      <c r="A152" s="242"/>
      <c r="D152" s="245"/>
      <c r="E152" s="247"/>
      <c r="H152" s="170"/>
    </row>
    <row r="153" spans="1:8" ht="15.95" customHeight="1">
      <c r="A153" s="809" t="s">
        <v>218</v>
      </c>
      <c r="B153" s="809"/>
      <c r="C153" s="809"/>
      <c r="D153" s="809"/>
      <c r="E153" s="809"/>
      <c r="F153" s="809"/>
      <c r="G153" s="809"/>
      <c r="H153" s="809"/>
    </row>
    <row r="154" spans="1:8" ht="15.95" customHeight="1">
      <c r="A154" s="669"/>
      <c r="B154" s="875"/>
      <c r="C154" s="876"/>
      <c r="D154" s="876"/>
      <c r="E154" s="876"/>
      <c r="F154" s="876"/>
      <c r="G154" s="201"/>
      <c r="H154" s="670"/>
    </row>
    <row r="155" spans="1:8" ht="15.95" customHeight="1">
      <c r="A155" s="669"/>
      <c r="B155" s="875" t="s">
        <v>219</v>
      </c>
      <c r="C155" s="876"/>
      <c r="D155" s="876"/>
      <c r="E155" s="876"/>
      <c r="F155" s="876"/>
      <c r="G155" s="201"/>
      <c r="H155" s="670"/>
    </row>
    <row r="156" spans="1:8" ht="15.95" customHeight="1">
      <c r="A156" s="118"/>
      <c r="B156" s="118"/>
      <c r="C156" s="91"/>
      <c r="D156" s="91"/>
      <c r="E156" s="91"/>
      <c r="F156" s="91"/>
      <c r="G156" s="202"/>
      <c r="H156" s="191"/>
    </row>
    <row r="157" spans="1:8" ht="15.95" customHeight="1">
      <c r="B157" s="243" t="s">
        <v>220</v>
      </c>
      <c r="C157" s="202"/>
      <c r="D157" s="202"/>
      <c r="E157" s="202"/>
      <c r="F157" s="202"/>
      <c r="G157" s="202"/>
      <c r="H157" s="191"/>
    </row>
    <row r="158" spans="1:8" ht="15.95" customHeight="1">
      <c r="A158" s="254"/>
      <c r="B158" s="254"/>
      <c r="C158" s="254"/>
      <c r="D158" s="254"/>
      <c r="E158" s="254"/>
      <c r="F158" s="254"/>
      <c r="G158" s="254"/>
      <c r="H158" s="254"/>
    </row>
    <row r="159" spans="1:8" ht="15.95" customHeight="1">
      <c r="B159" s="241" t="s">
        <v>282</v>
      </c>
      <c r="E159" s="247"/>
      <c r="F159" s="247"/>
      <c r="H159" s="170"/>
    </row>
    <row r="160" spans="1:8" ht="15.95" customHeight="1">
      <c r="B160" s="812" t="s">
        <v>283</v>
      </c>
      <c r="C160" s="813"/>
      <c r="D160" s="814"/>
      <c r="E160" s="815">
        <v>5725626</v>
      </c>
      <c r="F160" s="247"/>
      <c r="H160" s="170"/>
    </row>
    <row r="161" spans="1:8" ht="15.95" customHeight="1">
      <c r="B161" s="813"/>
      <c r="C161" s="813"/>
      <c r="D161" s="814"/>
      <c r="E161" s="816"/>
      <c r="F161" s="247"/>
      <c r="H161" s="170"/>
    </row>
    <row r="162" spans="1:8" ht="15.95" customHeight="1">
      <c r="B162" s="240" t="s">
        <v>284</v>
      </c>
      <c r="E162" s="289">
        <v>1.853</v>
      </c>
      <c r="F162" s="247"/>
      <c r="H162" s="170"/>
    </row>
    <row r="163" spans="1:8" ht="15.95" customHeight="1">
      <c r="B163" s="240" t="s">
        <v>285</v>
      </c>
      <c r="D163" s="247"/>
      <c r="F163" s="250">
        <f>E160*E162/100</f>
        <v>106095.84978</v>
      </c>
      <c r="H163" s="170"/>
    </row>
    <row r="164" spans="1:8" ht="15.95" customHeight="1">
      <c r="B164" s="240" t="s">
        <v>1336</v>
      </c>
      <c r="D164" s="247"/>
      <c r="F164" s="249"/>
      <c r="H164" s="170"/>
    </row>
    <row r="165" spans="1:8" ht="15.95" customHeight="1">
      <c r="B165" s="240" t="s">
        <v>1337</v>
      </c>
      <c r="D165" s="247"/>
      <c r="F165" s="249">
        <v>0</v>
      </c>
      <c r="H165" s="170"/>
    </row>
    <row r="166" spans="1:8" ht="15.95" customHeight="1">
      <c r="B166" s="240" t="s">
        <v>286</v>
      </c>
      <c r="D166" s="247"/>
      <c r="F166" s="290">
        <v>0</v>
      </c>
      <c r="H166" s="170"/>
    </row>
    <row r="167" spans="1:8" ht="15.95" customHeight="1">
      <c r="B167" s="288" t="s">
        <v>1233</v>
      </c>
      <c r="D167" s="247"/>
      <c r="F167" s="291">
        <f>F145+F163</f>
        <v>159916007.64978001</v>
      </c>
      <c r="H167" s="170"/>
    </row>
    <row r="168" spans="1:8" ht="15.95" customHeight="1">
      <c r="A168" s="257"/>
      <c r="B168" s="287" t="s">
        <v>1234</v>
      </c>
      <c r="C168" s="254"/>
      <c r="D168" s="254"/>
      <c r="E168" s="254"/>
      <c r="F168" s="291">
        <v>174293125</v>
      </c>
      <c r="G168" s="254"/>
      <c r="H168" s="254"/>
    </row>
    <row r="169" spans="1:8" ht="15.95" customHeight="1">
      <c r="A169" s="254"/>
      <c r="B169" s="287" t="s">
        <v>1211</v>
      </c>
      <c r="C169" s="254"/>
      <c r="D169" s="254"/>
      <c r="E169" s="254"/>
      <c r="F169" s="292">
        <f>F167-F168</f>
        <v>-14377117.350219995</v>
      </c>
      <c r="G169" s="254"/>
      <c r="H169" s="254"/>
    </row>
    <row r="170" spans="1:8" ht="15.95" customHeight="1">
      <c r="A170" s="254"/>
      <c r="C170" s="254"/>
      <c r="D170" s="254"/>
      <c r="E170" s="297"/>
      <c r="F170" s="254"/>
      <c r="G170" s="254"/>
      <c r="H170" s="254"/>
    </row>
    <row r="171" spans="1:8" ht="15.95" customHeight="1">
      <c r="A171" s="254"/>
      <c r="B171" s="254"/>
      <c r="C171" s="254"/>
      <c r="D171" s="254"/>
      <c r="E171" s="254"/>
      <c r="F171" s="254"/>
      <c r="G171" s="254"/>
      <c r="H171" s="254"/>
    </row>
    <row r="172" spans="1:8" ht="15.95" customHeight="1">
      <c r="A172" s="254"/>
      <c r="B172" s="254"/>
      <c r="C172" s="254"/>
      <c r="D172" s="254"/>
      <c r="E172" s="254"/>
      <c r="F172" s="254"/>
      <c r="G172" s="254"/>
      <c r="H172" s="254"/>
    </row>
    <row r="173" spans="1:8" ht="15.95" customHeight="1">
      <c r="A173" s="254"/>
      <c r="B173" s="254"/>
      <c r="C173" s="254"/>
      <c r="D173" s="254"/>
      <c r="E173" s="254"/>
      <c r="F173" s="254"/>
      <c r="G173" s="254"/>
      <c r="H173" s="254"/>
    </row>
    <row r="174" spans="1:8" ht="15.95" customHeight="1">
      <c r="A174" s="254"/>
      <c r="B174" s="254"/>
      <c r="C174" s="254"/>
      <c r="D174" s="254"/>
      <c r="E174" s="254"/>
      <c r="F174" s="254"/>
      <c r="G174" s="254"/>
      <c r="H174" s="254"/>
    </row>
    <row r="175" spans="1:8" ht="15.95" customHeight="1">
      <c r="A175" s="254"/>
      <c r="B175" s="254"/>
      <c r="C175" s="254"/>
      <c r="D175" s="254"/>
      <c r="E175" s="254"/>
      <c r="F175" s="254"/>
      <c r="G175" s="254"/>
      <c r="H175" s="254"/>
    </row>
    <row r="176" spans="1:8" ht="15.95" customHeight="1">
      <c r="A176" s="254"/>
      <c r="B176" s="254"/>
      <c r="C176" s="254"/>
      <c r="D176" s="254"/>
      <c r="E176" s="254"/>
      <c r="F176" s="254"/>
      <c r="G176" s="254"/>
      <c r="H176" s="254"/>
    </row>
    <row r="177" spans="1:8" ht="15.95" customHeight="1">
      <c r="A177" s="254"/>
      <c r="B177" s="254"/>
      <c r="C177" s="254"/>
      <c r="D177" s="254"/>
      <c r="E177" s="254"/>
      <c r="F177" s="254"/>
      <c r="G177" s="254"/>
      <c r="H177" s="254"/>
    </row>
    <row r="178" spans="1:8" ht="15.95" customHeight="1">
      <c r="A178" s="254"/>
      <c r="B178" s="254"/>
      <c r="C178" s="254"/>
      <c r="D178" s="254"/>
      <c r="E178" s="254"/>
      <c r="F178" s="254"/>
      <c r="G178" s="254"/>
      <c r="H178" s="254"/>
    </row>
    <row r="179" spans="1:8" ht="15.95" customHeight="1">
      <c r="A179" s="254"/>
      <c r="B179" s="254"/>
      <c r="C179" s="254"/>
      <c r="D179" s="254"/>
      <c r="E179" s="254"/>
      <c r="F179" s="254"/>
      <c r="G179" s="254"/>
      <c r="H179" s="254"/>
    </row>
    <row r="180" spans="1:8" ht="15.95" customHeight="1">
      <c r="A180" s="254"/>
      <c r="B180" s="254"/>
      <c r="C180" s="254"/>
      <c r="D180" s="254"/>
      <c r="E180" s="254"/>
      <c r="F180" s="254"/>
      <c r="G180" s="254"/>
      <c r="H180" s="254"/>
    </row>
    <row r="181" spans="1:8" ht="15.95" customHeight="1">
      <c r="A181" s="254"/>
      <c r="B181" s="254"/>
      <c r="C181" s="254"/>
      <c r="D181" s="254"/>
      <c r="E181" s="254"/>
      <c r="F181" s="254"/>
      <c r="G181" s="254"/>
      <c r="H181" s="254"/>
    </row>
    <row r="182" spans="1:8" ht="15.95" customHeight="1">
      <c r="A182" s="254"/>
      <c r="B182" s="254"/>
      <c r="C182" s="254"/>
      <c r="D182" s="254"/>
      <c r="E182" s="254"/>
      <c r="F182" s="254"/>
      <c r="G182" s="254"/>
      <c r="H182" s="254"/>
    </row>
    <row r="183" spans="1:8" ht="15.95" customHeight="1">
      <c r="A183" s="254"/>
      <c r="B183" s="254"/>
      <c r="C183" s="254"/>
      <c r="D183" s="254"/>
      <c r="E183" s="254"/>
      <c r="F183" s="254"/>
      <c r="G183" s="254"/>
      <c r="H183" s="254"/>
    </row>
    <row r="184" spans="1:8" ht="15.95" customHeight="1">
      <c r="A184" s="254"/>
      <c r="B184" s="254"/>
      <c r="C184" s="254"/>
      <c r="D184" s="254"/>
      <c r="E184" s="254"/>
      <c r="F184" s="254"/>
      <c r="G184" s="254"/>
      <c r="H184" s="254"/>
    </row>
    <row r="185" spans="1:8" ht="15.95" customHeight="1">
      <c r="A185" s="254"/>
      <c r="B185" s="254"/>
      <c r="C185" s="254"/>
      <c r="D185" s="254"/>
      <c r="E185" s="254"/>
      <c r="F185" s="254"/>
      <c r="G185" s="254"/>
      <c r="H185" s="254"/>
    </row>
    <row r="186" spans="1:8" ht="15.95" customHeight="1">
      <c r="A186" s="254"/>
      <c r="B186" s="254"/>
      <c r="C186" s="254"/>
      <c r="D186" s="254"/>
      <c r="E186" s="254"/>
      <c r="F186" s="254"/>
      <c r="G186" s="254"/>
      <c r="H186" s="254"/>
    </row>
    <row r="187" spans="1:8" ht="15.95" customHeight="1">
      <c r="A187" s="254"/>
      <c r="B187" s="254"/>
      <c r="C187" s="254"/>
      <c r="D187" s="254"/>
      <c r="E187" s="254"/>
      <c r="F187" s="254"/>
      <c r="G187" s="254"/>
      <c r="H187" s="254"/>
    </row>
    <row r="188" spans="1:8" ht="15.95" customHeight="1">
      <c r="A188" s="809" t="s">
        <v>1149</v>
      </c>
      <c r="B188" s="809"/>
      <c r="C188" s="809"/>
      <c r="D188" s="809"/>
      <c r="E188" s="809"/>
      <c r="F188" s="809"/>
      <c r="G188" s="809"/>
      <c r="H188" s="809"/>
    </row>
    <row r="189" spans="1:8" ht="24.95" customHeight="1">
      <c r="A189" s="798" t="s">
        <v>732</v>
      </c>
      <c r="B189" s="798"/>
      <c r="C189" s="798"/>
      <c r="D189" s="798"/>
      <c r="E189" s="798"/>
      <c r="F189" s="798"/>
      <c r="G189" s="798"/>
      <c r="H189" s="798"/>
    </row>
    <row r="190" spans="1:8" ht="24.95" customHeight="1">
      <c r="A190" s="798"/>
      <c r="B190" s="798"/>
      <c r="C190" s="798"/>
      <c r="D190" s="798"/>
      <c r="E190" s="798"/>
      <c r="F190" s="798"/>
      <c r="G190" s="798"/>
      <c r="H190" s="798"/>
    </row>
    <row r="191" spans="1:8" ht="24.95" customHeight="1">
      <c r="A191" s="799" t="s">
        <v>272</v>
      </c>
      <c r="B191" s="799"/>
      <c r="C191" s="799"/>
      <c r="D191" s="799"/>
      <c r="E191" s="799"/>
      <c r="F191" s="799"/>
      <c r="G191" s="799"/>
      <c r="H191" s="799"/>
    </row>
    <row r="192" spans="1:8" ht="24.95" customHeight="1">
      <c r="F192" s="800" t="s">
        <v>733</v>
      </c>
      <c r="G192" s="800"/>
      <c r="H192" s="800"/>
    </row>
    <row r="193" spans="1:8" ht="24.95" customHeight="1">
      <c r="F193" s="800"/>
      <c r="G193" s="800"/>
      <c r="H193" s="800"/>
    </row>
    <row r="194" spans="1:8" ht="24.95" customHeight="1">
      <c r="A194" s="807" t="s">
        <v>918</v>
      </c>
      <c r="B194" s="807"/>
      <c r="C194" s="807"/>
      <c r="D194" s="807" t="s">
        <v>734</v>
      </c>
      <c r="E194" s="808" t="s">
        <v>735</v>
      </c>
      <c r="F194" s="807" t="s">
        <v>736</v>
      </c>
      <c r="G194" s="807" t="s">
        <v>737</v>
      </c>
      <c r="H194" s="807" t="s">
        <v>738</v>
      </c>
    </row>
    <row r="195" spans="1:8" ht="24.95" customHeight="1">
      <c r="A195" s="807"/>
      <c r="B195" s="807"/>
      <c r="C195" s="807"/>
      <c r="D195" s="807"/>
      <c r="E195" s="808"/>
      <c r="F195" s="807"/>
      <c r="G195" s="807"/>
      <c r="H195" s="807"/>
    </row>
    <row r="196" spans="1:8" ht="24.95" customHeight="1">
      <c r="A196" s="801" t="s">
        <v>325</v>
      </c>
      <c r="B196" s="802"/>
      <c r="C196" s="803"/>
      <c r="D196" s="206"/>
      <c r="E196" s="166"/>
      <c r="F196" s="207" t="s">
        <v>1068</v>
      </c>
      <c r="G196" s="183"/>
      <c r="H196" s="183"/>
    </row>
    <row r="197" spans="1:8" ht="24.95" customHeight="1">
      <c r="A197" s="801" t="s">
        <v>326</v>
      </c>
      <c r="B197" s="802"/>
      <c r="C197" s="803"/>
      <c r="D197" s="206"/>
      <c r="E197" s="166"/>
      <c r="F197" s="207" t="s">
        <v>1068</v>
      </c>
      <c r="G197" s="183"/>
      <c r="H197" s="183"/>
    </row>
    <row r="198" spans="1:8" ht="24.95" customHeight="1">
      <c r="A198" s="801" t="s">
        <v>327</v>
      </c>
      <c r="B198" s="802"/>
      <c r="C198" s="803"/>
      <c r="D198" s="206"/>
      <c r="E198" s="166"/>
      <c r="F198" s="207" t="s">
        <v>1068</v>
      </c>
      <c r="G198" s="183"/>
      <c r="H198" s="183"/>
    </row>
    <row r="199" spans="1:8" ht="24.95" customHeight="1">
      <c r="A199" s="801" t="s">
        <v>328</v>
      </c>
      <c r="B199" s="802"/>
      <c r="C199" s="803"/>
      <c r="D199" s="206"/>
      <c r="E199" s="166"/>
      <c r="F199" s="207" t="s">
        <v>1068</v>
      </c>
      <c r="G199" s="183"/>
      <c r="H199" s="183"/>
    </row>
    <row r="200" spans="1:8" ht="24.95" customHeight="1">
      <c r="A200" s="801" t="s">
        <v>329</v>
      </c>
      <c r="B200" s="802"/>
      <c r="C200" s="803"/>
      <c r="D200" s="206"/>
      <c r="E200" s="166"/>
      <c r="F200" s="207" t="s">
        <v>1068</v>
      </c>
      <c r="G200" s="183"/>
      <c r="H200" s="183"/>
    </row>
    <row r="201" spans="1:8" ht="24.95" customHeight="1">
      <c r="A201" s="801" t="s">
        <v>330</v>
      </c>
      <c r="B201" s="802"/>
      <c r="C201" s="803"/>
      <c r="D201" s="206"/>
      <c r="E201" s="166"/>
      <c r="F201" s="207" t="s">
        <v>1068</v>
      </c>
      <c r="G201" s="183"/>
      <c r="H201" s="183"/>
    </row>
    <row r="202" spans="1:8" ht="24.95" customHeight="1">
      <c r="A202" s="801" t="s">
        <v>331</v>
      </c>
      <c r="B202" s="802"/>
      <c r="C202" s="803"/>
      <c r="D202" s="206"/>
      <c r="E202" s="166"/>
      <c r="F202" s="207" t="s">
        <v>1068</v>
      </c>
      <c r="G202" s="183"/>
      <c r="H202" s="183"/>
    </row>
    <row r="203" spans="1:8" ht="24.95" customHeight="1">
      <c r="A203" s="801" t="s">
        <v>332</v>
      </c>
      <c r="B203" s="802"/>
      <c r="C203" s="803"/>
      <c r="D203" s="206"/>
      <c r="E203" s="166"/>
      <c r="F203" s="207" t="s">
        <v>1068</v>
      </c>
      <c r="G203" s="183"/>
      <c r="H203" s="183"/>
    </row>
    <row r="204" spans="1:8" ht="24.95" customHeight="1">
      <c r="A204" s="801" t="s">
        <v>333</v>
      </c>
      <c r="B204" s="802"/>
      <c r="C204" s="803"/>
      <c r="D204" s="206"/>
      <c r="E204" s="166"/>
      <c r="F204" s="261" t="s">
        <v>1068</v>
      </c>
      <c r="G204" s="183"/>
      <c r="H204" s="183"/>
    </row>
    <row r="205" spans="1:8" ht="24.95" customHeight="1">
      <c r="A205" s="801" t="s">
        <v>334</v>
      </c>
      <c r="B205" s="802"/>
      <c r="C205" s="803"/>
      <c r="D205" s="206"/>
      <c r="E205" s="166"/>
      <c r="F205" s="207" t="s">
        <v>1068</v>
      </c>
      <c r="G205" s="183"/>
      <c r="H205" s="183"/>
    </row>
    <row r="206" spans="1:8" ht="24.95" customHeight="1">
      <c r="A206" s="801"/>
      <c r="B206" s="802"/>
      <c r="C206" s="803"/>
      <c r="D206" s="206"/>
      <c r="E206" s="166"/>
      <c r="F206" s="207"/>
      <c r="G206" s="183"/>
      <c r="H206" s="183"/>
    </row>
    <row r="207" spans="1:8" ht="24.95" customHeight="1">
      <c r="A207" s="801"/>
      <c r="B207" s="802"/>
      <c r="C207" s="803"/>
      <c r="D207" s="206"/>
      <c r="E207" s="166"/>
      <c r="F207" s="207"/>
      <c r="G207" s="183"/>
      <c r="H207" s="183"/>
    </row>
    <row r="210" spans="1:8" ht="24.95" customHeight="1">
      <c r="A210" s="809" t="s">
        <v>739</v>
      </c>
      <c r="B210" s="809"/>
      <c r="C210" s="809"/>
      <c r="D210" s="809"/>
      <c r="E210" s="809"/>
      <c r="F210" s="809"/>
      <c r="G210" s="809"/>
      <c r="H210" s="809"/>
    </row>
    <row r="211" spans="1:8" ht="24.95" customHeight="1">
      <c r="A211" s="810" t="s">
        <v>732</v>
      </c>
      <c r="B211" s="810"/>
      <c r="C211" s="810"/>
      <c r="D211" s="810"/>
      <c r="E211" s="810"/>
      <c r="F211" s="810"/>
      <c r="G211" s="810"/>
      <c r="H211" s="810"/>
    </row>
    <row r="212" spans="1:8" ht="24.95" customHeight="1">
      <c r="A212" s="810"/>
      <c r="B212" s="810"/>
      <c r="C212" s="810"/>
      <c r="D212" s="810"/>
      <c r="E212" s="810"/>
      <c r="F212" s="810"/>
      <c r="G212" s="810"/>
      <c r="H212" s="810"/>
    </row>
    <row r="213" spans="1:8" ht="24.95" customHeight="1">
      <c r="A213" s="811" t="s">
        <v>272</v>
      </c>
      <c r="B213" s="811"/>
      <c r="C213" s="811"/>
      <c r="D213" s="811"/>
      <c r="E213" s="811"/>
      <c r="F213" s="811"/>
      <c r="G213" s="811"/>
      <c r="H213" s="811"/>
    </row>
    <row r="214" spans="1:8" ht="24.95" customHeight="1">
      <c r="F214" s="800" t="s">
        <v>733</v>
      </c>
      <c r="G214" s="800"/>
      <c r="H214" s="800"/>
    </row>
    <row r="215" spans="1:8" ht="24.95" customHeight="1">
      <c r="F215" s="800"/>
      <c r="G215" s="800"/>
      <c r="H215" s="800"/>
    </row>
    <row r="216" spans="1:8" ht="24.95" customHeight="1">
      <c r="A216" s="807" t="s">
        <v>918</v>
      </c>
      <c r="B216" s="807"/>
      <c r="C216" s="807"/>
      <c r="D216" s="807" t="s">
        <v>734</v>
      </c>
      <c r="E216" s="808" t="s">
        <v>735</v>
      </c>
      <c r="F216" s="807" t="s">
        <v>736</v>
      </c>
      <c r="G216" s="807" t="s">
        <v>737</v>
      </c>
      <c r="H216" s="807" t="s">
        <v>738</v>
      </c>
    </row>
    <row r="217" spans="1:8" ht="24.95" customHeight="1">
      <c r="A217" s="807"/>
      <c r="B217" s="807"/>
      <c r="C217" s="807"/>
      <c r="D217" s="807"/>
      <c r="E217" s="808"/>
      <c r="F217" s="807"/>
      <c r="G217" s="807"/>
      <c r="H217" s="807"/>
    </row>
    <row r="218" spans="1:8" ht="24.95" customHeight="1">
      <c r="A218" s="801"/>
      <c r="B218" s="802"/>
      <c r="C218" s="803"/>
      <c r="D218" s="183"/>
      <c r="E218" s="166"/>
      <c r="F218" s="183"/>
      <c r="G218" s="183"/>
      <c r="H218" s="183"/>
    </row>
    <row r="219" spans="1:8" ht="24.95" customHeight="1">
      <c r="A219" s="801"/>
      <c r="B219" s="802"/>
      <c r="C219" s="803"/>
      <c r="D219" s="183"/>
      <c r="E219" s="166"/>
      <c r="F219" s="183"/>
      <c r="G219" s="183"/>
      <c r="H219" s="183"/>
    </row>
    <row r="220" spans="1:8" ht="24.95" customHeight="1">
      <c r="A220" s="801"/>
      <c r="B220" s="802"/>
      <c r="C220" s="803"/>
      <c r="D220" s="183"/>
      <c r="E220" s="166"/>
      <c r="F220" s="183"/>
      <c r="G220" s="183"/>
      <c r="H220" s="183"/>
    </row>
    <row r="221" spans="1:8" ht="24.95" customHeight="1">
      <c r="A221" s="801"/>
      <c r="B221" s="802"/>
      <c r="C221" s="803"/>
      <c r="D221" s="183"/>
      <c r="E221" s="166"/>
      <c r="F221" s="183"/>
      <c r="G221" s="183"/>
      <c r="H221" s="183"/>
    </row>
    <row r="222" spans="1:8" ht="24.95" customHeight="1">
      <c r="A222" s="801"/>
      <c r="B222" s="802"/>
      <c r="C222" s="803"/>
      <c r="D222" s="183"/>
      <c r="E222" s="166"/>
      <c r="F222" s="183"/>
      <c r="G222" s="183"/>
      <c r="H222" s="183"/>
    </row>
    <row r="223" spans="1:8" ht="24.95" customHeight="1">
      <c r="A223" s="801"/>
      <c r="B223" s="802"/>
      <c r="C223" s="803"/>
      <c r="D223" s="183"/>
      <c r="E223" s="166"/>
      <c r="F223" s="183"/>
      <c r="G223" s="183"/>
      <c r="H223" s="183"/>
    </row>
    <row r="224" spans="1:8" ht="24.95" customHeight="1">
      <c r="A224" s="801"/>
      <c r="B224" s="802"/>
      <c r="C224" s="803"/>
      <c r="D224" s="183"/>
      <c r="E224" s="166"/>
      <c r="F224" s="183"/>
      <c r="G224" s="183"/>
      <c r="H224" s="183"/>
    </row>
    <row r="225" spans="1:8" ht="24.95" customHeight="1">
      <c r="A225" s="801"/>
      <c r="B225" s="802"/>
      <c r="C225" s="803"/>
      <c r="D225" s="183"/>
      <c r="E225" s="166"/>
      <c r="F225" s="183"/>
      <c r="G225" s="183"/>
      <c r="H225" s="183"/>
    </row>
    <row r="226" spans="1:8" ht="24.95" customHeight="1">
      <c r="A226" s="801"/>
      <c r="B226" s="802"/>
      <c r="C226" s="803"/>
      <c r="D226" s="183"/>
      <c r="E226" s="166"/>
      <c r="F226" s="183"/>
      <c r="G226" s="183"/>
      <c r="H226" s="183"/>
    </row>
    <row r="227" spans="1:8" ht="24.95" customHeight="1">
      <c r="A227" s="801"/>
      <c r="B227" s="802"/>
      <c r="C227" s="803"/>
      <c r="D227" s="183"/>
      <c r="E227" s="166"/>
      <c r="F227" s="183"/>
      <c r="G227" s="183"/>
      <c r="H227" s="183"/>
    </row>
    <row r="228" spans="1:8" ht="24.95" customHeight="1">
      <c r="A228" s="817" t="s">
        <v>1338</v>
      </c>
      <c r="B228" s="818"/>
      <c r="C228" s="819"/>
      <c r="D228" s="208">
        <f>SUM(D196:D227)</f>
        <v>0</v>
      </c>
      <c r="E228" s="209">
        <f>SUM(E196:E227)</f>
        <v>0</v>
      </c>
      <c r="F228" s="183"/>
      <c r="G228" s="183"/>
      <c r="H228" s="183"/>
    </row>
    <row r="229" spans="1:8" ht="24.95" customHeight="1">
      <c r="A229" s="804" t="s">
        <v>1339</v>
      </c>
      <c r="B229" s="805"/>
      <c r="C229" s="805"/>
      <c r="D229" s="806"/>
      <c r="E229" s="209">
        <v>0</v>
      </c>
      <c r="F229" s="183"/>
      <c r="G229" s="183"/>
      <c r="H229" s="183"/>
    </row>
    <row r="230" spans="1:8" ht="24.95" customHeight="1">
      <c r="A230" s="804" t="s">
        <v>1340</v>
      </c>
      <c r="B230" s="805"/>
      <c r="C230" s="805"/>
      <c r="D230" s="806"/>
      <c r="E230" s="209">
        <v>0</v>
      </c>
      <c r="F230" s="183"/>
      <c r="G230" s="183"/>
      <c r="H230" s="183"/>
    </row>
    <row r="231" spans="1:8" ht="24.95" customHeight="1">
      <c r="A231" s="809" t="s">
        <v>740</v>
      </c>
      <c r="B231" s="809"/>
      <c r="C231" s="809"/>
      <c r="D231" s="809"/>
      <c r="E231" s="809"/>
      <c r="F231" s="809"/>
      <c r="G231" s="809"/>
      <c r="H231" s="809"/>
    </row>
  </sheetData>
  <mergeCells count="135">
    <mergeCell ref="B154:F154"/>
    <mergeCell ref="B155:F155"/>
    <mergeCell ref="D70:E70"/>
    <mergeCell ref="A73:H73"/>
    <mergeCell ref="A78:H78"/>
    <mergeCell ref="B117:F117"/>
    <mergeCell ref="C79:F80"/>
    <mergeCell ref="A109:H109"/>
    <mergeCell ref="A84:B84"/>
    <mergeCell ref="E83:E84"/>
    <mergeCell ref="C83:C84"/>
    <mergeCell ref="A115:H115"/>
    <mergeCell ref="B139:D139"/>
    <mergeCell ref="A153:H153"/>
    <mergeCell ref="A77:H77"/>
    <mergeCell ref="A75:H75"/>
    <mergeCell ref="A76:C76"/>
    <mergeCell ref="A112:H112"/>
    <mergeCell ref="A113:H113"/>
    <mergeCell ref="A114:H114"/>
    <mergeCell ref="G79:H80"/>
    <mergeCell ref="F83:F84"/>
    <mergeCell ref="G83:G84"/>
    <mergeCell ref="A1:G1"/>
    <mergeCell ref="A21:H21"/>
    <mergeCell ref="E11:G11"/>
    <mergeCell ref="A3:G3"/>
    <mergeCell ref="A4:G4"/>
    <mergeCell ref="A5:G5"/>
    <mergeCell ref="A6:G6"/>
    <mergeCell ref="A10:G10"/>
    <mergeCell ref="A11:D11"/>
    <mergeCell ref="A12:G12"/>
    <mergeCell ref="A20:G20"/>
    <mergeCell ref="A2:G2"/>
    <mergeCell ref="A7:G7"/>
    <mergeCell ref="A8:G8"/>
    <mergeCell ref="A9:G9"/>
    <mergeCell ref="A13:G13"/>
    <mergeCell ref="A14:G14"/>
    <mergeCell ref="A15:G15"/>
    <mergeCell ref="A16:G16"/>
    <mergeCell ref="A17:G17"/>
    <mergeCell ref="A18:G18"/>
    <mergeCell ref="A19:G19"/>
    <mergeCell ref="A44:D44"/>
    <mergeCell ref="A45:H45"/>
    <mergeCell ref="A46:H46"/>
    <mergeCell ref="F49:G49"/>
    <mergeCell ref="A41:H41"/>
    <mergeCell ref="A32:B32"/>
    <mergeCell ref="G34:H34"/>
    <mergeCell ref="G35:H35"/>
    <mergeCell ref="G40:H40"/>
    <mergeCell ref="A34:F34"/>
    <mergeCell ref="G37:H37"/>
    <mergeCell ref="G38:H38"/>
    <mergeCell ref="G39:H39"/>
    <mergeCell ref="A39:B39"/>
    <mergeCell ref="A36:B36"/>
    <mergeCell ref="A37:B37"/>
    <mergeCell ref="A38:B38"/>
    <mergeCell ref="A40:B40"/>
    <mergeCell ref="A35:B35"/>
    <mergeCell ref="G23:H23"/>
    <mergeCell ref="G27:H27"/>
    <mergeCell ref="C42:F43"/>
    <mergeCell ref="G42:H43"/>
    <mergeCell ref="G36:H36"/>
    <mergeCell ref="E28:E29"/>
    <mergeCell ref="F28:F29"/>
    <mergeCell ref="A22:F22"/>
    <mergeCell ref="G22:H22"/>
    <mergeCell ref="A27:B27"/>
    <mergeCell ref="A24:B24"/>
    <mergeCell ref="A23:B23"/>
    <mergeCell ref="G24:H24"/>
    <mergeCell ref="G28:H28"/>
    <mergeCell ref="G29:H29"/>
    <mergeCell ref="G32:H33"/>
    <mergeCell ref="A33:B33"/>
    <mergeCell ref="A28:B29"/>
    <mergeCell ref="C28:C29"/>
    <mergeCell ref="A30:B30"/>
    <mergeCell ref="D28:D29"/>
    <mergeCell ref="G25:H26"/>
    <mergeCell ref="G30:H31"/>
    <mergeCell ref="A188:H188"/>
    <mergeCell ref="B160:D161"/>
    <mergeCell ref="E160:E161"/>
    <mergeCell ref="A231:H231"/>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18:C218"/>
    <mergeCell ref="A219:C219"/>
    <mergeCell ref="A220:C220"/>
    <mergeCell ref="A216:C217"/>
    <mergeCell ref="A230:D230"/>
    <mergeCell ref="A226:C226"/>
    <mergeCell ref="A227:C227"/>
    <mergeCell ref="A228:C228"/>
    <mergeCell ref="A189:H190"/>
    <mergeCell ref="A191:H191"/>
    <mergeCell ref="F192:H193"/>
    <mergeCell ref="A221:C221"/>
    <mergeCell ref="A222:C222"/>
    <mergeCell ref="A223:C223"/>
    <mergeCell ref="A225:C225"/>
    <mergeCell ref="A229:D229"/>
    <mergeCell ref="A224:C224"/>
    <mergeCell ref="D216:D217"/>
    <mergeCell ref="E216:E217"/>
    <mergeCell ref="F216:F217"/>
    <mergeCell ref="A210:H210"/>
    <mergeCell ref="A211:H212"/>
    <mergeCell ref="A213:H213"/>
    <mergeCell ref="F214:H215"/>
    <mergeCell ref="G216:G217"/>
    <mergeCell ref="H216:H217"/>
    <mergeCell ref="A194:C195"/>
    <mergeCell ref="D194:D195"/>
    <mergeCell ref="E194:E195"/>
    <mergeCell ref="F194:F195"/>
    <mergeCell ref="G194:G195"/>
    <mergeCell ref="H194:H195"/>
  </mergeCells>
  <phoneticPr fontId="0" type="noConversion"/>
  <pageMargins left="0.75" right="0.5" top="0.5" bottom="0.5" header="0.5" footer="0"/>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T26"/>
  <sheetViews>
    <sheetView view="pageBreakPreview" zoomScale="90" zoomScaleNormal="80" zoomScaleSheetLayoutView="90" workbookViewId="0">
      <selection activeCell="G17" sqref="G17"/>
    </sheetView>
  </sheetViews>
  <sheetFormatPr defaultRowHeight="12.75"/>
  <cols>
    <col min="1" max="4" width="3.85546875" customWidth="1"/>
    <col min="6" max="6" width="8.5703125" customWidth="1"/>
  </cols>
  <sheetData>
    <row r="1" spans="1:20" ht="21.95" customHeight="1">
      <c r="A1" s="678" t="s">
        <v>1148</v>
      </c>
      <c r="B1" s="693"/>
      <c r="C1" s="693"/>
      <c r="D1" s="693"/>
      <c r="E1" s="693"/>
      <c r="F1" s="693"/>
      <c r="G1" s="693"/>
      <c r="H1" s="693"/>
      <c r="I1" s="693"/>
      <c r="J1" s="693"/>
      <c r="K1" s="693"/>
      <c r="L1" s="693"/>
      <c r="M1" s="693"/>
      <c r="N1" s="693"/>
      <c r="O1" s="693"/>
      <c r="P1" s="693"/>
      <c r="Q1" s="693"/>
      <c r="R1" s="693"/>
      <c r="S1" s="693"/>
      <c r="T1" s="693"/>
    </row>
    <row r="2" spans="1:20" ht="21.95" customHeight="1" thickBot="1">
      <c r="A2" s="678" t="s">
        <v>1147</v>
      </c>
      <c r="B2" s="693"/>
      <c r="C2" s="693"/>
      <c r="D2" s="693"/>
      <c r="E2" s="693"/>
      <c r="F2" s="693"/>
      <c r="G2" s="693"/>
      <c r="H2" s="693"/>
      <c r="I2" s="693"/>
      <c r="J2" s="693"/>
      <c r="K2" s="693"/>
      <c r="L2" s="693"/>
      <c r="M2" s="693"/>
      <c r="N2" s="693"/>
      <c r="O2" s="693"/>
      <c r="P2" s="693"/>
      <c r="Q2" s="693"/>
      <c r="R2" s="693"/>
      <c r="S2" s="693"/>
      <c r="T2" s="693"/>
    </row>
    <row r="3" spans="1:20" ht="160.5" thickBot="1">
      <c r="A3" s="278" t="s">
        <v>1140</v>
      </c>
      <c r="B3" s="279" t="s">
        <v>1141</v>
      </c>
      <c r="C3" s="280" t="s">
        <v>1142</v>
      </c>
      <c r="D3" s="281" t="s">
        <v>1143</v>
      </c>
      <c r="E3" s="98"/>
      <c r="F3" s="282"/>
      <c r="G3" s="904" t="s">
        <v>1144</v>
      </c>
      <c r="H3" s="905"/>
      <c r="I3" s="905"/>
      <c r="J3" s="905"/>
      <c r="K3" s="906"/>
      <c r="L3" s="907" t="s">
        <v>1145</v>
      </c>
      <c r="M3" s="908"/>
      <c r="N3" s="907" t="s">
        <v>1146</v>
      </c>
      <c r="O3" s="909"/>
      <c r="P3" s="909"/>
      <c r="Q3" s="909"/>
      <c r="R3" s="909"/>
      <c r="S3" s="909"/>
      <c r="T3" s="910"/>
    </row>
    <row r="4" spans="1:20" ht="21.95" customHeight="1" thickBot="1">
      <c r="A4" s="286" t="s">
        <v>1068</v>
      </c>
      <c r="B4" s="284"/>
      <c r="C4" s="284"/>
      <c r="D4" s="284"/>
      <c r="E4" s="903" t="s">
        <v>1509</v>
      </c>
      <c r="F4" s="901"/>
      <c r="G4" s="901"/>
      <c r="H4" s="901"/>
      <c r="I4" s="901"/>
      <c r="J4" s="901"/>
      <c r="K4" s="900"/>
      <c r="L4" s="916">
        <v>-672800</v>
      </c>
      <c r="M4" s="917"/>
      <c r="N4" s="903" t="s">
        <v>1511</v>
      </c>
      <c r="O4" s="901"/>
      <c r="P4" s="901"/>
      <c r="Q4" s="901"/>
      <c r="R4" s="901"/>
      <c r="S4" s="901"/>
      <c r="T4" s="902"/>
    </row>
    <row r="5" spans="1:20" ht="30.75" customHeight="1" thickBot="1">
      <c r="A5" s="286" t="s">
        <v>1068</v>
      </c>
      <c r="B5" s="284"/>
      <c r="C5" s="284"/>
      <c r="D5" s="284"/>
      <c r="E5" s="903" t="s">
        <v>1512</v>
      </c>
      <c r="F5" s="901"/>
      <c r="G5" s="901"/>
      <c r="H5" s="901"/>
      <c r="I5" s="901"/>
      <c r="J5" s="901"/>
      <c r="K5" s="900"/>
      <c r="L5" s="916">
        <v>-1650000</v>
      </c>
      <c r="M5" s="917"/>
      <c r="N5" s="913" t="s">
        <v>1513</v>
      </c>
      <c r="O5" s="914"/>
      <c r="P5" s="914"/>
      <c r="Q5" s="914"/>
      <c r="R5" s="914"/>
      <c r="S5" s="914"/>
      <c r="T5" s="915"/>
    </row>
    <row r="6" spans="1:20" ht="54.75" customHeight="1" thickBot="1">
      <c r="A6" s="286"/>
      <c r="B6" s="284"/>
      <c r="C6" s="650" t="s">
        <v>1068</v>
      </c>
      <c r="D6" s="284"/>
      <c r="E6" s="903" t="s">
        <v>200</v>
      </c>
      <c r="F6" s="901"/>
      <c r="G6" s="901"/>
      <c r="H6" s="901"/>
      <c r="I6" s="901"/>
      <c r="J6" s="901"/>
      <c r="K6" s="900"/>
      <c r="L6" s="916">
        <v>3187852</v>
      </c>
      <c r="M6" s="917"/>
      <c r="N6" s="913" t="s">
        <v>1514</v>
      </c>
      <c r="O6" s="914"/>
      <c r="P6" s="914"/>
      <c r="Q6" s="914"/>
      <c r="R6" s="914"/>
      <c r="S6" s="914"/>
      <c r="T6" s="915"/>
    </row>
    <row r="7" spans="1:20" ht="58.5" customHeight="1" thickBot="1">
      <c r="A7" s="286"/>
      <c r="B7" s="284"/>
      <c r="C7" s="284"/>
      <c r="D7" s="650" t="s">
        <v>1068</v>
      </c>
      <c r="E7" s="903" t="s">
        <v>1510</v>
      </c>
      <c r="F7" s="901"/>
      <c r="G7" s="901"/>
      <c r="H7" s="901"/>
      <c r="I7" s="901"/>
      <c r="J7" s="901"/>
      <c r="K7" s="900"/>
      <c r="L7" s="911" t="s">
        <v>1516</v>
      </c>
      <c r="M7" s="912"/>
      <c r="N7" s="913" t="s">
        <v>1517</v>
      </c>
      <c r="O7" s="914"/>
      <c r="P7" s="914"/>
      <c r="Q7" s="914"/>
      <c r="R7" s="914"/>
      <c r="S7" s="914"/>
      <c r="T7" s="915"/>
    </row>
    <row r="8" spans="1:20" ht="21.95" customHeight="1" thickBot="1">
      <c r="A8" s="286"/>
      <c r="B8" s="284"/>
      <c r="C8" s="284"/>
      <c r="D8" s="284"/>
      <c r="E8" s="903"/>
      <c r="F8" s="901"/>
      <c r="G8" s="901"/>
      <c r="H8" s="901"/>
      <c r="I8" s="901"/>
      <c r="J8" s="901"/>
      <c r="K8" s="900"/>
      <c r="L8" s="916"/>
      <c r="M8" s="917"/>
      <c r="N8" s="899"/>
      <c r="O8" s="901"/>
      <c r="P8" s="901"/>
      <c r="Q8" s="901"/>
      <c r="R8" s="901"/>
      <c r="S8" s="901"/>
      <c r="T8" s="902"/>
    </row>
    <row r="9" spans="1:20" ht="21.95" customHeight="1" thickBot="1">
      <c r="A9" s="285"/>
      <c r="B9" s="284"/>
      <c r="C9" s="284"/>
      <c r="D9" s="284"/>
      <c r="E9" s="899"/>
      <c r="F9" s="901"/>
      <c r="G9" s="901"/>
      <c r="H9" s="901"/>
      <c r="I9" s="901"/>
      <c r="J9" s="901"/>
      <c r="K9" s="900"/>
      <c r="L9" s="916"/>
      <c r="M9" s="917"/>
      <c r="N9" s="899"/>
      <c r="O9" s="901"/>
      <c r="P9" s="901"/>
      <c r="Q9" s="901"/>
      <c r="R9" s="901"/>
      <c r="S9" s="901"/>
      <c r="T9" s="902"/>
    </row>
    <row r="10" spans="1:20" ht="21.95" customHeight="1" thickBot="1">
      <c r="A10" s="285"/>
      <c r="B10" s="284"/>
      <c r="C10" s="284"/>
      <c r="D10" s="284"/>
      <c r="E10" s="899"/>
      <c r="F10" s="901"/>
      <c r="G10" s="901"/>
      <c r="H10" s="901"/>
      <c r="I10" s="901"/>
      <c r="J10" s="901"/>
      <c r="K10" s="900"/>
      <c r="L10" s="916"/>
      <c r="M10" s="917"/>
      <c r="N10" s="899"/>
      <c r="O10" s="901"/>
      <c r="P10" s="901"/>
      <c r="Q10" s="901"/>
      <c r="R10" s="901"/>
      <c r="S10" s="901"/>
      <c r="T10" s="902"/>
    </row>
    <row r="11" spans="1:20" ht="21.95" customHeight="1">
      <c r="A11" s="285"/>
      <c r="B11" s="284"/>
      <c r="C11" s="284"/>
      <c r="D11" s="284"/>
      <c r="E11" s="899"/>
      <c r="F11" s="901"/>
      <c r="G11" s="901"/>
      <c r="H11" s="901"/>
      <c r="I11" s="901"/>
      <c r="J11" s="901"/>
      <c r="K11" s="900"/>
      <c r="L11" s="916"/>
      <c r="M11" s="917"/>
      <c r="N11" s="899"/>
      <c r="O11" s="901"/>
      <c r="P11" s="901"/>
      <c r="Q11" s="901"/>
      <c r="R11" s="901"/>
      <c r="S11" s="901"/>
      <c r="T11" s="902"/>
    </row>
    <row r="12" spans="1:20" ht="21.95" customHeight="1">
      <c r="A12" s="283"/>
      <c r="B12" s="284"/>
      <c r="C12" s="284"/>
      <c r="D12" s="284"/>
      <c r="E12" s="899"/>
      <c r="F12" s="901"/>
      <c r="G12" s="901"/>
      <c r="H12" s="901"/>
      <c r="I12" s="901"/>
      <c r="J12" s="901"/>
      <c r="K12" s="900"/>
      <c r="L12" s="899"/>
      <c r="M12" s="900"/>
      <c r="N12" s="899"/>
      <c r="O12" s="901"/>
      <c r="P12" s="901"/>
      <c r="Q12" s="901"/>
      <c r="R12" s="901"/>
      <c r="S12" s="901"/>
      <c r="T12" s="902"/>
    </row>
    <row r="13" spans="1:20" ht="21.95" customHeight="1">
      <c r="A13" s="283"/>
      <c r="B13" s="284"/>
      <c r="C13" s="284"/>
      <c r="D13" s="284"/>
      <c r="E13" s="899"/>
      <c r="F13" s="901"/>
      <c r="G13" s="901"/>
      <c r="H13" s="901"/>
      <c r="I13" s="901"/>
      <c r="J13" s="901"/>
      <c r="K13" s="900"/>
      <c r="L13" s="899"/>
      <c r="M13" s="900"/>
      <c r="N13" s="899"/>
      <c r="O13" s="901"/>
      <c r="P13" s="901"/>
      <c r="Q13" s="901"/>
      <c r="R13" s="901"/>
      <c r="S13" s="901"/>
      <c r="T13" s="902"/>
    </row>
    <row r="14" spans="1:20" ht="21.95" customHeight="1">
      <c r="A14" s="283"/>
      <c r="B14" s="284"/>
      <c r="C14" s="284"/>
      <c r="D14" s="284"/>
      <c r="E14" s="899"/>
      <c r="F14" s="901"/>
      <c r="G14" s="901"/>
      <c r="H14" s="901"/>
      <c r="I14" s="901"/>
      <c r="J14" s="901"/>
      <c r="K14" s="900"/>
      <c r="L14" s="899"/>
      <c r="M14" s="900"/>
      <c r="N14" s="899"/>
      <c r="O14" s="901"/>
      <c r="P14" s="901"/>
      <c r="Q14" s="901"/>
      <c r="R14" s="901"/>
      <c r="S14" s="901"/>
      <c r="T14" s="902"/>
    </row>
    <row r="15" spans="1:20" ht="21.95" customHeight="1">
      <c r="A15" s="677" t="s">
        <v>287</v>
      </c>
      <c r="B15" s="677"/>
      <c r="C15" s="677"/>
      <c r="D15" s="677"/>
      <c r="E15" s="677"/>
      <c r="F15" s="677"/>
      <c r="G15" s="677"/>
      <c r="H15" s="677"/>
      <c r="I15" s="677"/>
      <c r="J15" s="677"/>
      <c r="K15" s="677"/>
      <c r="L15" s="677"/>
      <c r="M15" s="677"/>
      <c r="N15" s="677"/>
      <c r="O15" s="677"/>
      <c r="P15" s="677"/>
      <c r="Q15" s="677"/>
      <c r="R15" s="677"/>
      <c r="S15" s="677"/>
      <c r="T15" s="677"/>
    </row>
    <row r="16" spans="1:20" ht="21.95" customHeight="1"/>
    <row r="17" spans="5:6" ht="21.95" customHeight="1">
      <c r="E17" s="83"/>
      <c r="F17" s="83"/>
    </row>
    <row r="18" spans="5:6" ht="21.95" customHeight="1">
      <c r="E18" s="83"/>
      <c r="F18" s="83"/>
    </row>
    <row r="19" spans="5:6" ht="21.95" customHeight="1">
      <c r="E19" s="83"/>
      <c r="F19" s="83"/>
    </row>
    <row r="20" spans="5:6" ht="21.95" customHeight="1">
      <c r="E20" s="83"/>
      <c r="F20" s="83"/>
    </row>
    <row r="21" spans="5:6" ht="21.95" customHeight="1">
      <c r="E21" s="83"/>
      <c r="F21" s="83"/>
    </row>
    <row r="22" spans="5:6" ht="21.95" customHeight="1">
      <c r="E22" s="83"/>
      <c r="F22" s="83"/>
    </row>
    <row r="23" spans="5:6" ht="21.95" customHeight="1">
      <c r="E23" s="83"/>
      <c r="F23" s="83"/>
    </row>
    <row r="24" spans="5:6" ht="21.95" customHeight="1">
      <c r="E24" s="83"/>
      <c r="F24" s="83"/>
    </row>
    <row r="25" spans="5:6" ht="21.95" customHeight="1">
      <c r="E25" s="83"/>
      <c r="F25" s="83"/>
    </row>
    <row r="26" spans="5:6" ht="21.95" customHeight="1">
      <c r="E26" s="83"/>
      <c r="F26" s="83"/>
    </row>
  </sheetData>
  <mergeCells count="39">
    <mergeCell ref="E11:K11"/>
    <mergeCell ref="L8:M8"/>
    <mergeCell ref="L9:M9"/>
    <mergeCell ref="L10:M10"/>
    <mergeCell ref="L11:M11"/>
    <mergeCell ref="E8:K8"/>
    <mergeCell ref="L7:M7"/>
    <mergeCell ref="N4:T4"/>
    <mergeCell ref="N5:T5"/>
    <mergeCell ref="N6:T6"/>
    <mergeCell ref="N7:T7"/>
    <mergeCell ref="L4:M4"/>
    <mergeCell ref="L5:M5"/>
    <mergeCell ref="L6:M6"/>
    <mergeCell ref="A15:T15"/>
    <mergeCell ref="A1:T1"/>
    <mergeCell ref="A2:T2"/>
    <mergeCell ref="E4:K4"/>
    <mergeCell ref="E5:K5"/>
    <mergeCell ref="E6:K6"/>
    <mergeCell ref="E7:K7"/>
    <mergeCell ref="N9:T9"/>
    <mergeCell ref="E12:K12"/>
    <mergeCell ref="E13:K13"/>
    <mergeCell ref="E14:K14"/>
    <mergeCell ref="G3:K3"/>
    <mergeCell ref="L3:M3"/>
    <mergeCell ref="N3:T3"/>
    <mergeCell ref="E9:K9"/>
    <mergeCell ref="E10:K10"/>
    <mergeCell ref="L12:M12"/>
    <mergeCell ref="L13:M13"/>
    <mergeCell ref="L14:M14"/>
    <mergeCell ref="N8:T8"/>
    <mergeCell ref="N10:T10"/>
    <mergeCell ref="N11:T11"/>
    <mergeCell ref="N12:T12"/>
    <mergeCell ref="N13:T13"/>
    <mergeCell ref="N14:T1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N504"/>
  <sheetViews>
    <sheetView view="pageBreakPreview" topLeftCell="A22" zoomScale="80" zoomScaleNormal="75" zoomScaleSheetLayoutView="80" workbookViewId="0">
      <selection activeCell="C490" sqref="C490"/>
    </sheetView>
  </sheetViews>
  <sheetFormatPr defaultRowHeight="24.95" customHeight="1"/>
  <cols>
    <col min="1" max="1" width="92.42578125" style="308" customWidth="1"/>
    <col min="2" max="2" width="9.7109375" style="308" customWidth="1"/>
    <col min="3" max="3" width="20.7109375" style="308" customWidth="1"/>
    <col min="4" max="5" width="19.7109375" style="308" customWidth="1"/>
    <col min="6" max="6" width="12.42578125" style="308" bestFit="1" customWidth="1"/>
    <col min="7" max="7" width="15.140625" style="308" customWidth="1"/>
    <col min="8" max="8" width="15.28515625" style="308" customWidth="1"/>
    <col min="9" max="9" width="11.5703125" style="308" bestFit="1" customWidth="1"/>
    <col min="10" max="10" width="14.85546875" style="308" bestFit="1" customWidth="1"/>
    <col min="11" max="11" width="15.85546875" style="308" customWidth="1"/>
    <col min="12" max="12" width="15.140625" style="308" customWidth="1"/>
    <col min="13" max="13" width="14.7109375" style="308" customWidth="1"/>
    <col min="14" max="14" width="13.5703125" style="308" bestFit="1" customWidth="1"/>
    <col min="15" max="15" width="12.42578125" style="308" bestFit="1" customWidth="1"/>
    <col min="16" max="16384" width="9.140625" style="308"/>
  </cols>
  <sheetData>
    <row r="1" spans="1:5" ht="24.95" customHeight="1" thickBot="1">
      <c r="A1" s="521" t="s">
        <v>794</v>
      </c>
      <c r="B1" s="303"/>
      <c r="C1" s="303"/>
      <c r="D1" s="303"/>
      <c r="E1" s="521" t="s">
        <v>795</v>
      </c>
    </row>
    <row r="2" spans="1:5" ht="24.95" customHeight="1" thickTop="1">
      <c r="A2" s="522"/>
      <c r="B2" s="523"/>
      <c r="C2" s="524" t="s">
        <v>804</v>
      </c>
      <c r="D2" s="304"/>
      <c r="E2" s="525" t="s">
        <v>803</v>
      </c>
    </row>
    <row r="3" spans="1:5" ht="24.95" customHeight="1">
      <c r="A3" s="526" t="s">
        <v>792</v>
      </c>
      <c r="B3" s="305" t="s">
        <v>793</v>
      </c>
      <c r="C3" s="305" t="s">
        <v>1341</v>
      </c>
      <c r="D3" s="305" t="s">
        <v>1306</v>
      </c>
      <c r="E3" s="527" t="s">
        <v>1342</v>
      </c>
    </row>
    <row r="4" spans="1:5" ht="24.95" customHeight="1">
      <c r="A4" s="528" t="s">
        <v>788</v>
      </c>
      <c r="B4" s="529" t="s">
        <v>791</v>
      </c>
      <c r="C4" s="301">
        <v>250000</v>
      </c>
      <c r="D4" s="301">
        <v>1900000</v>
      </c>
      <c r="E4" s="530">
        <v>1900000</v>
      </c>
    </row>
    <row r="5" spans="1:5" ht="24.95" customHeight="1">
      <c r="A5" s="528" t="s">
        <v>789</v>
      </c>
      <c r="B5" s="529" t="s">
        <v>805</v>
      </c>
      <c r="C5" s="301">
        <v>0</v>
      </c>
      <c r="D5" s="301">
        <v>0</v>
      </c>
      <c r="E5" s="530">
        <v>0</v>
      </c>
    </row>
    <row r="6" spans="1:5" ht="24.95" customHeight="1">
      <c r="A6" s="531" t="s">
        <v>234</v>
      </c>
      <c r="B6" s="529" t="s">
        <v>806</v>
      </c>
      <c r="C6" s="301">
        <f>SUM(C4:C5)</f>
        <v>250000</v>
      </c>
      <c r="D6" s="301">
        <f>SUM(D4:D5)</f>
        <v>1900000</v>
      </c>
      <c r="E6" s="530">
        <f>SUM(E4:E5)</f>
        <v>1900000</v>
      </c>
    </row>
    <row r="7" spans="1:5" ht="24.95" customHeight="1">
      <c r="A7" s="528" t="s">
        <v>790</v>
      </c>
      <c r="B7" s="529" t="s">
        <v>816</v>
      </c>
      <c r="C7" s="301" t="s">
        <v>817</v>
      </c>
      <c r="D7" s="301" t="s">
        <v>818</v>
      </c>
      <c r="E7" s="530" t="s">
        <v>818</v>
      </c>
    </row>
    <row r="8" spans="1:5" ht="24.95" customHeight="1">
      <c r="A8" s="460" t="s">
        <v>819</v>
      </c>
      <c r="B8" s="529" t="s">
        <v>816</v>
      </c>
      <c r="C8" s="301" t="s">
        <v>817</v>
      </c>
      <c r="D8" s="301" t="s">
        <v>818</v>
      </c>
      <c r="E8" s="530" t="s">
        <v>818</v>
      </c>
    </row>
    <row r="9" spans="1:5" ht="24.95" customHeight="1">
      <c r="A9" s="532" t="s">
        <v>1166</v>
      </c>
      <c r="B9" s="529" t="s">
        <v>807</v>
      </c>
      <c r="C9" s="301">
        <v>213800</v>
      </c>
      <c r="D9" s="301">
        <v>205800</v>
      </c>
      <c r="E9" s="530">
        <v>213987.5</v>
      </c>
    </row>
    <row r="10" spans="1:5" ht="24.95" customHeight="1">
      <c r="A10" s="532" t="s">
        <v>820</v>
      </c>
      <c r="B10" s="529" t="s">
        <v>808</v>
      </c>
      <c r="C10" s="301">
        <v>136800</v>
      </c>
      <c r="D10" s="301">
        <v>145000</v>
      </c>
      <c r="E10" s="530">
        <v>136984.20000000001</v>
      </c>
    </row>
    <row r="11" spans="1:5" ht="24.95" customHeight="1">
      <c r="A11" s="460" t="s">
        <v>821</v>
      </c>
      <c r="B11" s="529" t="s">
        <v>809</v>
      </c>
      <c r="C11" s="301"/>
      <c r="D11" s="301"/>
      <c r="E11" s="530"/>
    </row>
    <row r="12" spans="1:5" ht="24.95" customHeight="1">
      <c r="A12" s="460" t="s">
        <v>822</v>
      </c>
      <c r="B12" s="529" t="s">
        <v>816</v>
      </c>
      <c r="C12" s="301" t="s">
        <v>817</v>
      </c>
      <c r="D12" s="301" t="s">
        <v>818</v>
      </c>
      <c r="E12" s="530" t="s">
        <v>818</v>
      </c>
    </row>
    <row r="13" spans="1:5" ht="24.95" customHeight="1">
      <c r="A13" s="532" t="s">
        <v>823</v>
      </c>
      <c r="B13" s="529" t="s">
        <v>810</v>
      </c>
      <c r="C13" s="301">
        <v>4141100</v>
      </c>
      <c r="D13" s="301">
        <v>4813900</v>
      </c>
      <c r="E13" s="530">
        <v>4141270.98</v>
      </c>
    </row>
    <row r="14" spans="1:5" ht="24.95" customHeight="1">
      <c r="A14" s="532" t="s">
        <v>820</v>
      </c>
      <c r="B14" s="529" t="s">
        <v>811</v>
      </c>
      <c r="C14" s="301"/>
      <c r="D14" s="301"/>
      <c r="E14" s="530"/>
    </row>
    <row r="15" spans="1:5" ht="24.95" customHeight="1">
      <c r="A15" s="460" t="s">
        <v>565</v>
      </c>
      <c r="B15" s="529" t="s">
        <v>812</v>
      </c>
      <c r="C15" s="301">
        <v>1965300</v>
      </c>
      <c r="D15" s="301">
        <v>2009000</v>
      </c>
      <c r="E15" s="530">
        <v>1965475.26</v>
      </c>
    </row>
    <row r="16" spans="1:5" ht="24.95" customHeight="1">
      <c r="A16" s="460" t="s">
        <v>1400</v>
      </c>
      <c r="B16" s="529" t="s">
        <v>812</v>
      </c>
      <c r="C16" s="301">
        <v>330100</v>
      </c>
      <c r="D16" s="301">
        <v>234200</v>
      </c>
      <c r="E16" s="530">
        <v>330276.65999999997</v>
      </c>
    </row>
    <row r="17" spans="1:5" ht="24.95" customHeight="1">
      <c r="A17" s="460" t="s">
        <v>825</v>
      </c>
      <c r="B17" s="529" t="s">
        <v>815</v>
      </c>
      <c r="C17" s="301">
        <v>128400</v>
      </c>
      <c r="D17" s="301">
        <v>113500</v>
      </c>
      <c r="E17" s="530">
        <v>128490</v>
      </c>
    </row>
    <row r="18" spans="1:5" ht="24.95" customHeight="1">
      <c r="A18" s="460" t="s">
        <v>485</v>
      </c>
      <c r="B18" s="529" t="s">
        <v>814</v>
      </c>
      <c r="C18" s="301">
        <v>12700</v>
      </c>
      <c r="D18" s="301">
        <v>24900</v>
      </c>
      <c r="E18" s="530">
        <v>12835.2</v>
      </c>
    </row>
    <row r="19" spans="1:5" ht="24.95" customHeight="1">
      <c r="A19" s="460" t="s">
        <v>826</v>
      </c>
      <c r="B19" s="529" t="s">
        <v>813</v>
      </c>
      <c r="C19" s="301">
        <v>723300</v>
      </c>
      <c r="D19" s="301">
        <v>753400</v>
      </c>
      <c r="E19" s="530">
        <v>723454.95</v>
      </c>
    </row>
    <row r="20" spans="1:5" ht="24.95" customHeight="1" thickBot="1">
      <c r="A20" s="533"/>
      <c r="B20" s="534"/>
      <c r="C20" s="306"/>
      <c r="D20" s="306"/>
      <c r="E20" s="535"/>
    </row>
    <row r="21" spans="1:5" ht="24.95" customHeight="1" thickTop="1">
      <c r="A21" s="536" t="s">
        <v>429</v>
      </c>
      <c r="B21" s="537"/>
      <c r="C21" s="307"/>
      <c r="D21" s="307"/>
      <c r="E21" s="307"/>
    </row>
    <row r="22" spans="1:5" ht="24.95" customHeight="1">
      <c r="A22" s="538" t="s">
        <v>371</v>
      </c>
    </row>
    <row r="23" spans="1:5" ht="24.95" customHeight="1" thickBot="1">
      <c r="A23" s="521" t="s">
        <v>857</v>
      </c>
      <c r="B23" s="303"/>
      <c r="C23" s="303"/>
      <c r="D23" s="303"/>
      <c r="E23" s="521" t="s">
        <v>795</v>
      </c>
    </row>
    <row r="24" spans="1:5" ht="24.95" customHeight="1" thickTop="1">
      <c r="A24" s="522"/>
      <c r="B24" s="539"/>
      <c r="C24" s="524" t="s">
        <v>804</v>
      </c>
      <c r="D24" s="304"/>
      <c r="E24" s="525" t="s">
        <v>803</v>
      </c>
    </row>
    <row r="25" spans="1:5" ht="24.95" customHeight="1">
      <c r="A25" s="526" t="s">
        <v>792</v>
      </c>
      <c r="B25" s="305" t="s">
        <v>793</v>
      </c>
      <c r="C25" s="305" t="s">
        <v>1341</v>
      </c>
      <c r="D25" s="305" t="s">
        <v>1306</v>
      </c>
      <c r="E25" s="527" t="s">
        <v>1342</v>
      </c>
    </row>
    <row r="26" spans="1:5" ht="24.95" customHeight="1">
      <c r="A26" s="528" t="s">
        <v>824</v>
      </c>
      <c r="B26" s="309" t="s">
        <v>816</v>
      </c>
      <c r="C26" s="309" t="s">
        <v>817</v>
      </c>
      <c r="D26" s="309" t="s">
        <v>817</v>
      </c>
      <c r="E26" s="540" t="s">
        <v>817</v>
      </c>
    </row>
    <row r="27" spans="1:5" ht="24.95" customHeight="1">
      <c r="A27" s="460" t="s">
        <v>566</v>
      </c>
      <c r="B27" s="529" t="s">
        <v>832</v>
      </c>
      <c r="C27" s="301">
        <v>337800</v>
      </c>
      <c r="D27" s="301">
        <v>362300</v>
      </c>
      <c r="E27" s="530">
        <v>337919.3</v>
      </c>
    </row>
    <row r="28" spans="1:5" ht="24.95" customHeight="1">
      <c r="A28" s="460" t="s">
        <v>567</v>
      </c>
      <c r="B28" s="529" t="s">
        <v>833</v>
      </c>
      <c r="C28" s="301">
        <v>219000</v>
      </c>
      <c r="D28" s="301">
        <v>112800</v>
      </c>
      <c r="E28" s="530">
        <v>219099.93</v>
      </c>
    </row>
    <row r="29" spans="1:5" ht="24.95" customHeight="1">
      <c r="A29" s="460" t="s">
        <v>828</v>
      </c>
      <c r="B29" s="529" t="s">
        <v>809</v>
      </c>
      <c r="C29" s="301">
        <v>32200</v>
      </c>
      <c r="D29" s="301">
        <v>30000</v>
      </c>
      <c r="E29" s="530">
        <v>32395.43</v>
      </c>
    </row>
    <row r="30" spans="1:5" ht="24.95" customHeight="1">
      <c r="A30" s="460" t="s">
        <v>829</v>
      </c>
      <c r="B30" s="529" t="s">
        <v>809</v>
      </c>
      <c r="C30" s="301">
        <v>3124500</v>
      </c>
      <c r="D30" s="301">
        <v>3133800</v>
      </c>
      <c r="E30" s="530">
        <v>3124842.59</v>
      </c>
    </row>
    <row r="31" spans="1:5" ht="24.95" customHeight="1">
      <c r="A31" s="460" t="s">
        <v>830</v>
      </c>
      <c r="B31" s="529" t="s">
        <v>809</v>
      </c>
      <c r="C31" s="301">
        <v>137900</v>
      </c>
      <c r="D31" s="301">
        <v>105100</v>
      </c>
      <c r="E31" s="530">
        <v>138068.07</v>
      </c>
    </row>
    <row r="32" spans="1:5" ht="24.95" customHeight="1">
      <c r="A32" s="460" t="s">
        <v>831</v>
      </c>
      <c r="B32" s="529" t="s">
        <v>812</v>
      </c>
      <c r="C32" s="301">
        <v>9128200</v>
      </c>
      <c r="D32" s="301">
        <v>8759711</v>
      </c>
      <c r="E32" s="530">
        <v>9128344.75</v>
      </c>
    </row>
    <row r="33" spans="1:5" ht="24.95" customHeight="1">
      <c r="A33" s="460" t="s">
        <v>24</v>
      </c>
      <c r="B33" s="529" t="s">
        <v>812</v>
      </c>
      <c r="C33" s="301">
        <v>967800</v>
      </c>
      <c r="D33" s="301">
        <v>758800</v>
      </c>
      <c r="E33" s="530">
        <v>968062.15</v>
      </c>
    </row>
    <row r="34" spans="1:5" ht="24.95" customHeight="1">
      <c r="A34" s="460" t="s">
        <v>834</v>
      </c>
      <c r="B34" s="529" t="s">
        <v>836</v>
      </c>
      <c r="C34" s="301">
        <v>827300</v>
      </c>
      <c r="D34" s="301">
        <v>482300</v>
      </c>
      <c r="E34" s="530">
        <v>827436.15</v>
      </c>
    </row>
    <row r="35" spans="1:5" ht="24.95" customHeight="1">
      <c r="A35" s="460" t="s">
        <v>835</v>
      </c>
      <c r="B35" s="529" t="s">
        <v>837</v>
      </c>
      <c r="C35" s="301">
        <v>117200</v>
      </c>
      <c r="D35" s="301">
        <v>128000</v>
      </c>
      <c r="E35" s="530">
        <v>117375</v>
      </c>
    </row>
    <row r="36" spans="1:5" ht="24.95" customHeight="1">
      <c r="A36" s="460"/>
      <c r="B36" s="529"/>
      <c r="C36" s="301"/>
      <c r="D36" s="301"/>
      <c r="E36" s="530"/>
    </row>
    <row r="37" spans="1:5" ht="24.95" customHeight="1">
      <c r="A37" s="541"/>
      <c r="B37" s="529"/>
      <c r="C37" s="301"/>
      <c r="D37" s="301"/>
      <c r="E37" s="530"/>
    </row>
    <row r="38" spans="1:5" ht="24.95" customHeight="1">
      <c r="A38" s="460"/>
      <c r="B38" s="529"/>
      <c r="C38" s="301"/>
      <c r="D38" s="301"/>
      <c r="E38" s="530"/>
    </row>
    <row r="39" spans="1:5" ht="24.95" customHeight="1">
      <c r="A39" s="460"/>
      <c r="B39" s="529"/>
      <c r="C39" s="301"/>
      <c r="D39" s="301"/>
      <c r="E39" s="530"/>
    </row>
    <row r="40" spans="1:5" ht="24.95" customHeight="1">
      <c r="A40" s="541"/>
      <c r="B40" s="529"/>
      <c r="C40" s="301"/>
      <c r="D40" s="301"/>
      <c r="E40" s="530"/>
    </row>
    <row r="41" spans="1:5" ht="24.95" customHeight="1">
      <c r="A41" s="541"/>
      <c r="B41" s="529"/>
      <c r="C41" s="301"/>
      <c r="D41" s="301"/>
      <c r="E41" s="530"/>
    </row>
    <row r="42" spans="1:5" ht="24.95" customHeight="1">
      <c r="A42" s="541"/>
      <c r="B42" s="529"/>
      <c r="C42" s="301"/>
      <c r="D42" s="301"/>
      <c r="E42" s="530"/>
    </row>
    <row r="43" spans="1:5" ht="24.95" customHeight="1" thickBot="1">
      <c r="A43" s="542" t="s">
        <v>1167</v>
      </c>
      <c r="B43" s="543" t="s">
        <v>50</v>
      </c>
      <c r="C43" s="306">
        <f>SUM(C9:C42)</f>
        <v>22543400</v>
      </c>
      <c r="D43" s="306">
        <f>SUM(D9:D42)</f>
        <v>22172511</v>
      </c>
      <c r="E43" s="306">
        <f>SUM(E9:E42)</f>
        <v>22546318.119999997</v>
      </c>
    </row>
    <row r="44" spans="1:5" ht="24.95" customHeight="1" thickTop="1">
      <c r="A44" s="544" t="s">
        <v>405</v>
      </c>
      <c r="B44" s="537"/>
      <c r="C44" s="307"/>
      <c r="D44" s="307"/>
      <c r="E44" s="307"/>
    </row>
    <row r="45" spans="1:5" ht="24.95" customHeight="1" thickBot="1">
      <c r="A45" s="521" t="s">
        <v>857</v>
      </c>
      <c r="B45" s="303"/>
      <c r="C45" s="303"/>
      <c r="D45" s="303"/>
      <c r="E45" s="521" t="s">
        <v>795</v>
      </c>
    </row>
    <row r="46" spans="1:5" ht="24.95" customHeight="1" thickTop="1">
      <c r="A46" s="522"/>
      <c r="B46" s="539"/>
      <c r="C46" s="524" t="s">
        <v>804</v>
      </c>
      <c r="D46" s="304"/>
      <c r="E46" s="525" t="s">
        <v>803</v>
      </c>
    </row>
    <row r="47" spans="1:5" ht="24.95" customHeight="1">
      <c r="A47" s="526" t="s">
        <v>792</v>
      </c>
      <c r="B47" s="305" t="s">
        <v>793</v>
      </c>
      <c r="C47" s="305" t="s">
        <v>1341</v>
      </c>
      <c r="D47" s="305" t="s">
        <v>1306</v>
      </c>
      <c r="E47" s="527" t="s">
        <v>1343</v>
      </c>
    </row>
    <row r="48" spans="1:5" ht="24.95" customHeight="1">
      <c r="A48" s="528" t="s">
        <v>838</v>
      </c>
      <c r="B48" s="309" t="s">
        <v>816</v>
      </c>
      <c r="C48" s="309" t="s">
        <v>817</v>
      </c>
      <c r="D48" s="309" t="s">
        <v>817</v>
      </c>
      <c r="E48" s="540" t="s">
        <v>817</v>
      </c>
    </row>
    <row r="49" spans="1:5" ht="24.95" customHeight="1">
      <c r="A49" s="460" t="s">
        <v>839</v>
      </c>
      <c r="B49" s="529" t="s">
        <v>842</v>
      </c>
      <c r="C49" s="301"/>
      <c r="D49" s="301"/>
      <c r="E49" s="530"/>
    </row>
    <row r="50" spans="1:5" ht="24.95" customHeight="1">
      <c r="A50" s="460" t="s">
        <v>840</v>
      </c>
      <c r="B50" s="529" t="s">
        <v>843</v>
      </c>
      <c r="C50" s="301">
        <v>11045027</v>
      </c>
      <c r="D50" s="301">
        <v>11652739</v>
      </c>
      <c r="E50" s="530">
        <v>11652919</v>
      </c>
    </row>
    <row r="51" spans="1:5" ht="24.95" customHeight="1">
      <c r="A51" s="460" t="s">
        <v>352</v>
      </c>
      <c r="B51" s="529" t="s">
        <v>844</v>
      </c>
      <c r="C51" s="301">
        <v>21677773</v>
      </c>
      <c r="D51" s="301">
        <v>21070061</v>
      </c>
      <c r="E51" s="530">
        <v>21070061</v>
      </c>
    </row>
    <row r="52" spans="1:5" ht="24.95" customHeight="1">
      <c r="A52" s="460" t="s">
        <v>841</v>
      </c>
      <c r="B52" s="529" t="s">
        <v>845</v>
      </c>
      <c r="C52" s="301">
        <v>262651</v>
      </c>
      <c r="D52" s="301">
        <v>262651</v>
      </c>
      <c r="E52" s="530">
        <v>262651</v>
      </c>
    </row>
    <row r="53" spans="1:5" ht="24.95" customHeight="1">
      <c r="A53" s="460"/>
      <c r="B53" s="529"/>
      <c r="C53" s="301"/>
      <c r="D53" s="301"/>
      <c r="E53" s="530"/>
    </row>
    <row r="54" spans="1:5" ht="24.95" customHeight="1">
      <c r="A54" s="460" t="s">
        <v>1065</v>
      </c>
      <c r="B54" s="529"/>
      <c r="C54" s="301">
        <v>6088</v>
      </c>
      <c r="D54" s="301">
        <v>6088</v>
      </c>
      <c r="E54" s="530">
        <v>6088</v>
      </c>
    </row>
    <row r="55" spans="1:5" ht="24.95" customHeight="1">
      <c r="A55" s="460"/>
      <c r="B55" s="529"/>
      <c r="C55" s="301"/>
      <c r="D55" s="301"/>
      <c r="E55" s="530"/>
    </row>
    <row r="56" spans="1:5" ht="24.95" customHeight="1">
      <c r="A56" s="460"/>
      <c r="B56" s="529"/>
      <c r="C56" s="301"/>
      <c r="D56" s="301"/>
      <c r="E56" s="530"/>
    </row>
    <row r="57" spans="1:5" ht="24.95" customHeight="1">
      <c r="A57" s="460"/>
      <c r="B57" s="529"/>
      <c r="C57" s="301"/>
      <c r="D57" s="301"/>
      <c r="E57" s="530"/>
    </row>
    <row r="58" spans="1:5" ht="24.95" customHeight="1">
      <c r="A58" s="460"/>
      <c r="B58" s="529"/>
      <c r="C58" s="301"/>
      <c r="D58" s="301"/>
      <c r="E58" s="530"/>
    </row>
    <row r="59" spans="1:5" ht="24.95" customHeight="1">
      <c r="A59" s="541"/>
      <c r="B59" s="529"/>
      <c r="C59" s="301"/>
      <c r="D59" s="301"/>
      <c r="E59" s="530"/>
    </row>
    <row r="60" spans="1:5" ht="24.95" customHeight="1">
      <c r="A60" s="541"/>
      <c r="B60" s="529"/>
      <c r="C60" s="301"/>
      <c r="D60" s="301"/>
      <c r="E60" s="530"/>
    </row>
    <row r="61" spans="1:5" ht="24.95" customHeight="1">
      <c r="A61" s="541"/>
      <c r="B61" s="529"/>
      <c r="C61" s="301"/>
      <c r="D61" s="301"/>
      <c r="E61" s="530"/>
    </row>
    <row r="62" spans="1:5" ht="24.95" customHeight="1">
      <c r="A62" s="541"/>
      <c r="B62" s="529"/>
      <c r="C62" s="301"/>
      <c r="D62" s="301"/>
      <c r="E62" s="530"/>
    </row>
    <row r="63" spans="1:5" ht="24.95" customHeight="1">
      <c r="A63" s="541"/>
      <c r="B63" s="529"/>
      <c r="C63" s="301"/>
      <c r="D63" s="301"/>
      <c r="E63" s="530"/>
    </row>
    <row r="64" spans="1:5" ht="24.95" customHeight="1">
      <c r="A64" s="541"/>
      <c r="B64" s="529"/>
      <c r="C64" s="301"/>
      <c r="D64" s="301"/>
      <c r="E64" s="530"/>
    </row>
    <row r="65" spans="1:8" ht="24.95" customHeight="1" thickBot="1">
      <c r="A65" s="533"/>
      <c r="B65" s="534"/>
      <c r="C65" s="306"/>
      <c r="D65" s="306"/>
      <c r="E65" s="535"/>
    </row>
    <row r="66" spans="1:8" ht="24.95" customHeight="1" thickTop="1">
      <c r="A66" s="544" t="s">
        <v>406</v>
      </c>
      <c r="B66" s="537"/>
      <c r="C66" s="307"/>
      <c r="D66" s="307"/>
      <c r="E66" s="307"/>
    </row>
    <row r="67" spans="1:8" ht="24.95" customHeight="1" thickBot="1">
      <c r="A67" s="521" t="s">
        <v>857</v>
      </c>
      <c r="B67" s="303"/>
      <c r="C67" s="303"/>
      <c r="D67" s="303"/>
      <c r="E67" s="521" t="s">
        <v>795</v>
      </c>
    </row>
    <row r="68" spans="1:8" ht="24.95" customHeight="1" thickTop="1">
      <c r="A68" s="522"/>
      <c r="B68" s="539"/>
      <c r="C68" s="524" t="s">
        <v>804</v>
      </c>
      <c r="D68" s="304"/>
      <c r="E68" s="525" t="s">
        <v>803</v>
      </c>
    </row>
    <row r="69" spans="1:8" ht="24.95" customHeight="1">
      <c r="A69" s="526" t="s">
        <v>792</v>
      </c>
      <c r="B69" s="305" t="s">
        <v>793</v>
      </c>
      <c r="C69" s="305" t="s">
        <v>1341</v>
      </c>
      <c r="D69" s="305" t="s">
        <v>1306</v>
      </c>
      <c r="E69" s="527" t="s">
        <v>1342</v>
      </c>
    </row>
    <row r="70" spans="1:8" ht="24.95" customHeight="1">
      <c r="A70" s="528" t="s">
        <v>838</v>
      </c>
      <c r="B70" s="309" t="s">
        <v>816</v>
      </c>
      <c r="C70" s="309" t="s">
        <v>817</v>
      </c>
      <c r="D70" s="309" t="s">
        <v>817</v>
      </c>
      <c r="E70" s="540" t="s">
        <v>817</v>
      </c>
    </row>
    <row r="71" spans="1:8" ht="24.95" customHeight="1" thickBot="1">
      <c r="A71" s="541"/>
      <c r="B71" s="529"/>
      <c r="C71" s="301"/>
      <c r="D71" s="301"/>
      <c r="E71" s="530"/>
    </row>
    <row r="72" spans="1:8" ht="24.95" customHeight="1" thickBot="1">
      <c r="A72" s="460" t="s">
        <v>846</v>
      </c>
      <c r="B72" s="529" t="s">
        <v>848</v>
      </c>
      <c r="C72" s="301">
        <v>0</v>
      </c>
      <c r="D72" s="301">
        <v>377176</v>
      </c>
      <c r="E72" s="530">
        <v>0</v>
      </c>
      <c r="H72" s="653">
        <f>C72</f>
        <v>0</v>
      </c>
    </row>
    <row r="73" spans="1:8" ht="24.95" customHeight="1">
      <c r="A73" s="460" t="s">
        <v>847</v>
      </c>
      <c r="B73" s="529" t="s">
        <v>849</v>
      </c>
      <c r="C73" s="301">
        <v>329</v>
      </c>
      <c r="D73" s="301">
        <v>329</v>
      </c>
      <c r="E73" s="530">
        <v>329</v>
      </c>
    </row>
    <row r="74" spans="1:8" ht="24.95" customHeight="1">
      <c r="A74" s="460" t="s">
        <v>1240</v>
      </c>
      <c r="B74" s="529" t="s">
        <v>850</v>
      </c>
      <c r="C74" s="301">
        <v>25000000</v>
      </c>
      <c r="D74" s="301">
        <v>25000000</v>
      </c>
      <c r="E74" s="530">
        <v>25000000</v>
      </c>
    </row>
    <row r="75" spans="1:8" ht="24.95" customHeight="1">
      <c r="A75" s="460"/>
      <c r="B75" s="529"/>
      <c r="C75" s="301"/>
      <c r="D75" s="301"/>
      <c r="E75" s="530"/>
    </row>
    <row r="76" spans="1:8" ht="24.95" customHeight="1">
      <c r="A76" s="460"/>
      <c r="B76" s="529"/>
      <c r="C76" s="301"/>
      <c r="D76" s="301"/>
      <c r="E76" s="530"/>
    </row>
    <row r="77" spans="1:8" ht="24.95" customHeight="1">
      <c r="A77" s="460"/>
      <c r="B77" s="529"/>
      <c r="C77" s="301"/>
      <c r="D77" s="301"/>
      <c r="E77" s="530"/>
    </row>
    <row r="78" spans="1:8" ht="24.95" customHeight="1">
      <c r="A78" s="460"/>
      <c r="B78" s="529"/>
      <c r="C78" s="301"/>
      <c r="D78" s="301"/>
      <c r="E78" s="530"/>
    </row>
    <row r="79" spans="1:8" ht="24.95" customHeight="1">
      <c r="A79" s="460"/>
      <c r="B79" s="529"/>
      <c r="C79" s="301"/>
      <c r="D79" s="301"/>
      <c r="E79" s="530"/>
    </row>
    <row r="80" spans="1:8" ht="24.95" customHeight="1">
      <c r="A80" s="541"/>
      <c r="B80" s="529"/>
      <c r="C80" s="301"/>
      <c r="D80" s="301"/>
      <c r="E80" s="530"/>
    </row>
    <row r="81" spans="1:5" ht="24.95" customHeight="1">
      <c r="A81" s="541"/>
      <c r="B81" s="529"/>
      <c r="C81" s="301"/>
      <c r="D81" s="301"/>
      <c r="E81" s="530"/>
    </row>
    <row r="82" spans="1:5" ht="24.95" customHeight="1">
      <c r="A82" s="541"/>
      <c r="B82" s="529"/>
      <c r="C82" s="301"/>
      <c r="D82" s="301"/>
      <c r="E82" s="530"/>
    </row>
    <row r="83" spans="1:5" ht="24.95" customHeight="1">
      <c r="A83" s="541"/>
      <c r="B83" s="529"/>
      <c r="C83" s="301"/>
      <c r="D83" s="301"/>
      <c r="E83" s="530"/>
    </row>
    <row r="84" spans="1:5" ht="24.95" customHeight="1">
      <c r="A84" s="541"/>
      <c r="B84" s="529"/>
      <c r="C84" s="301"/>
      <c r="D84" s="301"/>
      <c r="E84" s="530"/>
    </row>
    <row r="85" spans="1:5" ht="24.95" customHeight="1">
      <c r="A85" s="541"/>
      <c r="B85" s="529"/>
      <c r="C85" s="301"/>
      <c r="D85" s="301"/>
      <c r="E85" s="530"/>
    </row>
    <row r="86" spans="1:5" ht="24.95" customHeight="1">
      <c r="A86" s="541"/>
      <c r="B86" s="529"/>
      <c r="C86" s="301"/>
      <c r="D86" s="301"/>
      <c r="E86" s="530"/>
    </row>
    <row r="87" spans="1:5" ht="24.95" customHeight="1" thickBot="1">
      <c r="A87" s="542" t="s">
        <v>1242</v>
      </c>
      <c r="B87" s="545" t="s">
        <v>43</v>
      </c>
      <c r="C87" s="310">
        <f>SUM(C49:C86)</f>
        <v>57991868</v>
      </c>
      <c r="D87" s="310">
        <f>SUM(D49:D86)</f>
        <v>58369044</v>
      </c>
      <c r="E87" s="546">
        <f>SUM(E49:E86)</f>
        <v>57992048</v>
      </c>
    </row>
    <row r="88" spans="1:5" ht="24.95" customHeight="1" thickTop="1">
      <c r="A88" s="544" t="s">
        <v>407</v>
      </c>
    </row>
    <row r="89" spans="1:5" ht="24.95" customHeight="1" thickBot="1">
      <c r="A89" s="521" t="s">
        <v>857</v>
      </c>
      <c r="B89" s="303"/>
      <c r="C89" s="303"/>
      <c r="D89" s="303"/>
      <c r="E89" s="521" t="s">
        <v>795</v>
      </c>
    </row>
    <row r="90" spans="1:5" ht="24.95" customHeight="1" thickTop="1">
      <c r="A90" s="522"/>
      <c r="B90" s="539"/>
      <c r="C90" s="524" t="s">
        <v>804</v>
      </c>
      <c r="D90" s="304"/>
      <c r="E90" s="525" t="s">
        <v>803</v>
      </c>
    </row>
    <row r="91" spans="1:5" ht="24.95" customHeight="1">
      <c r="A91" s="526" t="s">
        <v>792</v>
      </c>
      <c r="B91" s="305" t="s">
        <v>793</v>
      </c>
      <c r="C91" s="305" t="s">
        <v>1341</v>
      </c>
      <c r="D91" s="305" t="s">
        <v>1306</v>
      </c>
      <c r="E91" s="527" t="s">
        <v>1342</v>
      </c>
    </row>
    <row r="92" spans="1:5" ht="24.95" customHeight="1">
      <c r="A92" s="547" t="s">
        <v>851</v>
      </c>
      <c r="B92" s="306"/>
      <c r="C92" s="306"/>
      <c r="D92" s="306"/>
      <c r="E92" s="535"/>
    </row>
    <row r="93" spans="1:5" ht="24.95" customHeight="1">
      <c r="A93" s="548" t="s">
        <v>852</v>
      </c>
      <c r="B93" s="549" t="s">
        <v>816</v>
      </c>
      <c r="C93" s="311" t="s">
        <v>817</v>
      </c>
      <c r="D93" s="311" t="s">
        <v>817</v>
      </c>
      <c r="E93" s="550" t="s">
        <v>817</v>
      </c>
    </row>
    <row r="94" spans="1:5" ht="24.95" customHeight="1">
      <c r="A94" s="541" t="s">
        <v>44</v>
      </c>
      <c r="B94" s="529" t="s">
        <v>853</v>
      </c>
      <c r="C94" s="301"/>
      <c r="D94" s="301"/>
      <c r="E94" s="530"/>
    </row>
    <row r="95" spans="1:5" ht="24.95" customHeight="1">
      <c r="A95" s="460" t="s">
        <v>862</v>
      </c>
      <c r="B95" s="529"/>
      <c r="C95" s="301"/>
      <c r="D95" s="301"/>
      <c r="E95" s="530"/>
    </row>
    <row r="96" spans="1:5" ht="24.95" customHeight="1">
      <c r="A96" s="450" t="s">
        <v>863</v>
      </c>
      <c r="B96" s="529" t="s">
        <v>853</v>
      </c>
      <c r="C96" s="301">
        <v>1424400</v>
      </c>
      <c r="D96" s="301">
        <v>1143200</v>
      </c>
      <c r="E96" s="530">
        <v>1424212</v>
      </c>
    </row>
    <row r="97" spans="1:5" ht="24.95" customHeight="1">
      <c r="A97" s="450" t="s">
        <v>820</v>
      </c>
      <c r="B97" s="529" t="s">
        <v>853</v>
      </c>
      <c r="C97" s="301">
        <v>655000</v>
      </c>
      <c r="D97" s="301">
        <v>575600</v>
      </c>
      <c r="E97" s="530">
        <v>655794</v>
      </c>
    </row>
    <row r="98" spans="1:5" ht="24.95" customHeight="1">
      <c r="A98" s="541"/>
      <c r="B98" s="529"/>
      <c r="C98" s="301"/>
      <c r="D98" s="301"/>
      <c r="E98" s="530"/>
    </row>
    <row r="99" spans="1:5" ht="24.95" customHeight="1">
      <c r="A99" s="541"/>
      <c r="B99" s="529"/>
      <c r="C99" s="301"/>
      <c r="D99" s="301"/>
      <c r="E99" s="530"/>
    </row>
    <row r="100" spans="1:5" ht="24.95" customHeight="1">
      <c r="A100" s="541"/>
      <c r="B100" s="529"/>
      <c r="C100" s="301"/>
      <c r="D100" s="301"/>
      <c r="E100" s="530"/>
    </row>
    <row r="101" spans="1:5" ht="24.95" customHeight="1">
      <c r="A101" s="551" t="s">
        <v>858</v>
      </c>
      <c r="B101" s="529" t="s">
        <v>816</v>
      </c>
      <c r="C101" s="309" t="s">
        <v>817</v>
      </c>
      <c r="D101" s="309" t="s">
        <v>817</v>
      </c>
      <c r="E101" s="540" t="s">
        <v>817</v>
      </c>
    </row>
    <row r="102" spans="1:5" ht="24.95" customHeight="1">
      <c r="A102" s="552" t="s">
        <v>866</v>
      </c>
      <c r="B102" s="529" t="s">
        <v>816</v>
      </c>
      <c r="C102" s="309" t="s">
        <v>817</v>
      </c>
      <c r="D102" s="309" t="s">
        <v>817</v>
      </c>
      <c r="E102" s="540" t="s">
        <v>817</v>
      </c>
    </row>
    <row r="103" spans="1:5" ht="24.95" customHeight="1">
      <c r="A103" s="541" t="s">
        <v>856</v>
      </c>
      <c r="B103" s="529" t="s">
        <v>853</v>
      </c>
      <c r="C103" s="301"/>
      <c r="D103" s="301"/>
      <c r="E103" s="530"/>
    </row>
    <row r="104" spans="1:5" ht="24.95" customHeight="1">
      <c r="A104" s="541"/>
      <c r="B104" s="529"/>
      <c r="C104" s="301"/>
      <c r="D104" s="301"/>
      <c r="E104" s="530"/>
    </row>
    <row r="105" spans="1:5" ht="24.95" customHeight="1">
      <c r="A105" s="541"/>
      <c r="B105" s="529"/>
      <c r="C105" s="301"/>
      <c r="D105" s="301"/>
      <c r="E105" s="530"/>
    </row>
    <row r="106" spans="1:5" ht="24.95" customHeight="1">
      <c r="A106" s="541"/>
      <c r="B106" s="529"/>
      <c r="C106" s="301"/>
      <c r="D106" s="301"/>
      <c r="E106" s="530"/>
    </row>
    <row r="107" spans="1:5" ht="24.95" customHeight="1">
      <c r="A107" s="541"/>
      <c r="B107" s="529"/>
      <c r="C107" s="301"/>
      <c r="D107" s="301"/>
      <c r="E107" s="530"/>
    </row>
    <row r="108" spans="1:5" ht="24.95" customHeight="1">
      <c r="A108" s="541"/>
      <c r="B108" s="529"/>
      <c r="C108" s="301"/>
      <c r="D108" s="301"/>
      <c r="E108" s="530"/>
    </row>
    <row r="109" spans="1:5" ht="24.95" customHeight="1" thickBot="1">
      <c r="A109" s="542" t="s">
        <v>859</v>
      </c>
      <c r="B109" s="545" t="s">
        <v>45</v>
      </c>
      <c r="C109" s="310">
        <f>SUM(C94:C108)</f>
        <v>2079400</v>
      </c>
      <c r="D109" s="310">
        <f>SUM(D94:D108)</f>
        <v>1718800</v>
      </c>
      <c r="E109" s="546">
        <f>SUM(E94:E108)</f>
        <v>2080006</v>
      </c>
    </row>
    <row r="110" spans="1:5" ht="24.95" customHeight="1" thickTop="1">
      <c r="A110" s="544" t="s">
        <v>408</v>
      </c>
    </row>
    <row r="111" spans="1:5" ht="24.95" customHeight="1" thickBot="1">
      <c r="A111" s="521" t="s">
        <v>857</v>
      </c>
      <c r="B111" s="303"/>
      <c r="C111" s="303"/>
      <c r="D111" s="303"/>
      <c r="E111" s="521" t="s">
        <v>795</v>
      </c>
    </row>
    <row r="112" spans="1:5" ht="24.95" customHeight="1" thickTop="1">
      <c r="A112" s="522"/>
      <c r="B112" s="539"/>
      <c r="C112" s="524" t="s">
        <v>804</v>
      </c>
      <c r="D112" s="304"/>
      <c r="E112" s="525" t="s">
        <v>803</v>
      </c>
    </row>
    <row r="113" spans="1:5" ht="24.95" customHeight="1">
      <c r="A113" s="526" t="s">
        <v>792</v>
      </c>
      <c r="B113" s="305" t="s">
        <v>793</v>
      </c>
      <c r="C113" s="305" t="s">
        <v>1341</v>
      </c>
      <c r="D113" s="305" t="s">
        <v>1306</v>
      </c>
      <c r="E113" s="527" t="s">
        <v>1342</v>
      </c>
    </row>
    <row r="114" spans="1:5" ht="24.95" customHeight="1">
      <c r="A114" s="918" t="s">
        <v>1064</v>
      </c>
      <c r="B114" s="306"/>
      <c r="C114" s="306"/>
      <c r="D114" s="306"/>
      <c r="E114" s="535"/>
    </row>
    <row r="115" spans="1:5" ht="24.95" customHeight="1">
      <c r="A115" s="919"/>
      <c r="B115" s="549" t="s">
        <v>816</v>
      </c>
      <c r="C115" s="311" t="s">
        <v>817</v>
      </c>
      <c r="D115" s="311" t="s">
        <v>817</v>
      </c>
      <c r="E115" s="550" t="s">
        <v>817</v>
      </c>
    </row>
    <row r="116" spans="1:5" ht="24.95" customHeight="1">
      <c r="A116" s="553"/>
      <c r="B116" s="554"/>
      <c r="C116" s="302"/>
      <c r="D116" s="302"/>
      <c r="E116" s="555"/>
    </row>
    <row r="117" spans="1:5" ht="24.95" customHeight="1">
      <c r="A117" s="541" t="s">
        <v>1241</v>
      </c>
      <c r="B117" s="529"/>
      <c r="C117" s="301">
        <v>263500</v>
      </c>
      <c r="D117" s="301">
        <v>263500</v>
      </c>
      <c r="E117" s="530">
        <v>263500</v>
      </c>
    </row>
    <row r="118" spans="1:5" ht="24.95" customHeight="1">
      <c r="A118" s="541"/>
      <c r="B118" s="529"/>
      <c r="C118" s="301"/>
      <c r="D118" s="301"/>
      <c r="E118" s="530"/>
    </row>
    <row r="119" spans="1:5" ht="24.95" customHeight="1">
      <c r="A119" s="541"/>
      <c r="B119" s="529"/>
      <c r="C119" s="301"/>
      <c r="D119" s="301"/>
      <c r="E119" s="530"/>
    </row>
    <row r="120" spans="1:5" ht="24.95" customHeight="1">
      <c r="A120" s="541"/>
      <c r="B120" s="529"/>
      <c r="C120" s="301"/>
      <c r="D120" s="301"/>
      <c r="E120" s="530"/>
    </row>
    <row r="121" spans="1:5" ht="24.95" customHeight="1">
      <c r="A121" s="541"/>
      <c r="B121" s="529"/>
      <c r="C121" s="301"/>
      <c r="D121" s="301"/>
      <c r="E121" s="530"/>
    </row>
    <row r="122" spans="1:5" ht="24.95" customHeight="1">
      <c r="A122" s="541"/>
      <c r="B122" s="529"/>
      <c r="C122" s="301"/>
      <c r="D122" s="301"/>
      <c r="E122" s="530"/>
    </row>
    <row r="123" spans="1:5" ht="24.95" customHeight="1">
      <c r="A123" s="541"/>
      <c r="B123" s="529"/>
      <c r="C123" s="301"/>
      <c r="D123" s="301"/>
      <c r="E123" s="530"/>
    </row>
    <row r="124" spans="1:5" ht="24.95" customHeight="1">
      <c r="A124" s="541"/>
      <c r="B124" s="529"/>
      <c r="C124" s="301"/>
      <c r="D124" s="301"/>
      <c r="E124" s="530"/>
    </row>
    <row r="125" spans="1:5" ht="24.95" customHeight="1">
      <c r="A125" s="541"/>
      <c r="B125" s="529"/>
      <c r="C125" s="301"/>
      <c r="D125" s="301"/>
      <c r="E125" s="530"/>
    </row>
    <row r="126" spans="1:5" ht="24.95" customHeight="1">
      <c r="A126" s="541"/>
      <c r="B126" s="529"/>
      <c r="C126" s="301"/>
      <c r="D126" s="301"/>
      <c r="E126" s="530"/>
    </row>
    <row r="127" spans="1:5" ht="24.95" customHeight="1">
      <c r="A127" s="541"/>
      <c r="B127" s="529"/>
      <c r="C127" s="301"/>
      <c r="D127" s="301"/>
      <c r="E127" s="530"/>
    </row>
    <row r="128" spans="1:5" ht="24.95" customHeight="1">
      <c r="A128" s="541"/>
      <c r="B128" s="529"/>
      <c r="C128" s="301"/>
      <c r="D128" s="301"/>
      <c r="E128" s="530"/>
    </row>
    <row r="129" spans="1:5" ht="24.95" customHeight="1">
      <c r="A129" s="541"/>
      <c r="B129" s="529"/>
      <c r="C129" s="301"/>
      <c r="D129" s="301"/>
      <c r="E129" s="530"/>
    </row>
    <row r="130" spans="1:5" ht="24.95" customHeight="1">
      <c r="A130" s="541"/>
      <c r="B130" s="529"/>
      <c r="C130" s="301"/>
      <c r="D130" s="301"/>
      <c r="E130" s="530"/>
    </row>
    <row r="131" spans="1:5" ht="24.95" customHeight="1" thickBot="1">
      <c r="A131" s="542" t="s">
        <v>1243</v>
      </c>
      <c r="B131" s="545" t="s">
        <v>46</v>
      </c>
      <c r="C131" s="310">
        <f>SUM(C116:C130)</f>
        <v>263500</v>
      </c>
      <c r="D131" s="310">
        <f>SUM(D116:D130)</f>
        <v>263500</v>
      </c>
      <c r="E131" s="310">
        <f>SUM(E116:E130)</f>
        <v>263500</v>
      </c>
    </row>
    <row r="132" spans="1:5" ht="24.95" customHeight="1" thickTop="1">
      <c r="A132" s="544" t="s">
        <v>409</v>
      </c>
    </row>
    <row r="133" spans="1:5" ht="24.95" customHeight="1" thickBot="1">
      <c r="A133" s="521" t="s">
        <v>857</v>
      </c>
      <c r="B133" s="303"/>
      <c r="C133" s="303"/>
      <c r="D133" s="303"/>
      <c r="E133" s="521" t="s">
        <v>795</v>
      </c>
    </row>
    <row r="134" spans="1:5" ht="24.95" customHeight="1" thickTop="1">
      <c r="A134" s="522"/>
      <c r="B134" s="539"/>
      <c r="C134" s="524" t="s">
        <v>804</v>
      </c>
      <c r="D134" s="304"/>
      <c r="E134" s="525" t="s">
        <v>803</v>
      </c>
    </row>
    <row r="135" spans="1:5" ht="24.95" customHeight="1">
      <c r="A135" s="526" t="s">
        <v>792</v>
      </c>
      <c r="B135" s="305" t="s">
        <v>793</v>
      </c>
      <c r="C135" s="305" t="s">
        <v>1341</v>
      </c>
      <c r="D135" s="305" t="s">
        <v>1306</v>
      </c>
      <c r="E135" s="527" t="s">
        <v>1342</v>
      </c>
    </row>
    <row r="136" spans="1:5" ht="24.95" customHeight="1">
      <c r="A136" s="918" t="s">
        <v>1344</v>
      </c>
      <c r="B136" s="556"/>
      <c r="C136" s="306"/>
      <c r="D136" s="306"/>
      <c r="E136" s="535"/>
    </row>
    <row r="137" spans="1:5" ht="24.95" customHeight="1">
      <c r="A137" s="919"/>
      <c r="B137" s="554" t="s">
        <v>816</v>
      </c>
      <c r="C137" s="312" t="s">
        <v>817</v>
      </c>
      <c r="D137" s="312" t="s">
        <v>817</v>
      </c>
      <c r="E137" s="557" t="s">
        <v>817</v>
      </c>
    </row>
    <row r="138" spans="1:5" ht="24.95" customHeight="1">
      <c r="A138" s="553"/>
      <c r="B138" s="529"/>
      <c r="C138" s="301"/>
      <c r="D138" s="301"/>
      <c r="E138" s="530"/>
    </row>
    <row r="139" spans="1:5" ht="24.95" customHeight="1">
      <c r="A139" s="541"/>
      <c r="B139" s="529"/>
      <c r="C139" s="301"/>
      <c r="D139" s="301"/>
      <c r="E139" s="530"/>
    </row>
    <row r="140" spans="1:5" ht="24.95" customHeight="1">
      <c r="A140" s="541"/>
      <c r="B140" s="529"/>
      <c r="C140" s="301"/>
      <c r="D140" s="301"/>
      <c r="E140" s="530"/>
    </row>
    <row r="141" spans="1:5" ht="24.95" customHeight="1">
      <c r="A141" s="541"/>
      <c r="B141" s="529"/>
      <c r="C141" s="301"/>
      <c r="D141" s="301"/>
      <c r="E141" s="530"/>
    </row>
    <row r="142" spans="1:5" ht="24.95" customHeight="1">
      <c r="A142" s="541"/>
      <c r="B142" s="529"/>
      <c r="C142" s="301"/>
      <c r="D142" s="301"/>
      <c r="E142" s="530"/>
    </row>
    <row r="143" spans="1:5" ht="24.95" customHeight="1">
      <c r="A143" s="541"/>
      <c r="B143" s="529"/>
      <c r="C143" s="301"/>
      <c r="D143" s="301"/>
      <c r="E143" s="530"/>
    </row>
    <row r="144" spans="1:5" ht="24.95" customHeight="1">
      <c r="A144" s="541"/>
      <c r="B144" s="529"/>
      <c r="C144" s="301"/>
      <c r="D144" s="301"/>
      <c r="E144" s="530"/>
    </row>
    <row r="145" spans="1:5" ht="24.95" customHeight="1">
      <c r="A145" s="541"/>
      <c r="B145" s="529"/>
      <c r="C145" s="301"/>
      <c r="D145" s="301"/>
      <c r="E145" s="530"/>
    </row>
    <row r="146" spans="1:5" ht="24.95" customHeight="1">
      <c r="A146" s="541"/>
      <c r="B146" s="529"/>
      <c r="C146" s="301"/>
      <c r="D146" s="301"/>
      <c r="E146" s="530"/>
    </row>
    <row r="147" spans="1:5" ht="24.95" customHeight="1">
      <c r="A147" s="541"/>
      <c r="B147" s="529"/>
      <c r="C147" s="301"/>
      <c r="D147" s="301"/>
      <c r="E147" s="530"/>
    </row>
    <row r="148" spans="1:5" ht="24.95" customHeight="1">
      <c r="A148" s="541"/>
      <c r="B148" s="529"/>
      <c r="C148" s="301"/>
      <c r="D148" s="301"/>
      <c r="E148" s="530"/>
    </row>
    <row r="149" spans="1:5" ht="24.95" customHeight="1">
      <c r="A149" s="541"/>
      <c r="B149" s="529"/>
      <c r="C149" s="301"/>
      <c r="D149" s="301"/>
      <c r="E149" s="530"/>
    </row>
    <row r="150" spans="1:5" ht="24.95" customHeight="1">
      <c r="A150" s="541"/>
      <c r="B150" s="529"/>
      <c r="C150" s="301"/>
      <c r="D150" s="301"/>
      <c r="E150" s="530"/>
    </row>
    <row r="151" spans="1:5" ht="24.95" customHeight="1">
      <c r="A151" s="541"/>
      <c r="B151" s="529"/>
      <c r="C151" s="301"/>
      <c r="D151" s="301"/>
      <c r="E151" s="530"/>
    </row>
    <row r="152" spans="1:5" ht="24.95" customHeight="1">
      <c r="A152" s="528" t="s">
        <v>867</v>
      </c>
      <c r="B152" s="529" t="s">
        <v>816</v>
      </c>
      <c r="C152" s="309" t="s">
        <v>817</v>
      </c>
      <c r="D152" s="309" t="s">
        <v>817</v>
      </c>
      <c r="E152" s="540" t="s">
        <v>817</v>
      </c>
    </row>
    <row r="153" spans="1:5" ht="24.95" customHeight="1" thickBot="1">
      <c r="A153" s="558" t="s">
        <v>868</v>
      </c>
      <c r="B153" s="545" t="s">
        <v>47</v>
      </c>
      <c r="C153" s="310">
        <f>SUM(C138:C151)</f>
        <v>0</v>
      </c>
      <c r="D153" s="310">
        <f>SUM(D138:D151)</f>
        <v>0</v>
      </c>
      <c r="E153" s="310">
        <f>SUM(E138:E151)</f>
        <v>0</v>
      </c>
    </row>
    <row r="154" spans="1:5" ht="24.95" customHeight="1" thickTop="1">
      <c r="A154" s="544" t="s">
        <v>410</v>
      </c>
    </row>
    <row r="155" spans="1:5" ht="24.95" customHeight="1" thickBot="1">
      <c r="A155" s="521" t="s">
        <v>857</v>
      </c>
      <c r="B155" s="303"/>
      <c r="C155" s="303"/>
      <c r="D155" s="303"/>
      <c r="E155" s="521" t="s">
        <v>795</v>
      </c>
    </row>
    <row r="156" spans="1:5" ht="24.95" customHeight="1" thickTop="1">
      <c r="A156" s="522"/>
      <c r="B156" s="539"/>
      <c r="C156" s="524" t="s">
        <v>804</v>
      </c>
      <c r="D156" s="304"/>
      <c r="E156" s="525" t="s">
        <v>803</v>
      </c>
    </row>
    <row r="157" spans="1:5" ht="24.95" customHeight="1">
      <c r="A157" s="526" t="s">
        <v>792</v>
      </c>
      <c r="B157" s="305" t="s">
        <v>793</v>
      </c>
      <c r="C157" s="305" t="s">
        <v>1341</v>
      </c>
      <c r="D157" s="305" t="s">
        <v>1306</v>
      </c>
      <c r="E157" s="527" t="s">
        <v>1342</v>
      </c>
    </row>
    <row r="158" spans="1:5" ht="24.95" customHeight="1">
      <c r="A158" s="920" t="s">
        <v>32</v>
      </c>
      <c r="B158" s="556"/>
      <c r="C158" s="306"/>
      <c r="D158" s="306"/>
      <c r="E158" s="535"/>
    </row>
    <row r="159" spans="1:5" ht="24.95" customHeight="1">
      <c r="A159" s="921"/>
      <c r="B159" s="554" t="s">
        <v>816</v>
      </c>
      <c r="C159" s="312" t="s">
        <v>817</v>
      </c>
      <c r="D159" s="312" t="s">
        <v>817</v>
      </c>
      <c r="E159" s="557" t="s">
        <v>817</v>
      </c>
    </row>
    <row r="160" spans="1:5" ht="24.95" customHeight="1">
      <c r="A160" s="553"/>
      <c r="B160" s="529"/>
      <c r="C160" s="301"/>
      <c r="D160" s="301"/>
      <c r="E160" s="530"/>
    </row>
    <row r="161" spans="1:5" ht="24.95" customHeight="1">
      <c r="A161" s="460" t="s">
        <v>869</v>
      </c>
      <c r="B161" s="529" t="s">
        <v>364</v>
      </c>
      <c r="C161" s="301"/>
      <c r="D161" s="301"/>
      <c r="E161" s="530"/>
    </row>
    <row r="162" spans="1:5" ht="24.95" customHeight="1">
      <c r="A162" s="460" t="s">
        <v>870</v>
      </c>
      <c r="B162" s="529" t="s">
        <v>877</v>
      </c>
      <c r="C162" s="301"/>
      <c r="D162" s="301"/>
      <c r="E162" s="530"/>
    </row>
    <row r="163" spans="1:5" ht="24.95" customHeight="1">
      <c r="A163" s="460" t="s">
        <v>162</v>
      </c>
      <c r="B163" s="529" t="s">
        <v>878</v>
      </c>
      <c r="C163" s="301"/>
      <c r="D163" s="301"/>
      <c r="E163" s="530"/>
    </row>
    <row r="164" spans="1:5" ht="24.95" customHeight="1">
      <c r="A164" s="460" t="s">
        <v>871</v>
      </c>
      <c r="B164" s="529" t="s">
        <v>879</v>
      </c>
      <c r="C164" s="301"/>
      <c r="D164" s="301"/>
      <c r="E164" s="530"/>
    </row>
    <row r="165" spans="1:5" ht="24.95" customHeight="1">
      <c r="A165" s="460" t="s">
        <v>872</v>
      </c>
      <c r="B165" s="529" t="s">
        <v>880</v>
      </c>
      <c r="C165" s="301"/>
      <c r="D165" s="301"/>
      <c r="E165" s="530"/>
    </row>
    <row r="166" spans="1:5" ht="24.95" customHeight="1">
      <c r="A166" s="460" t="s">
        <v>873</v>
      </c>
      <c r="B166" s="529" t="s">
        <v>881</v>
      </c>
      <c r="C166" s="301"/>
      <c r="D166" s="301"/>
      <c r="E166" s="530"/>
    </row>
    <row r="167" spans="1:5" ht="24.95" customHeight="1">
      <c r="A167" s="460" t="s">
        <v>1415</v>
      </c>
      <c r="B167" s="529" t="s">
        <v>882</v>
      </c>
      <c r="C167" s="301"/>
      <c r="D167" s="301">
        <v>15410</v>
      </c>
      <c r="E167" s="530">
        <v>15410</v>
      </c>
    </row>
    <row r="168" spans="1:5" ht="24.95" customHeight="1">
      <c r="A168" s="460" t="s">
        <v>1415</v>
      </c>
      <c r="B168" s="529" t="s">
        <v>882</v>
      </c>
      <c r="C168" s="301">
        <v>61641</v>
      </c>
      <c r="D168" s="301"/>
      <c r="E168" s="530"/>
    </row>
    <row r="169" spans="1:5" ht="24.95" customHeight="1">
      <c r="A169" s="460" t="s">
        <v>874</v>
      </c>
      <c r="B169" s="529" t="s">
        <v>883</v>
      </c>
      <c r="C169" s="301"/>
      <c r="D169" s="301"/>
      <c r="E169" s="530"/>
    </row>
    <row r="170" spans="1:5" ht="24.95" customHeight="1">
      <c r="A170" s="460" t="s">
        <v>875</v>
      </c>
      <c r="B170" s="529" t="s">
        <v>884</v>
      </c>
      <c r="C170" s="301"/>
      <c r="D170" s="301"/>
      <c r="E170" s="530"/>
    </row>
    <row r="171" spans="1:5" ht="24.95" customHeight="1">
      <c r="A171" s="460" t="s">
        <v>876</v>
      </c>
      <c r="B171" s="529" t="s">
        <v>885</v>
      </c>
      <c r="C171" s="301"/>
      <c r="D171" s="301"/>
      <c r="E171" s="530"/>
    </row>
    <row r="172" spans="1:5" ht="24.95" customHeight="1">
      <c r="A172" s="460"/>
      <c r="B172" s="529"/>
      <c r="C172" s="301"/>
      <c r="D172" s="301"/>
      <c r="E172" s="530"/>
    </row>
    <row r="173" spans="1:5" ht="24.95" customHeight="1">
      <c r="A173" s="541"/>
      <c r="B173" s="529"/>
      <c r="C173" s="301"/>
      <c r="D173" s="301"/>
      <c r="E173" s="530"/>
    </row>
    <row r="174" spans="1:5" ht="24.95" customHeight="1">
      <c r="A174" s="541"/>
      <c r="B174" s="529"/>
      <c r="C174" s="301"/>
      <c r="D174" s="301"/>
      <c r="E174" s="530"/>
    </row>
    <row r="175" spans="1:5" ht="24.95" customHeight="1">
      <c r="A175" s="541"/>
      <c r="B175" s="529"/>
      <c r="C175" s="301"/>
      <c r="D175" s="301"/>
      <c r="E175" s="530"/>
    </row>
    <row r="176" spans="1:5" ht="24.95" customHeight="1" thickBot="1">
      <c r="A176" s="533"/>
      <c r="B176" s="534"/>
      <c r="C176" s="306"/>
      <c r="D176" s="306"/>
      <c r="E176" s="535"/>
    </row>
    <row r="177" spans="1:5" ht="24.95" customHeight="1" thickTop="1">
      <c r="A177" s="544" t="s">
        <v>411</v>
      </c>
      <c r="B177" s="537"/>
      <c r="C177" s="307"/>
      <c r="D177" s="307"/>
      <c r="E177" s="307"/>
    </row>
    <row r="178" spans="1:5" ht="24.95" customHeight="1" thickBot="1">
      <c r="A178" s="521" t="s">
        <v>857</v>
      </c>
      <c r="B178" s="303"/>
      <c r="C178" s="303"/>
      <c r="D178" s="303"/>
      <c r="E178" s="521" t="s">
        <v>795</v>
      </c>
    </row>
    <row r="179" spans="1:5" ht="24.95" customHeight="1" thickTop="1">
      <c r="A179" s="522"/>
      <c r="B179" s="539"/>
      <c r="C179" s="524" t="s">
        <v>804</v>
      </c>
      <c r="D179" s="304"/>
      <c r="E179" s="525" t="s">
        <v>803</v>
      </c>
    </row>
    <row r="180" spans="1:5" ht="24.95" customHeight="1">
      <c r="A180" s="526" t="s">
        <v>792</v>
      </c>
      <c r="B180" s="305" t="s">
        <v>793</v>
      </c>
      <c r="C180" s="305" t="s">
        <v>1341</v>
      </c>
      <c r="D180" s="305" t="s">
        <v>1306</v>
      </c>
      <c r="E180" s="527" t="s">
        <v>1342</v>
      </c>
    </row>
    <row r="181" spans="1:5" ht="24.95" customHeight="1">
      <c r="A181" s="920" t="s">
        <v>33</v>
      </c>
      <c r="B181" s="556"/>
      <c r="C181" s="306"/>
      <c r="D181" s="306"/>
      <c r="E181" s="535"/>
    </row>
    <row r="182" spans="1:5" ht="24.95" customHeight="1">
      <c r="A182" s="921"/>
      <c r="B182" s="554" t="s">
        <v>816</v>
      </c>
      <c r="C182" s="312" t="s">
        <v>817</v>
      </c>
      <c r="D182" s="312" t="s">
        <v>817</v>
      </c>
      <c r="E182" s="557" t="s">
        <v>817</v>
      </c>
    </row>
    <row r="183" spans="1:5" ht="24.95" customHeight="1">
      <c r="A183" s="553"/>
      <c r="B183" s="529"/>
      <c r="C183" s="301"/>
      <c r="D183" s="301"/>
      <c r="E183" s="530"/>
    </row>
    <row r="184" spans="1:5" ht="24.95" customHeight="1">
      <c r="A184" s="553" t="s">
        <v>1014</v>
      </c>
      <c r="B184" s="559"/>
      <c r="C184" s="301"/>
      <c r="D184" s="301"/>
      <c r="E184" s="530"/>
    </row>
    <row r="185" spans="1:5" ht="24.95" customHeight="1">
      <c r="A185" s="450" t="s">
        <v>1403</v>
      </c>
      <c r="B185" s="529"/>
      <c r="C185" s="301">
        <v>127000</v>
      </c>
      <c r="D185" s="301">
        <v>0</v>
      </c>
      <c r="E185" s="530"/>
    </row>
    <row r="186" spans="1:5" ht="24.95" customHeight="1">
      <c r="A186" s="541"/>
      <c r="B186" s="560"/>
      <c r="C186" s="301"/>
      <c r="D186" s="301"/>
      <c r="E186" s="530"/>
    </row>
    <row r="187" spans="1:5" ht="24.95" customHeight="1">
      <c r="A187" s="541"/>
      <c r="B187" s="560"/>
      <c r="C187" s="301"/>
      <c r="D187" s="301"/>
      <c r="E187" s="530"/>
    </row>
    <row r="188" spans="1:5" ht="24.95" customHeight="1">
      <c r="A188" s="553" t="s">
        <v>189</v>
      </c>
      <c r="B188" s="561"/>
      <c r="C188" s="301"/>
      <c r="D188" s="301"/>
      <c r="E188" s="530"/>
    </row>
    <row r="189" spans="1:5" ht="24.95" customHeight="1">
      <c r="A189" s="562" t="s">
        <v>1244</v>
      </c>
      <c r="B189" s="534" t="s">
        <v>1199</v>
      </c>
      <c r="C189" s="306"/>
      <c r="D189" s="306">
        <v>0</v>
      </c>
      <c r="E189" s="535"/>
    </row>
    <row r="190" spans="1:5" ht="24.95" customHeight="1">
      <c r="A190" s="450" t="s">
        <v>1245</v>
      </c>
      <c r="B190" s="529" t="s">
        <v>1200</v>
      </c>
      <c r="C190" s="301"/>
      <c r="D190" s="301">
        <v>0</v>
      </c>
      <c r="E190" s="530"/>
    </row>
    <row r="191" spans="1:5" ht="24.95" customHeight="1">
      <c r="A191" s="562"/>
      <c r="B191" s="534"/>
      <c r="C191" s="306"/>
      <c r="D191" s="306"/>
      <c r="E191" s="535"/>
    </row>
    <row r="192" spans="1:5" ht="24.95" customHeight="1">
      <c r="A192" s="450"/>
      <c r="B192" s="529"/>
      <c r="C192" s="301"/>
      <c r="D192" s="301"/>
      <c r="E192" s="530"/>
    </row>
    <row r="193" spans="1:5" ht="24.95" customHeight="1">
      <c r="A193" s="450"/>
      <c r="B193" s="529"/>
      <c r="C193" s="301"/>
      <c r="D193" s="301"/>
      <c r="E193" s="530"/>
    </row>
    <row r="194" spans="1:5" ht="24.95" customHeight="1">
      <c r="A194" s="450"/>
      <c r="B194" s="529"/>
      <c r="C194" s="301"/>
      <c r="D194" s="301"/>
      <c r="E194" s="530"/>
    </row>
    <row r="195" spans="1:5" ht="24.95" customHeight="1" thickBot="1">
      <c r="A195" s="562"/>
      <c r="B195" s="534"/>
      <c r="C195" s="306"/>
      <c r="D195" s="306"/>
      <c r="E195" s="535"/>
    </row>
    <row r="196" spans="1:5" ht="24.95" customHeight="1" thickTop="1">
      <c r="A196" s="544" t="s">
        <v>412</v>
      </c>
      <c r="B196" s="563"/>
      <c r="C196" s="307"/>
      <c r="D196" s="307"/>
      <c r="E196" s="307"/>
    </row>
    <row r="197" spans="1:5" ht="24.95" customHeight="1" thickBot="1">
      <c r="A197" s="521" t="s">
        <v>857</v>
      </c>
      <c r="B197" s="303"/>
      <c r="C197" s="303"/>
      <c r="D197" s="303"/>
      <c r="E197" s="521" t="s">
        <v>795</v>
      </c>
    </row>
    <row r="198" spans="1:5" ht="24.95" customHeight="1" thickTop="1">
      <c r="A198" s="522"/>
      <c r="B198" s="539"/>
      <c r="C198" s="524" t="s">
        <v>804</v>
      </c>
      <c r="D198" s="304"/>
      <c r="E198" s="525" t="s">
        <v>803</v>
      </c>
    </row>
    <row r="199" spans="1:5" ht="24.95" customHeight="1">
      <c r="A199" s="526" t="s">
        <v>792</v>
      </c>
      <c r="B199" s="305" t="s">
        <v>793</v>
      </c>
      <c r="C199" s="305" t="s">
        <v>1341</v>
      </c>
      <c r="D199" s="305" t="s">
        <v>1306</v>
      </c>
      <c r="E199" s="527" t="s">
        <v>1342</v>
      </c>
    </row>
    <row r="200" spans="1:5" ht="24.95" customHeight="1">
      <c r="A200" s="920" t="s">
        <v>33</v>
      </c>
      <c r="B200" s="556"/>
      <c r="C200" s="306"/>
      <c r="D200" s="306"/>
      <c r="E200" s="535"/>
    </row>
    <row r="201" spans="1:5" ht="24.95" customHeight="1">
      <c r="A201" s="921"/>
      <c r="B201" s="554" t="s">
        <v>816</v>
      </c>
      <c r="C201" s="312" t="s">
        <v>817</v>
      </c>
      <c r="D201" s="312" t="s">
        <v>817</v>
      </c>
      <c r="E201" s="557" t="s">
        <v>817</v>
      </c>
    </row>
    <row r="202" spans="1:5" ht="24.95" customHeight="1">
      <c r="A202" s="553"/>
      <c r="B202" s="529"/>
      <c r="C202" s="301"/>
      <c r="D202" s="301"/>
      <c r="E202" s="530"/>
    </row>
    <row r="203" spans="1:5" ht="24.95" customHeight="1">
      <c r="A203" s="564" t="s">
        <v>190</v>
      </c>
      <c r="B203" s="549"/>
      <c r="C203" s="302"/>
      <c r="D203" s="302"/>
      <c r="E203" s="555"/>
    </row>
    <row r="204" spans="1:5" ht="24.95" customHeight="1">
      <c r="A204" s="450"/>
      <c r="B204" s="529"/>
      <c r="C204" s="301"/>
      <c r="D204" s="313"/>
      <c r="E204" s="530"/>
    </row>
    <row r="205" spans="1:5" ht="24.95" customHeight="1">
      <c r="A205" s="553" t="s">
        <v>191</v>
      </c>
      <c r="B205" s="529"/>
      <c r="C205" s="301"/>
      <c r="D205" s="301"/>
      <c r="E205" s="530"/>
    </row>
    <row r="206" spans="1:5" ht="24.95" customHeight="1">
      <c r="A206" s="541"/>
      <c r="B206" s="529"/>
      <c r="C206" s="301"/>
      <c r="D206" s="301"/>
      <c r="E206" s="530"/>
    </row>
    <row r="207" spans="1:5" ht="24.95" customHeight="1">
      <c r="A207" s="553" t="s">
        <v>192</v>
      </c>
      <c r="B207" s="529"/>
      <c r="C207" s="301"/>
      <c r="D207" s="301"/>
      <c r="E207" s="530"/>
    </row>
    <row r="208" spans="1:5" ht="24.95" customHeight="1">
      <c r="A208" s="450" t="s">
        <v>1401</v>
      </c>
      <c r="B208" s="549" t="s">
        <v>1150</v>
      </c>
      <c r="C208" s="301">
        <v>500000</v>
      </c>
      <c r="D208" s="301">
        <v>500000</v>
      </c>
      <c r="E208" s="530">
        <v>500000</v>
      </c>
    </row>
    <row r="209" spans="1:5" ht="24.95" customHeight="1">
      <c r="A209" s="450" t="s">
        <v>1246</v>
      </c>
      <c r="B209" s="549" t="s">
        <v>1157</v>
      </c>
      <c r="C209" s="302">
        <v>0</v>
      </c>
      <c r="D209" s="302">
        <v>3097922</v>
      </c>
      <c r="E209" s="530">
        <v>3097922</v>
      </c>
    </row>
    <row r="210" spans="1:5" ht="24.95" customHeight="1">
      <c r="A210" s="450" t="s">
        <v>1345</v>
      </c>
      <c r="B210" s="549" t="s">
        <v>1208</v>
      </c>
      <c r="C210" s="302">
        <v>866097</v>
      </c>
      <c r="D210" s="302">
        <v>0</v>
      </c>
      <c r="E210" s="530"/>
    </row>
    <row r="211" spans="1:5" ht="24.95" customHeight="1">
      <c r="A211" s="450" t="s">
        <v>1402</v>
      </c>
      <c r="B211" s="549"/>
      <c r="C211" s="302">
        <v>0</v>
      </c>
      <c r="D211" s="302">
        <v>3500</v>
      </c>
      <c r="E211" s="530">
        <v>3500</v>
      </c>
    </row>
    <row r="212" spans="1:5" ht="24.95" customHeight="1">
      <c r="A212" s="450"/>
      <c r="B212" s="549"/>
      <c r="C212" s="301"/>
      <c r="D212" s="301"/>
      <c r="E212" s="530"/>
    </row>
    <row r="213" spans="1:5" ht="24.95" customHeight="1">
      <c r="A213" s="450"/>
      <c r="B213" s="549"/>
      <c r="C213" s="302"/>
      <c r="D213" s="302"/>
      <c r="E213" s="530"/>
    </row>
    <row r="214" spans="1:5" ht="24.95" customHeight="1">
      <c r="A214" s="565"/>
      <c r="B214" s="549"/>
      <c r="C214" s="301"/>
      <c r="D214" s="301"/>
      <c r="E214" s="530"/>
    </row>
    <row r="215" spans="1:5" ht="24.95" customHeight="1" thickBot="1">
      <c r="A215" s="566"/>
      <c r="B215" s="545"/>
      <c r="C215" s="310"/>
      <c r="D215" s="310"/>
      <c r="E215" s="546"/>
    </row>
    <row r="216" spans="1:5" ht="24.95" customHeight="1" thickTop="1">
      <c r="A216" s="544" t="s">
        <v>413</v>
      </c>
    </row>
    <row r="217" spans="1:5" ht="24.95" customHeight="1" thickBot="1">
      <c r="A217" s="521" t="s">
        <v>857</v>
      </c>
      <c r="B217" s="303"/>
      <c r="C217" s="303"/>
      <c r="D217" s="303"/>
      <c r="E217" s="521" t="s">
        <v>795</v>
      </c>
    </row>
    <row r="218" spans="1:5" ht="24.95" customHeight="1" thickTop="1">
      <c r="A218" s="522"/>
      <c r="B218" s="539"/>
      <c r="C218" s="524" t="s">
        <v>804</v>
      </c>
      <c r="D218" s="304"/>
      <c r="E218" s="525" t="s">
        <v>803</v>
      </c>
    </row>
    <row r="219" spans="1:5" ht="24.95" customHeight="1">
      <c r="A219" s="526" t="s">
        <v>792</v>
      </c>
      <c r="B219" s="305" t="s">
        <v>793</v>
      </c>
      <c r="C219" s="305" t="s">
        <v>1341</v>
      </c>
      <c r="D219" s="305" t="s">
        <v>1306</v>
      </c>
      <c r="E219" s="527" t="s">
        <v>1343</v>
      </c>
    </row>
    <row r="220" spans="1:5" ht="24.95" customHeight="1">
      <c r="A220" s="920" t="s">
        <v>33</v>
      </c>
      <c r="B220" s="556"/>
      <c r="C220" s="306"/>
      <c r="D220" s="306"/>
      <c r="E220" s="535"/>
    </row>
    <row r="221" spans="1:5" ht="24.95" customHeight="1">
      <c r="A221" s="921"/>
      <c r="B221" s="554" t="s">
        <v>816</v>
      </c>
      <c r="C221" s="312" t="s">
        <v>817</v>
      </c>
      <c r="D221" s="312" t="s">
        <v>817</v>
      </c>
      <c r="E221" s="557" t="s">
        <v>817</v>
      </c>
    </row>
    <row r="222" spans="1:5" ht="24.95" customHeight="1">
      <c r="A222" s="553"/>
      <c r="B222" s="529"/>
      <c r="C222" s="301"/>
      <c r="D222" s="301"/>
      <c r="E222" s="530"/>
    </row>
    <row r="223" spans="1:5" ht="24.95" customHeight="1">
      <c r="A223" s="553" t="s">
        <v>193</v>
      </c>
      <c r="B223" s="559"/>
      <c r="C223" s="301"/>
      <c r="D223" s="301"/>
      <c r="E223" s="530"/>
    </row>
    <row r="224" spans="1:5" ht="24.95" customHeight="1">
      <c r="A224" s="450" t="s">
        <v>1346</v>
      </c>
      <c r="B224" s="529" t="s">
        <v>1151</v>
      </c>
      <c r="C224" s="301">
        <v>0</v>
      </c>
      <c r="D224" s="301">
        <v>639576</v>
      </c>
      <c r="E224" s="530">
        <v>639576</v>
      </c>
    </row>
    <row r="225" spans="1:5" ht="24.95" customHeight="1">
      <c r="A225" s="461" t="s">
        <v>1413</v>
      </c>
      <c r="B225" s="529" t="s">
        <v>364</v>
      </c>
      <c r="C225" s="301">
        <v>0</v>
      </c>
      <c r="D225" s="301">
        <v>54878</v>
      </c>
      <c r="E225" s="530">
        <v>54878</v>
      </c>
    </row>
    <row r="226" spans="1:5" ht="24.95" customHeight="1">
      <c r="A226" s="565" t="s">
        <v>1485</v>
      </c>
      <c r="B226" s="529"/>
      <c r="C226" s="301">
        <v>7498372</v>
      </c>
      <c r="D226" s="301">
        <v>0</v>
      </c>
      <c r="E226" s="530">
        <v>0</v>
      </c>
    </row>
    <row r="227" spans="1:5" ht="24.95" customHeight="1">
      <c r="A227" s="541"/>
      <c r="B227" s="529"/>
      <c r="C227" s="301"/>
      <c r="D227" s="301"/>
      <c r="E227" s="530"/>
    </row>
    <row r="228" spans="1:5" ht="24.95" customHeight="1">
      <c r="A228" s="553" t="s">
        <v>428</v>
      </c>
      <c r="B228" s="529"/>
      <c r="C228" s="301"/>
      <c r="D228" s="301"/>
      <c r="E228" s="530"/>
    </row>
    <row r="229" spans="1:5" ht="24.95" customHeight="1">
      <c r="A229" s="450" t="s">
        <v>1192</v>
      </c>
      <c r="B229" s="529" t="s">
        <v>1193</v>
      </c>
      <c r="C229" s="301">
        <v>0</v>
      </c>
      <c r="D229" s="301">
        <v>0</v>
      </c>
      <c r="E229" s="530"/>
    </row>
    <row r="230" spans="1:5" ht="24.95" customHeight="1">
      <c r="A230" s="450"/>
      <c r="B230" s="529"/>
      <c r="C230" s="301"/>
      <c r="D230" s="301"/>
      <c r="E230" s="530"/>
    </row>
    <row r="231" spans="1:5" ht="24.95" customHeight="1">
      <c r="A231" s="450"/>
      <c r="B231" s="529"/>
      <c r="C231" s="301"/>
      <c r="D231" s="301"/>
      <c r="E231" s="530"/>
    </row>
    <row r="232" spans="1:5" ht="24.95" customHeight="1">
      <c r="A232" s="541"/>
      <c r="B232" s="529"/>
      <c r="C232" s="301"/>
      <c r="D232" s="301"/>
      <c r="E232" s="530"/>
    </row>
    <row r="233" spans="1:5" ht="24.95" customHeight="1" thickBot="1">
      <c r="A233" s="567"/>
      <c r="B233" s="545"/>
      <c r="C233" s="310"/>
      <c r="D233" s="310"/>
      <c r="E233" s="546"/>
    </row>
    <row r="234" spans="1:5" ht="24.95" customHeight="1" thickTop="1">
      <c r="A234" s="544" t="s">
        <v>414</v>
      </c>
    </row>
    <row r="235" spans="1:5" ht="24.95" customHeight="1" thickBot="1">
      <c r="A235" s="521" t="s">
        <v>857</v>
      </c>
      <c r="B235" s="303"/>
      <c r="C235" s="303"/>
      <c r="D235" s="303"/>
      <c r="E235" s="521" t="s">
        <v>795</v>
      </c>
    </row>
    <row r="236" spans="1:5" ht="24.95" customHeight="1" thickTop="1">
      <c r="A236" s="522"/>
      <c r="B236" s="539"/>
      <c r="C236" s="524" t="s">
        <v>804</v>
      </c>
      <c r="D236" s="304"/>
      <c r="E236" s="525" t="s">
        <v>803</v>
      </c>
    </row>
    <row r="237" spans="1:5" ht="24.95" customHeight="1">
      <c r="A237" s="526" t="s">
        <v>792</v>
      </c>
      <c r="B237" s="305" t="s">
        <v>793</v>
      </c>
      <c r="C237" s="305" t="s">
        <v>1341</v>
      </c>
      <c r="D237" s="305" t="s">
        <v>1306</v>
      </c>
      <c r="E237" s="527" t="s">
        <v>1342</v>
      </c>
    </row>
    <row r="238" spans="1:5" ht="24.95" customHeight="1">
      <c r="A238" s="920" t="s">
        <v>33</v>
      </c>
      <c r="B238" s="556"/>
      <c r="C238" s="306"/>
      <c r="D238" s="306"/>
      <c r="E238" s="535"/>
    </row>
    <row r="239" spans="1:5" ht="24.95" customHeight="1">
      <c r="A239" s="921"/>
      <c r="B239" s="554" t="s">
        <v>816</v>
      </c>
      <c r="C239" s="312" t="s">
        <v>817</v>
      </c>
      <c r="D239" s="312" t="s">
        <v>817</v>
      </c>
      <c r="E239" s="557" t="s">
        <v>817</v>
      </c>
    </row>
    <row r="240" spans="1:5" ht="24.95" customHeight="1">
      <c r="A240" s="553"/>
      <c r="B240" s="529"/>
      <c r="C240" s="301"/>
      <c r="D240" s="301"/>
      <c r="E240" s="530"/>
    </row>
    <row r="241" spans="1:5" ht="24.95" customHeight="1">
      <c r="A241" s="553" t="s">
        <v>195</v>
      </c>
      <c r="B241" s="529"/>
      <c r="C241" s="301"/>
      <c r="D241" s="301"/>
      <c r="E241" s="530"/>
    </row>
    <row r="242" spans="1:5" ht="24.95" customHeight="1">
      <c r="A242" s="469" t="s">
        <v>486</v>
      </c>
      <c r="B242" s="529" t="s">
        <v>363</v>
      </c>
      <c r="C242" s="301">
        <v>88535</v>
      </c>
      <c r="D242" s="301">
        <v>88535</v>
      </c>
      <c r="E242" s="530">
        <v>88535</v>
      </c>
    </row>
    <row r="243" spans="1:5" ht="24.95" customHeight="1">
      <c r="A243" s="450" t="s">
        <v>1247</v>
      </c>
      <c r="B243" s="529" t="s">
        <v>569</v>
      </c>
      <c r="C243" s="301">
        <v>208700</v>
      </c>
      <c r="D243" s="301">
        <v>208700</v>
      </c>
      <c r="E243" s="530">
        <v>208700</v>
      </c>
    </row>
    <row r="244" spans="1:5" ht="24.95" customHeight="1">
      <c r="A244" s="450" t="s">
        <v>1404</v>
      </c>
      <c r="B244" s="529" t="s">
        <v>1407</v>
      </c>
      <c r="C244" s="301">
        <v>49111</v>
      </c>
      <c r="D244" s="301">
        <v>0</v>
      </c>
      <c r="E244" s="530"/>
    </row>
    <row r="245" spans="1:5" ht="24.95" customHeight="1">
      <c r="A245" s="450" t="s">
        <v>1405</v>
      </c>
      <c r="B245" s="529" t="s">
        <v>1110</v>
      </c>
      <c r="C245" s="301">
        <v>304690</v>
      </c>
      <c r="D245" s="301">
        <v>310190</v>
      </c>
      <c r="E245" s="530">
        <v>310190</v>
      </c>
    </row>
    <row r="246" spans="1:5" ht="24.95" customHeight="1">
      <c r="A246" s="469" t="s">
        <v>1406</v>
      </c>
      <c r="B246" s="529" t="s">
        <v>1408</v>
      </c>
      <c r="C246" s="301">
        <v>149897</v>
      </c>
      <c r="D246" s="301">
        <v>149897</v>
      </c>
      <c r="E246" s="530">
        <v>149897</v>
      </c>
    </row>
    <row r="247" spans="1:5" ht="24.95" customHeight="1">
      <c r="A247" s="450"/>
      <c r="B247" s="529"/>
      <c r="C247" s="301"/>
      <c r="D247" s="301"/>
      <c r="E247" s="530"/>
    </row>
    <row r="248" spans="1:5" ht="24.95" customHeight="1">
      <c r="A248" s="469" t="s">
        <v>1248</v>
      </c>
      <c r="B248" s="529" t="s">
        <v>1201</v>
      </c>
      <c r="C248" s="301">
        <v>18000</v>
      </c>
      <c r="D248" s="301">
        <v>97254</v>
      </c>
      <c r="E248" s="530">
        <v>97254</v>
      </c>
    </row>
    <row r="249" spans="1:5" ht="24.95" customHeight="1">
      <c r="A249" s="450" t="s">
        <v>1168</v>
      </c>
      <c r="B249" s="529" t="s">
        <v>864</v>
      </c>
      <c r="C249" s="301">
        <v>230846</v>
      </c>
      <c r="D249" s="301">
        <v>230846</v>
      </c>
      <c r="E249" s="530">
        <v>230846</v>
      </c>
    </row>
    <row r="250" spans="1:5" ht="24.95" customHeight="1">
      <c r="A250" s="469" t="s">
        <v>426</v>
      </c>
      <c r="B250" s="529" t="s">
        <v>1057</v>
      </c>
      <c r="C250" s="301">
        <v>243400</v>
      </c>
      <c r="D250" s="301">
        <v>243400</v>
      </c>
      <c r="E250" s="530">
        <v>243400</v>
      </c>
    </row>
    <row r="251" spans="1:5" ht="24.95" customHeight="1">
      <c r="A251" s="450" t="s">
        <v>1074</v>
      </c>
      <c r="B251" s="529" t="s">
        <v>1058</v>
      </c>
      <c r="C251" s="301">
        <v>226525</v>
      </c>
      <c r="D251" s="301">
        <v>226525</v>
      </c>
      <c r="E251" s="530">
        <v>226525</v>
      </c>
    </row>
    <row r="252" spans="1:5" ht="24.95" customHeight="1">
      <c r="A252" s="450" t="s">
        <v>1455</v>
      </c>
      <c r="B252" s="529"/>
      <c r="C252" s="301"/>
      <c r="D252" s="301">
        <v>12000</v>
      </c>
      <c r="E252" s="530">
        <v>12000</v>
      </c>
    </row>
    <row r="253" spans="1:5" ht="24.95" customHeight="1">
      <c r="A253" s="450" t="s">
        <v>1456</v>
      </c>
      <c r="B253" s="529"/>
      <c r="C253" s="301"/>
      <c r="D253" s="301">
        <v>3295222</v>
      </c>
      <c r="E253" s="530">
        <v>3295222</v>
      </c>
    </row>
    <row r="254" spans="1:5" ht="24.95" customHeight="1">
      <c r="A254" s="469"/>
      <c r="B254" s="529"/>
      <c r="C254" s="301"/>
      <c r="D254" s="301"/>
      <c r="E254" s="530"/>
    </row>
    <row r="255" spans="1:5" ht="24.95" customHeight="1" thickBot="1">
      <c r="A255" s="568"/>
      <c r="B255" s="545"/>
      <c r="C255" s="310"/>
      <c r="D255" s="310"/>
      <c r="E255" s="546"/>
    </row>
    <row r="256" spans="1:5" ht="24.95" customHeight="1" thickTop="1">
      <c r="A256" s="544" t="s">
        <v>415</v>
      </c>
    </row>
    <row r="257" spans="1:5" ht="24.95" customHeight="1" thickBot="1">
      <c r="A257" s="521" t="s">
        <v>857</v>
      </c>
      <c r="B257" s="303"/>
      <c r="C257" s="303"/>
      <c r="D257" s="303"/>
      <c r="E257" s="521" t="s">
        <v>795</v>
      </c>
    </row>
    <row r="258" spans="1:5" ht="24.95" customHeight="1" thickTop="1">
      <c r="A258" s="522"/>
      <c r="B258" s="539"/>
      <c r="C258" s="524" t="s">
        <v>804</v>
      </c>
      <c r="D258" s="304"/>
      <c r="E258" s="525" t="s">
        <v>803</v>
      </c>
    </row>
    <row r="259" spans="1:5" ht="24.95" customHeight="1">
      <c r="A259" s="526" t="s">
        <v>792</v>
      </c>
      <c r="B259" s="305" t="s">
        <v>793</v>
      </c>
      <c r="C259" s="305" t="s">
        <v>1341</v>
      </c>
      <c r="D259" s="305" t="s">
        <v>1306</v>
      </c>
      <c r="E259" s="527" t="s">
        <v>1342</v>
      </c>
    </row>
    <row r="260" spans="1:5" ht="24.95" customHeight="1">
      <c r="A260" s="920" t="s">
        <v>33</v>
      </c>
      <c r="B260" s="556"/>
      <c r="C260" s="306"/>
      <c r="D260" s="306"/>
      <c r="E260" s="535"/>
    </row>
    <row r="261" spans="1:5" ht="24.95" customHeight="1">
      <c r="A261" s="921"/>
      <c r="B261" s="554" t="s">
        <v>816</v>
      </c>
      <c r="C261" s="312" t="s">
        <v>817</v>
      </c>
      <c r="D261" s="312" t="s">
        <v>817</v>
      </c>
      <c r="E261" s="557" t="s">
        <v>817</v>
      </c>
    </row>
    <row r="262" spans="1:5" ht="24.95" customHeight="1">
      <c r="A262" s="553"/>
      <c r="B262" s="529"/>
      <c r="C262" s="301"/>
      <c r="D262" s="301"/>
      <c r="E262" s="530"/>
    </row>
    <row r="263" spans="1:5" ht="24.95" customHeight="1">
      <c r="A263" s="553" t="s">
        <v>430</v>
      </c>
      <c r="B263" s="529"/>
      <c r="C263" s="301"/>
      <c r="D263" s="301"/>
      <c r="E263" s="530"/>
    </row>
    <row r="264" spans="1:5" ht="24.95" customHeight="1">
      <c r="A264" s="450" t="s">
        <v>1409</v>
      </c>
      <c r="B264" s="529" t="s">
        <v>919</v>
      </c>
      <c r="C264" s="301">
        <v>5000</v>
      </c>
      <c r="D264" s="301">
        <v>0</v>
      </c>
      <c r="E264" s="530"/>
    </row>
    <row r="265" spans="1:5" ht="24.95" customHeight="1">
      <c r="A265" s="450" t="s">
        <v>1169</v>
      </c>
      <c r="B265" s="529" t="s">
        <v>1061</v>
      </c>
      <c r="C265" s="301">
        <v>199563</v>
      </c>
      <c r="D265" s="301">
        <v>199563</v>
      </c>
      <c r="E265" s="530">
        <v>199563</v>
      </c>
    </row>
    <row r="266" spans="1:5" ht="24.95" customHeight="1">
      <c r="A266" s="450" t="s">
        <v>1410</v>
      </c>
      <c r="B266" s="529"/>
      <c r="C266" s="301">
        <v>0</v>
      </c>
      <c r="D266" s="313">
        <v>11448.36</v>
      </c>
      <c r="E266" s="530">
        <v>11448.36</v>
      </c>
    </row>
    <row r="267" spans="1:5" ht="24.95" customHeight="1">
      <c r="A267" s="450" t="s">
        <v>1411</v>
      </c>
      <c r="B267" s="529"/>
      <c r="C267" s="301">
        <v>0</v>
      </c>
      <c r="D267" s="313">
        <v>16000</v>
      </c>
      <c r="E267" s="530">
        <v>16000</v>
      </c>
    </row>
    <row r="268" spans="1:5" ht="24.95" customHeight="1">
      <c r="A268" s="450" t="s">
        <v>1250</v>
      </c>
      <c r="B268" s="529" t="s">
        <v>365</v>
      </c>
      <c r="C268" s="301">
        <v>34598.629999999997</v>
      </c>
      <c r="D268" s="301">
        <v>34409.24</v>
      </c>
      <c r="E268" s="530">
        <v>34409.24</v>
      </c>
    </row>
    <row r="269" spans="1:5" ht="24.95" customHeight="1">
      <c r="A269" s="450" t="s">
        <v>1457</v>
      </c>
      <c r="B269" s="529"/>
      <c r="C269" s="301"/>
      <c r="D269" s="301">
        <v>10897.16</v>
      </c>
      <c r="E269" s="530">
        <v>10897.16</v>
      </c>
    </row>
    <row r="270" spans="1:5" ht="24.95" customHeight="1">
      <c r="A270" s="469"/>
      <c r="B270" s="529"/>
      <c r="C270" s="301"/>
      <c r="D270" s="301"/>
      <c r="E270" s="530"/>
    </row>
    <row r="271" spans="1:5" ht="24.95" customHeight="1">
      <c r="A271" s="569"/>
      <c r="B271" s="529"/>
      <c r="C271" s="301"/>
      <c r="D271" s="301"/>
      <c r="E271" s="530"/>
    </row>
    <row r="272" spans="1:5" ht="24.95" customHeight="1">
      <c r="A272" s="553"/>
      <c r="B272" s="529"/>
      <c r="C272" s="301"/>
      <c r="D272" s="301"/>
      <c r="E272" s="530"/>
    </row>
    <row r="273" spans="1:5" ht="24.95" customHeight="1">
      <c r="A273" s="450"/>
      <c r="B273" s="529"/>
      <c r="C273" s="301"/>
      <c r="D273" s="301"/>
      <c r="E273" s="530"/>
    </row>
    <row r="274" spans="1:5" ht="24.95" customHeight="1">
      <c r="A274" s="469"/>
      <c r="B274" s="529"/>
      <c r="C274" s="301"/>
      <c r="D274" s="301"/>
      <c r="E274" s="530"/>
    </row>
    <row r="275" spans="1:5" ht="24.95" customHeight="1">
      <c r="A275" s="469"/>
      <c r="B275" s="529"/>
      <c r="C275" s="301"/>
      <c r="D275" s="301"/>
      <c r="E275" s="530"/>
    </row>
    <row r="276" spans="1:5" ht="24.95" customHeight="1">
      <c r="A276" s="450"/>
      <c r="B276" s="529"/>
      <c r="C276" s="301"/>
      <c r="D276" s="301"/>
      <c r="E276" s="530"/>
    </row>
    <row r="277" spans="1:5" ht="24.95" customHeight="1" thickBot="1">
      <c r="A277" s="566"/>
      <c r="B277" s="545"/>
      <c r="C277" s="310"/>
      <c r="D277" s="310"/>
      <c r="E277" s="546"/>
    </row>
    <row r="278" spans="1:5" ht="24.95" customHeight="1" thickTop="1">
      <c r="A278" s="544" t="s">
        <v>416</v>
      </c>
    </row>
    <row r="279" spans="1:5" ht="24.95" customHeight="1" thickBot="1">
      <c r="A279" s="521" t="s">
        <v>857</v>
      </c>
      <c r="B279" s="303"/>
      <c r="C279" s="303"/>
      <c r="D279" s="303"/>
      <c r="E279" s="521" t="s">
        <v>795</v>
      </c>
    </row>
    <row r="280" spans="1:5" ht="24.95" customHeight="1" thickTop="1">
      <c r="A280" s="522"/>
      <c r="B280" s="539"/>
      <c r="C280" s="524" t="s">
        <v>804</v>
      </c>
      <c r="D280" s="304"/>
      <c r="E280" s="525" t="s">
        <v>803</v>
      </c>
    </row>
    <row r="281" spans="1:5" ht="24.95" customHeight="1">
      <c r="A281" s="526" t="s">
        <v>792</v>
      </c>
      <c r="B281" s="305" t="s">
        <v>793</v>
      </c>
      <c r="C281" s="305" t="s">
        <v>1341</v>
      </c>
      <c r="D281" s="305" t="s">
        <v>1306</v>
      </c>
      <c r="E281" s="527" t="s">
        <v>1342</v>
      </c>
    </row>
    <row r="282" spans="1:5" ht="24.95" customHeight="1">
      <c r="A282" s="920" t="s">
        <v>33</v>
      </c>
      <c r="B282" s="556"/>
      <c r="C282" s="306"/>
      <c r="D282" s="306"/>
      <c r="E282" s="535"/>
    </row>
    <row r="283" spans="1:5" ht="24.95" customHeight="1">
      <c r="A283" s="921"/>
      <c r="B283" s="554" t="s">
        <v>816</v>
      </c>
      <c r="C283" s="312" t="s">
        <v>817</v>
      </c>
      <c r="D283" s="312" t="s">
        <v>817</v>
      </c>
      <c r="E283" s="557" t="s">
        <v>817</v>
      </c>
    </row>
    <row r="284" spans="1:5" ht="24.95" customHeight="1">
      <c r="A284" s="553" t="s">
        <v>431</v>
      </c>
      <c r="B284" s="529"/>
      <c r="C284" s="301"/>
      <c r="D284" s="301"/>
      <c r="E284" s="530"/>
    </row>
    <row r="285" spans="1:5" ht="24.95" customHeight="1">
      <c r="A285" s="450" t="s">
        <v>1454</v>
      </c>
      <c r="B285" s="529" t="s">
        <v>860</v>
      </c>
      <c r="C285" s="301"/>
      <c r="D285" s="301">
        <v>221874</v>
      </c>
      <c r="E285" s="530">
        <v>221874</v>
      </c>
    </row>
    <row r="286" spans="1:5" ht="24.95" customHeight="1">
      <c r="A286" s="469" t="s">
        <v>1414</v>
      </c>
      <c r="B286" s="529"/>
      <c r="C286" s="301"/>
      <c r="D286" s="301">
        <v>23835</v>
      </c>
      <c r="E286" s="530">
        <v>23835</v>
      </c>
    </row>
    <row r="287" spans="1:5" ht="24.95" customHeight="1">
      <c r="A287" s="469" t="s">
        <v>1458</v>
      </c>
      <c r="B287" s="529"/>
      <c r="C287" s="301"/>
      <c r="D287" s="301">
        <v>193565.48</v>
      </c>
      <c r="E287" s="530">
        <v>193565.48</v>
      </c>
    </row>
    <row r="288" spans="1:5" ht="24.95" customHeight="1">
      <c r="A288" s="469"/>
      <c r="B288" s="529"/>
      <c r="C288" s="301"/>
      <c r="D288" s="301"/>
      <c r="E288" s="530"/>
    </row>
    <row r="289" spans="1:5" ht="24.95" customHeight="1">
      <c r="A289" s="469"/>
      <c r="B289" s="529"/>
      <c r="C289" s="301"/>
      <c r="D289" s="301"/>
      <c r="E289" s="530"/>
    </row>
    <row r="290" spans="1:5" ht="24.95" customHeight="1">
      <c r="A290" s="553" t="s">
        <v>433</v>
      </c>
      <c r="B290" s="529"/>
      <c r="C290" s="301"/>
      <c r="D290" s="301"/>
      <c r="E290" s="530"/>
    </row>
    <row r="291" spans="1:5" ht="24.95" customHeight="1">
      <c r="A291" s="469" t="s">
        <v>231</v>
      </c>
      <c r="B291" s="529" t="s">
        <v>233</v>
      </c>
      <c r="C291" s="301">
        <v>236400</v>
      </c>
      <c r="D291" s="301">
        <v>242031</v>
      </c>
      <c r="E291" s="530">
        <v>242031</v>
      </c>
    </row>
    <row r="292" spans="1:5" ht="24.95" customHeight="1">
      <c r="A292" s="469" t="s">
        <v>1412</v>
      </c>
      <c r="B292" s="529" t="s">
        <v>1191</v>
      </c>
      <c r="C292" s="301">
        <v>0</v>
      </c>
      <c r="D292" s="301">
        <v>50000</v>
      </c>
      <c r="E292" s="530">
        <v>50000</v>
      </c>
    </row>
    <row r="293" spans="1:5" ht="24.95" customHeight="1">
      <c r="A293" s="469"/>
      <c r="B293" s="529"/>
      <c r="C293" s="301"/>
      <c r="D293" s="301"/>
      <c r="E293" s="530"/>
    </row>
    <row r="294" spans="1:5" ht="24.95" customHeight="1">
      <c r="A294" s="469"/>
      <c r="B294" s="529"/>
      <c r="C294" s="301"/>
      <c r="D294" s="301"/>
      <c r="E294" s="530"/>
    </row>
    <row r="295" spans="1:5" ht="24.95" customHeight="1">
      <c r="A295" s="469"/>
      <c r="B295" s="529"/>
      <c r="C295" s="301"/>
      <c r="D295" s="301"/>
      <c r="E295" s="530"/>
    </row>
    <row r="296" spans="1:5" ht="24.95" customHeight="1">
      <c r="A296" s="469"/>
      <c r="B296" s="529"/>
      <c r="C296" s="301"/>
      <c r="D296" s="301"/>
      <c r="E296" s="530"/>
    </row>
    <row r="297" spans="1:5" ht="24.95" customHeight="1">
      <c r="A297" s="469"/>
      <c r="B297" s="529"/>
      <c r="C297" s="301"/>
      <c r="D297" s="301"/>
      <c r="E297" s="530"/>
    </row>
    <row r="298" spans="1:5" ht="24.95" customHeight="1" thickBot="1">
      <c r="A298" s="450"/>
      <c r="B298" s="545"/>
      <c r="C298" s="310"/>
      <c r="D298" s="310"/>
      <c r="E298" s="546"/>
    </row>
    <row r="299" spans="1:5" ht="24.95" customHeight="1" thickTop="1">
      <c r="A299" s="544" t="s">
        <v>417</v>
      </c>
    </row>
    <row r="300" spans="1:5" ht="24.95" customHeight="1" thickBot="1">
      <c r="A300" s="521" t="s">
        <v>857</v>
      </c>
      <c r="B300" s="303"/>
      <c r="C300" s="303"/>
      <c r="D300" s="303"/>
      <c r="E300" s="521" t="s">
        <v>795</v>
      </c>
    </row>
    <row r="301" spans="1:5" ht="24.95" customHeight="1" thickTop="1">
      <c r="A301" s="522"/>
      <c r="B301" s="539"/>
      <c r="C301" s="524" t="s">
        <v>804</v>
      </c>
      <c r="D301" s="304"/>
      <c r="E301" s="525" t="s">
        <v>803</v>
      </c>
    </row>
    <row r="302" spans="1:5" ht="24.95" customHeight="1">
      <c r="A302" s="526" t="s">
        <v>792</v>
      </c>
      <c r="B302" s="305" t="s">
        <v>793</v>
      </c>
      <c r="C302" s="305" t="s">
        <v>1238</v>
      </c>
      <c r="D302" s="305" t="s">
        <v>1160</v>
      </c>
      <c r="E302" s="527" t="s">
        <v>1239</v>
      </c>
    </row>
    <row r="303" spans="1:5" ht="24.95" customHeight="1">
      <c r="A303" s="920" t="s">
        <v>33</v>
      </c>
      <c r="B303" s="556"/>
      <c r="C303" s="306"/>
      <c r="D303" s="306"/>
      <c r="E303" s="535"/>
    </row>
    <row r="304" spans="1:5" ht="24.95" customHeight="1">
      <c r="A304" s="921"/>
      <c r="B304" s="554" t="s">
        <v>816</v>
      </c>
      <c r="C304" s="312" t="s">
        <v>817</v>
      </c>
      <c r="D304" s="312" t="s">
        <v>817</v>
      </c>
      <c r="E304" s="557" t="s">
        <v>817</v>
      </c>
    </row>
    <row r="305" spans="1:5" ht="24.95" customHeight="1">
      <c r="A305" s="553" t="s">
        <v>236</v>
      </c>
      <c r="B305" s="529"/>
      <c r="C305" s="301"/>
      <c r="D305" s="301"/>
      <c r="E305" s="530"/>
    </row>
    <row r="306" spans="1:5" ht="24.95" customHeight="1">
      <c r="A306" s="469" t="s">
        <v>1121</v>
      </c>
      <c r="B306" s="529" t="s">
        <v>1113</v>
      </c>
      <c r="C306" s="301">
        <v>18492</v>
      </c>
      <c r="D306" s="301">
        <v>0</v>
      </c>
      <c r="E306" s="530"/>
    </row>
    <row r="307" spans="1:5" ht="24.95" customHeight="1">
      <c r="A307" s="469" t="s">
        <v>1416</v>
      </c>
      <c r="D307" s="301">
        <v>202000</v>
      </c>
      <c r="E307" s="530">
        <v>202000</v>
      </c>
    </row>
    <row r="308" spans="1:5" ht="24.95" customHeight="1">
      <c r="A308" s="469" t="s">
        <v>1451</v>
      </c>
      <c r="B308" s="529"/>
      <c r="C308" s="301"/>
      <c r="D308" s="301">
        <v>46231</v>
      </c>
      <c r="E308" s="530">
        <v>46231</v>
      </c>
    </row>
    <row r="309" spans="1:5" ht="24.95" customHeight="1">
      <c r="A309" s="469" t="s">
        <v>1452</v>
      </c>
      <c r="B309" s="549"/>
      <c r="C309" s="302"/>
      <c r="D309" s="302">
        <v>103855</v>
      </c>
      <c r="E309" s="555">
        <v>103855</v>
      </c>
    </row>
    <row r="310" spans="1:5" ht="24.95" customHeight="1">
      <c r="A310" s="469" t="s">
        <v>1453</v>
      </c>
      <c r="B310" s="529"/>
      <c r="C310" s="301"/>
      <c r="D310" s="301">
        <v>86980</v>
      </c>
      <c r="E310" s="530">
        <v>86980</v>
      </c>
    </row>
    <row r="311" spans="1:5" ht="24.95" customHeight="1">
      <c r="A311" s="553" t="s">
        <v>238</v>
      </c>
      <c r="B311" s="529"/>
      <c r="C311" s="301"/>
      <c r="D311" s="301"/>
      <c r="E311" s="530"/>
    </row>
    <row r="312" spans="1:5" ht="24.95" customHeight="1">
      <c r="A312" s="469" t="s">
        <v>1417</v>
      </c>
      <c r="B312" s="529"/>
      <c r="C312" s="301">
        <v>20430</v>
      </c>
      <c r="D312" s="301">
        <v>0</v>
      </c>
      <c r="E312" s="530"/>
    </row>
    <row r="313" spans="1:5" ht="24.95" customHeight="1">
      <c r="A313" s="469" t="s">
        <v>1418</v>
      </c>
      <c r="B313" s="529"/>
      <c r="C313" s="301"/>
      <c r="D313" s="301">
        <v>20000</v>
      </c>
      <c r="E313" s="530">
        <v>20000</v>
      </c>
    </row>
    <row r="314" spans="1:5" ht="24.95" customHeight="1">
      <c r="A314" s="570" t="s">
        <v>1419</v>
      </c>
      <c r="B314" s="549"/>
      <c r="C314" s="301"/>
      <c r="D314" s="301">
        <v>10000</v>
      </c>
      <c r="E314" s="530">
        <v>10000</v>
      </c>
    </row>
    <row r="315" spans="1:5" ht="24.95" customHeight="1">
      <c r="A315" s="450" t="s">
        <v>1420</v>
      </c>
      <c r="B315" s="529"/>
      <c r="C315" s="301"/>
      <c r="D315" s="301">
        <v>147422.70000000001</v>
      </c>
      <c r="E315" s="530">
        <v>147422.70000000001</v>
      </c>
    </row>
    <row r="316" spans="1:5" ht="24.95" customHeight="1">
      <c r="A316" s="469" t="s">
        <v>1421</v>
      </c>
      <c r="B316" s="529"/>
      <c r="C316" s="301"/>
      <c r="D316" s="301">
        <v>5000</v>
      </c>
      <c r="E316" s="530">
        <v>5000</v>
      </c>
    </row>
    <row r="317" spans="1:5" ht="24.95" customHeight="1">
      <c r="A317" s="469" t="s">
        <v>1422</v>
      </c>
      <c r="C317" s="301"/>
      <c r="D317" s="301">
        <v>500</v>
      </c>
      <c r="E317" s="530">
        <v>500</v>
      </c>
    </row>
    <row r="318" spans="1:5" ht="24.95" customHeight="1">
      <c r="A318" s="469" t="s">
        <v>1423</v>
      </c>
      <c r="B318" s="534"/>
      <c r="C318" s="301"/>
      <c r="D318" s="301">
        <v>711</v>
      </c>
      <c r="E318" s="535">
        <v>711</v>
      </c>
    </row>
    <row r="319" spans="1:5" ht="24.95" customHeight="1">
      <c r="A319" s="450"/>
      <c r="B319" s="529"/>
      <c r="C319" s="301"/>
      <c r="D319" s="301"/>
      <c r="E319" s="530"/>
    </row>
    <row r="320" spans="1:5" ht="24.95" customHeight="1">
      <c r="A320" s="571"/>
      <c r="B320" s="534"/>
      <c r="C320" s="301"/>
      <c r="D320" s="301"/>
      <c r="E320" s="535"/>
    </row>
    <row r="321" spans="1:8" ht="24.95" customHeight="1">
      <c r="A321" s="528" t="s">
        <v>886</v>
      </c>
      <c r="B321" s="554" t="s">
        <v>816</v>
      </c>
      <c r="C321" s="312" t="s">
        <v>817</v>
      </c>
      <c r="D321" s="312" t="s">
        <v>817</v>
      </c>
      <c r="E321" s="572" t="s">
        <v>817</v>
      </c>
    </row>
    <row r="322" spans="1:8" ht="24.95" customHeight="1" thickBot="1">
      <c r="A322" s="573" t="s">
        <v>1252</v>
      </c>
      <c r="B322" s="545" t="s">
        <v>48</v>
      </c>
      <c r="C322" s="310">
        <f>SUM(C161:C320)</f>
        <v>11087297.630000001</v>
      </c>
      <c r="D322" s="310">
        <f>SUM(D160:D320)</f>
        <v>10800177.939999999</v>
      </c>
      <c r="E322" s="546">
        <f>SUM(E160:E320)</f>
        <v>10800177.939999999</v>
      </c>
      <c r="G322" s="308">
        <f>C322-3570128</f>
        <v>7517169.6300000008</v>
      </c>
      <c r="H322" s="308">
        <f>C322-11068109</f>
        <v>19188.63000000082</v>
      </c>
    </row>
    <row r="323" spans="1:8" ht="24.95" customHeight="1" thickTop="1">
      <c r="A323" s="544" t="s">
        <v>418</v>
      </c>
      <c r="G323" s="308">
        <f>C319-G322</f>
        <v>-7517169.6300000008</v>
      </c>
    </row>
    <row r="324" spans="1:8" ht="24.95" customHeight="1" thickBot="1">
      <c r="A324" s="521" t="s">
        <v>857</v>
      </c>
      <c r="B324" s="303"/>
      <c r="C324" s="303"/>
      <c r="D324" s="303"/>
      <c r="E324" s="521" t="s">
        <v>795</v>
      </c>
    </row>
    <row r="325" spans="1:8" ht="24.95" customHeight="1" thickTop="1">
      <c r="A325" s="522"/>
      <c r="B325" s="539"/>
      <c r="C325" s="524" t="s">
        <v>804</v>
      </c>
      <c r="D325" s="304"/>
      <c r="E325" s="525" t="s">
        <v>803</v>
      </c>
    </row>
    <row r="326" spans="1:8" ht="24.95" customHeight="1">
      <c r="A326" s="526" t="s">
        <v>792</v>
      </c>
      <c r="B326" s="305" t="s">
        <v>793</v>
      </c>
      <c r="C326" s="305" t="s">
        <v>1341</v>
      </c>
      <c r="D326" s="305" t="s">
        <v>1306</v>
      </c>
      <c r="E326" s="527" t="s">
        <v>1342</v>
      </c>
    </row>
    <row r="327" spans="1:8" ht="24.95" customHeight="1">
      <c r="A327" s="920" t="s">
        <v>34</v>
      </c>
      <c r="B327" s="556"/>
      <c r="C327" s="306"/>
      <c r="D327" s="306"/>
      <c r="E327" s="535"/>
    </row>
    <row r="328" spans="1:8" ht="24.95" customHeight="1">
      <c r="A328" s="921"/>
      <c r="B328" s="554" t="s">
        <v>816</v>
      </c>
      <c r="C328" s="312" t="s">
        <v>817</v>
      </c>
      <c r="D328" s="312" t="s">
        <v>817</v>
      </c>
      <c r="E328" s="557" t="s">
        <v>817</v>
      </c>
    </row>
    <row r="329" spans="1:8" ht="24.95" customHeight="1">
      <c r="A329" s="553"/>
      <c r="B329" s="529"/>
      <c r="C329" s="301"/>
      <c r="D329" s="301"/>
      <c r="E329" s="530"/>
    </row>
    <row r="330" spans="1:8" ht="24.95" customHeight="1">
      <c r="A330" s="460" t="s">
        <v>887</v>
      </c>
      <c r="B330" s="529" t="s">
        <v>888</v>
      </c>
      <c r="C330" s="301"/>
      <c r="D330" s="301"/>
      <c r="E330" s="530"/>
    </row>
    <row r="331" spans="1:8" ht="24.95" customHeight="1">
      <c r="A331" s="460" t="s">
        <v>890</v>
      </c>
      <c r="B331" s="529" t="s">
        <v>889</v>
      </c>
      <c r="C331" s="301"/>
      <c r="D331" s="301"/>
      <c r="E331" s="530"/>
    </row>
    <row r="332" spans="1:8" ht="24.95" customHeight="1">
      <c r="A332" s="460" t="s">
        <v>317</v>
      </c>
      <c r="B332" s="529"/>
      <c r="C332" s="301"/>
      <c r="D332" s="301"/>
      <c r="E332" s="530"/>
    </row>
    <row r="333" spans="1:8" ht="24.95" customHeight="1">
      <c r="A333" s="574" t="s">
        <v>318</v>
      </c>
      <c r="B333" s="529" t="s">
        <v>335</v>
      </c>
      <c r="C333" s="301">
        <v>82953</v>
      </c>
      <c r="D333" s="301">
        <v>83038</v>
      </c>
      <c r="E333" s="530">
        <v>94509.4</v>
      </c>
    </row>
    <row r="334" spans="1:8" ht="24.95" customHeight="1">
      <c r="A334" s="574" t="s">
        <v>319</v>
      </c>
      <c r="B334" s="529" t="s">
        <v>335</v>
      </c>
      <c r="C334" s="301">
        <v>186509</v>
      </c>
      <c r="D334" s="301">
        <v>138111</v>
      </c>
      <c r="E334" s="530">
        <v>186509</v>
      </c>
    </row>
    <row r="335" spans="1:8" ht="24.95" customHeight="1">
      <c r="A335" s="574" t="s">
        <v>1075</v>
      </c>
      <c r="B335" s="529" t="s">
        <v>335</v>
      </c>
      <c r="C335" s="301">
        <v>172547</v>
      </c>
      <c r="D335" s="301">
        <v>171846</v>
      </c>
      <c r="E335" s="530">
        <v>176278.32</v>
      </c>
    </row>
    <row r="336" spans="1:8" ht="24.95" customHeight="1">
      <c r="A336" s="574" t="s">
        <v>320</v>
      </c>
      <c r="B336" s="529" t="s">
        <v>335</v>
      </c>
      <c r="C336" s="301">
        <v>441944</v>
      </c>
      <c r="D336" s="301">
        <v>433714</v>
      </c>
      <c r="E336" s="530">
        <v>490160.05</v>
      </c>
    </row>
    <row r="337" spans="1:7" ht="24.95" customHeight="1">
      <c r="A337" s="574" t="s">
        <v>321</v>
      </c>
      <c r="B337" s="529" t="s">
        <v>335</v>
      </c>
      <c r="C337" s="301">
        <v>141673</v>
      </c>
      <c r="D337" s="301">
        <v>141870</v>
      </c>
      <c r="E337" s="530">
        <v>140742.66</v>
      </c>
    </row>
    <row r="338" spans="1:7" ht="24.95" customHeight="1">
      <c r="A338" s="574" t="s">
        <v>322</v>
      </c>
      <c r="B338" s="529" t="s">
        <v>335</v>
      </c>
      <c r="C338" s="301">
        <v>149796</v>
      </c>
      <c r="D338" s="301">
        <v>151998</v>
      </c>
      <c r="E338" s="530">
        <v>160296.79999999999</v>
      </c>
    </row>
    <row r="339" spans="1:7" ht="24.95" customHeight="1">
      <c r="A339" s="574" t="s">
        <v>1253</v>
      </c>
      <c r="B339" s="529" t="s">
        <v>335</v>
      </c>
      <c r="C339" s="301">
        <v>158603</v>
      </c>
      <c r="D339" s="301">
        <v>156406</v>
      </c>
      <c r="E339" s="530">
        <v>156902</v>
      </c>
    </row>
    <row r="340" spans="1:7" ht="24.95" customHeight="1">
      <c r="A340" s="574" t="s">
        <v>324</v>
      </c>
      <c r="B340" s="529" t="s">
        <v>335</v>
      </c>
      <c r="C340" s="301">
        <v>15348</v>
      </c>
      <c r="D340" s="301">
        <v>14275</v>
      </c>
      <c r="E340" s="530">
        <v>8840.56</v>
      </c>
    </row>
    <row r="341" spans="1:7" ht="24.95" customHeight="1">
      <c r="A341" s="574" t="s">
        <v>323</v>
      </c>
      <c r="B341" s="529" t="s">
        <v>335</v>
      </c>
      <c r="C341" s="301">
        <v>199451</v>
      </c>
      <c r="D341" s="301">
        <v>199384</v>
      </c>
      <c r="E341" s="530">
        <v>198214</v>
      </c>
    </row>
    <row r="342" spans="1:7" ht="24.95" customHeight="1">
      <c r="A342" s="574" t="s">
        <v>1424</v>
      </c>
      <c r="B342" s="529"/>
      <c r="C342" s="301">
        <v>73351</v>
      </c>
      <c r="D342" s="301">
        <v>72270</v>
      </c>
      <c r="E342" s="530"/>
    </row>
    <row r="343" spans="1:7" ht="24.95" customHeight="1">
      <c r="A343" s="574" t="s">
        <v>1425</v>
      </c>
      <c r="B343" s="529" t="s">
        <v>335</v>
      </c>
      <c r="C343" s="301">
        <v>210000</v>
      </c>
      <c r="D343" s="301">
        <v>238221</v>
      </c>
      <c r="E343" s="530">
        <v>215949.07</v>
      </c>
      <c r="F343" s="308">
        <f>SUM(C333:C344)</f>
        <v>1832175</v>
      </c>
      <c r="G343" s="308">
        <f>SUM(D333:D344)</f>
        <v>1801133</v>
      </c>
    </row>
    <row r="344" spans="1:7" ht="24.95" customHeight="1" thickBot="1">
      <c r="A344" s="574" t="s">
        <v>1254</v>
      </c>
      <c r="B344" s="545" t="s">
        <v>335</v>
      </c>
      <c r="C344" s="310"/>
      <c r="D344" s="310">
        <v>0</v>
      </c>
      <c r="E344" s="546"/>
    </row>
    <row r="345" spans="1:7" ht="24.95" customHeight="1" thickTop="1">
      <c r="A345" s="544" t="s">
        <v>419</v>
      </c>
    </row>
    <row r="346" spans="1:7" ht="24.95" customHeight="1" thickBot="1">
      <c r="A346" s="521" t="s">
        <v>857</v>
      </c>
      <c r="B346" s="303"/>
      <c r="C346" s="303"/>
      <c r="D346" s="303"/>
      <c r="E346" s="521" t="s">
        <v>795</v>
      </c>
    </row>
    <row r="347" spans="1:7" ht="24.95" customHeight="1" thickTop="1">
      <c r="A347" s="522"/>
      <c r="B347" s="539"/>
      <c r="C347" s="524" t="s">
        <v>804</v>
      </c>
      <c r="D347" s="304"/>
      <c r="E347" s="525" t="s">
        <v>803</v>
      </c>
    </row>
    <row r="348" spans="1:7" ht="24.95" customHeight="1">
      <c r="A348" s="526" t="s">
        <v>792</v>
      </c>
      <c r="B348" s="305" t="s">
        <v>793</v>
      </c>
      <c r="C348" s="305" t="s">
        <v>1341</v>
      </c>
      <c r="D348" s="305" t="s">
        <v>1306</v>
      </c>
      <c r="E348" s="527" t="s">
        <v>1342</v>
      </c>
    </row>
    <row r="349" spans="1:7" ht="24.95" customHeight="1">
      <c r="A349" s="920" t="s">
        <v>35</v>
      </c>
      <c r="B349" s="556"/>
      <c r="C349" s="306"/>
      <c r="D349" s="306"/>
      <c r="E349" s="535"/>
    </row>
    <row r="350" spans="1:7" ht="24.95" customHeight="1">
      <c r="A350" s="921"/>
      <c r="B350" s="554" t="s">
        <v>816</v>
      </c>
      <c r="C350" s="312" t="s">
        <v>817</v>
      </c>
      <c r="D350" s="312" t="s">
        <v>817</v>
      </c>
      <c r="E350" s="557" t="s">
        <v>817</v>
      </c>
    </row>
    <row r="351" spans="1:7" ht="24.95" customHeight="1">
      <c r="A351" s="574"/>
      <c r="B351" s="529"/>
      <c r="C351" s="301"/>
      <c r="D351" s="301"/>
      <c r="E351" s="530"/>
    </row>
    <row r="352" spans="1:7" ht="24.95" customHeight="1">
      <c r="A352" s="574" t="s">
        <v>1255</v>
      </c>
      <c r="B352" s="529" t="s">
        <v>335</v>
      </c>
      <c r="C352" s="301">
        <v>179617</v>
      </c>
      <c r="D352" s="301">
        <v>135754</v>
      </c>
      <c r="E352" s="530">
        <v>170274.94</v>
      </c>
    </row>
    <row r="353" spans="1:7" ht="24.95" customHeight="1">
      <c r="A353" s="574" t="s">
        <v>1062</v>
      </c>
      <c r="B353" s="529" t="s">
        <v>335</v>
      </c>
      <c r="C353" s="301"/>
      <c r="D353" s="301">
        <v>15954</v>
      </c>
      <c r="E353" s="530">
        <v>23681.51</v>
      </c>
    </row>
    <row r="354" spans="1:7" ht="24.95" customHeight="1">
      <c r="A354" s="574" t="s">
        <v>344</v>
      </c>
      <c r="B354" s="529" t="s">
        <v>335</v>
      </c>
      <c r="C354" s="301">
        <v>443717.2</v>
      </c>
      <c r="D354" s="301">
        <v>465094</v>
      </c>
      <c r="E354" s="530">
        <v>61195.94</v>
      </c>
    </row>
    <row r="355" spans="1:7" ht="24.95" customHeight="1">
      <c r="A355" s="574"/>
      <c r="B355" s="529"/>
      <c r="C355" s="301"/>
      <c r="D355" s="301"/>
      <c r="E355" s="530"/>
    </row>
    <row r="356" spans="1:7" ht="24.95" customHeight="1">
      <c r="A356" s="574" t="s">
        <v>690</v>
      </c>
      <c r="B356" s="529" t="s">
        <v>335</v>
      </c>
      <c r="C356" s="301">
        <v>112499</v>
      </c>
      <c r="D356" s="301">
        <v>112500</v>
      </c>
      <c r="E356" s="530">
        <v>125430.94</v>
      </c>
    </row>
    <row r="357" spans="1:7" ht="24.95" customHeight="1">
      <c r="A357" s="574" t="s">
        <v>345</v>
      </c>
      <c r="B357" s="529" t="s">
        <v>335</v>
      </c>
      <c r="C357" s="301">
        <v>18195</v>
      </c>
      <c r="D357" s="301">
        <v>18030</v>
      </c>
      <c r="E357" s="530">
        <v>18949.62</v>
      </c>
    </row>
    <row r="358" spans="1:7" ht="24.95" customHeight="1">
      <c r="A358" s="574" t="s">
        <v>346</v>
      </c>
      <c r="B358" s="529" t="s">
        <v>335</v>
      </c>
      <c r="C358" s="301">
        <v>18219</v>
      </c>
      <c r="D358" s="301">
        <v>12632</v>
      </c>
      <c r="E358" s="530">
        <v>27288.51</v>
      </c>
    </row>
    <row r="359" spans="1:7" ht="24.95" customHeight="1">
      <c r="A359" s="574" t="s">
        <v>347</v>
      </c>
      <c r="B359" s="529" t="s">
        <v>335</v>
      </c>
      <c r="C359" s="301">
        <v>18197</v>
      </c>
      <c r="D359" s="301">
        <v>17624</v>
      </c>
      <c r="E359" s="530">
        <v>12255.67</v>
      </c>
    </row>
    <row r="360" spans="1:7" ht="24.95" customHeight="1">
      <c r="A360" s="574" t="s">
        <v>349</v>
      </c>
      <c r="B360" s="529" t="s">
        <v>335</v>
      </c>
      <c r="C360" s="301">
        <v>23923</v>
      </c>
      <c r="D360" s="301">
        <v>19262</v>
      </c>
      <c r="E360" s="530">
        <v>26694.080000000002</v>
      </c>
    </row>
    <row r="361" spans="1:7" ht="24.95" customHeight="1">
      <c r="A361" s="574" t="s">
        <v>427</v>
      </c>
      <c r="B361" s="529" t="s">
        <v>335</v>
      </c>
      <c r="C361" s="301">
        <v>30906</v>
      </c>
      <c r="D361" s="301">
        <v>25744</v>
      </c>
      <c r="E361" s="530">
        <v>31320.25</v>
      </c>
    </row>
    <row r="362" spans="1:7" ht="24.95" customHeight="1">
      <c r="A362" s="574" t="s">
        <v>350</v>
      </c>
      <c r="B362" s="529" t="s">
        <v>335</v>
      </c>
      <c r="C362" s="301">
        <v>13804</v>
      </c>
      <c r="D362" s="301">
        <v>13880</v>
      </c>
      <c r="E362" s="530">
        <v>16660.47</v>
      </c>
    </row>
    <row r="363" spans="1:7" ht="24.95" customHeight="1">
      <c r="A363" s="574" t="s">
        <v>966</v>
      </c>
      <c r="B363" s="529" t="s">
        <v>335</v>
      </c>
      <c r="C363" s="301">
        <v>28323</v>
      </c>
      <c r="D363" s="301">
        <v>27896</v>
      </c>
      <c r="E363" s="530">
        <v>31387.94</v>
      </c>
    </row>
    <row r="364" spans="1:7" ht="24.95" customHeight="1">
      <c r="A364" s="574" t="s">
        <v>487</v>
      </c>
      <c r="B364" s="529" t="s">
        <v>335</v>
      </c>
      <c r="C364" s="301">
        <v>111000</v>
      </c>
      <c r="D364" s="301">
        <v>153441</v>
      </c>
      <c r="E364" s="530">
        <v>137484</v>
      </c>
    </row>
    <row r="365" spans="1:7" ht="24.95" customHeight="1">
      <c r="A365" s="574" t="s">
        <v>488</v>
      </c>
      <c r="B365" s="529" t="s">
        <v>335</v>
      </c>
      <c r="C365" s="301">
        <v>24546</v>
      </c>
      <c r="D365" s="301">
        <v>23122</v>
      </c>
      <c r="E365" s="530">
        <v>52031.81</v>
      </c>
    </row>
    <row r="366" spans="1:7" ht="24.95" customHeight="1" thickBot="1">
      <c r="A366" s="574" t="s">
        <v>1122</v>
      </c>
      <c r="B366" s="545" t="s">
        <v>335</v>
      </c>
      <c r="C366" s="310">
        <v>81592</v>
      </c>
      <c r="D366" s="310">
        <v>93312</v>
      </c>
      <c r="E366" s="546">
        <v>69153.11</v>
      </c>
      <c r="F366" s="308">
        <f>SUM(C352:C366)</f>
        <v>1104538.2</v>
      </c>
      <c r="G366" s="308">
        <f>SUM(D352:D366)</f>
        <v>1134245</v>
      </c>
    </row>
    <row r="367" spans="1:7" ht="24.95" customHeight="1" thickTop="1">
      <c r="A367" s="544" t="s">
        <v>420</v>
      </c>
    </row>
    <row r="368" spans="1:7" ht="24.95" customHeight="1" thickBot="1">
      <c r="A368" s="521" t="s">
        <v>857</v>
      </c>
      <c r="B368" s="303"/>
      <c r="C368" s="303"/>
      <c r="D368" s="303"/>
      <c r="E368" s="521" t="s">
        <v>795</v>
      </c>
    </row>
    <row r="369" spans="1:5" ht="24.95" customHeight="1" thickTop="1">
      <c r="A369" s="522"/>
      <c r="B369" s="539"/>
      <c r="C369" s="524" t="s">
        <v>804</v>
      </c>
      <c r="D369" s="304"/>
      <c r="E369" s="525" t="s">
        <v>803</v>
      </c>
    </row>
    <row r="370" spans="1:5" ht="24.95" customHeight="1">
      <c r="A370" s="526" t="s">
        <v>792</v>
      </c>
      <c r="B370" s="305" t="s">
        <v>793</v>
      </c>
      <c r="C370" s="305" t="s">
        <v>1341</v>
      </c>
      <c r="D370" s="305" t="s">
        <v>1306</v>
      </c>
      <c r="E370" s="527" t="s">
        <v>1342</v>
      </c>
    </row>
    <row r="371" spans="1:5" ht="24.95" customHeight="1">
      <c r="A371" s="920" t="s">
        <v>35</v>
      </c>
      <c r="B371" s="556"/>
      <c r="C371" s="306"/>
      <c r="D371" s="306"/>
      <c r="E371" s="535"/>
    </row>
    <row r="372" spans="1:5" ht="24.95" customHeight="1">
      <c r="A372" s="921"/>
      <c r="B372" s="554" t="s">
        <v>816</v>
      </c>
      <c r="C372" s="312" t="s">
        <v>817</v>
      </c>
      <c r="D372" s="312" t="s">
        <v>817</v>
      </c>
      <c r="E372" s="557" t="s">
        <v>817</v>
      </c>
    </row>
    <row r="373" spans="1:5" ht="24.95" customHeight="1">
      <c r="A373" s="574" t="s">
        <v>1135</v>
      </c>
      <c r="B373" s="529" t="s">
        <v>335</v>
      </c>
      <c r="C373" s="301">
        <v>15594</v>
      </c>
      <c r="D373" s="301">
        <v>15276</v>
      </c>
      <c r="E373" s="530">
        <v>14239.99</v>
      </c>
    </row>
    <row r="374" spans="1:5" ht="24.95" customHeight="1">
      <c r="A374" s="574" t="s">
        <v>1136</v>
      </c>
      <c r="B374" s="529" t="s">
        <v>335</v>
      </c>
      <c r="C374" s="301">
        <v>52188</v>
      </c>
      <c r="D374" s="301">
        <v>27199</v>
      </c>
      <c r="E374" s="530">
        <v>43641.88</v>
      </c>
    </row>
    <row r="375" spans="1:5" ht="24.95" customHeight="1">
      <c r="A375" s="574" t="s">
        <v>1137</v>
      </c>
      <c r="B375" s="529" t="s">
        <v>335</v>
      </c>
      <c r="C375" s="301">
        <v>0</v>
      </c>
      <c r="D375" s="301">
        <v>9163</v>
      </c>
      <c r="E375" s="530">
        <v>9163</v>
      </c>
    </row>
    <row r="376" spans="1:5" ht="24.95" customHeight="1">
      <c r="A376" s="575" t="s">
        <v>1428</v>
      </c>
      <c r="B376" s="529" t="s">
        <v>335</v>
      </c>
      <c r="C376" s="302">
        <v>1916.64</v>
      </c>
      <c r="D376" s="302">
        <v>3529</v>
      </c>
      <c r="E376" s="530">
        <v>0</v>
      </c>
    </row>
    <row r="377" spans="1:5" ht="24.95" customHeight="1">
      <c r="A377" s="574" t="s">
        <v>1187</v>
      </c>
      <c r="B377" s="529" t="s">
        <v>335</v>
      </c>
      <c r="C377" s="301">
        <v>4179.8999999999996</v>
      </c>
      <c r="D377" s="301">
        <v>0</v>
      </c>
      <c r="E377" s="530">
        <v>0</v>
      </c>
    </row>
    <row r="378" spans="1:5" ht="24.95" customHeight="1">
      <c r="A378" s="574" t="s">
        <v>1426</v>
      </c>
      <c r="B378" s="529" t="s">
        <v>335</v>
      </c>
      <c r="C378" s="301">
        <v>0</v>
      </c>
      <c r="D378" s="301">
        <v>43773</v>
      </c>
      <c r="E378" s="530">
        <v>0</v>
      </c>
    </row>
    <row r="379" spans="1:5" ht="24.95" customHeight="1">
      <c r="A379" s="574" t="s">
        <v>1427</v>
      </c>
      <c r="B379" s="529" t="s">
        <v>335</v>
      </c>
      <c r="C379" s="301">
        <v>0</v>
      </c>
      <c r="D379" s="301">
        <v>1157</v>
      </c>
      <c r="E379" s="530">
        <v>0</v>
      </c>
    </row>
    <row r="380" spans="1:5" ht="24.95" customHeight="1">
      <c r="A380" s="574" t="s">
        <v>1429</v>
      </c>
      <c r="B380" s="529" t="s">
        <v>335</v>
      </c>
      <c r="C380" s="301">
        <v>13033.2</v>
      </c>
      <c r="D380" s="301">
        <v>0</v>
      </c>
      <c r="E380" s="530">
        <v>0</v>
      </c>
    </row>
    <row r="381" spans="1:5" ht="24.95" customHeight="1">
      <c r="A381" s="575" t="s">
        <v>1430</v>
      </c>
      <c r="B381" s="529" t="s">
        <v>335</v>
      </c>
      <c r="C381" s="302">
        <v>1702.03</v>
      </c>
      <c r="D381" s="302">
        <v>0</v>
      </c>
      <c r="E381" s="555">
        <v>0</v>
      </c>
    </row>
    <row r="382" spans="1:5" ht="24.95" customHeight="1">
      <c r="A382" s="574" t="s">
        <v>1431</v>
      </c>
      <c r="B382" s="529" t="s">
        <v>335</v>
      </c>
      <c r="C382" s="301">
        <v>1428.96</v>
      </c>
      <c r="D382" s="301">
        <v>0</v>
      </c>
      <c r="E382" s="530">
        <v>0</v>
      </c>
    </row>
    <row r="383" spans="1:5" ht="24.95" customHeight="1">
      <c r="A383" s="574" t="s">
        <v>1432</v>
      </c>
      <c r="B383" s="529" t="s">
        <v>335</v>
      </c>
      <c r="C383" s="301">
        <v>5666.25</v>
      </c>
      <c r="D383" s="301">
        <v>0</v>
      </c>
      <c r="E383" s="530">
        <v>0</v>
      </c>
    </row>
    <row r="384" spans="1:5" ht="24.95" customHeight="1">
      <c r="A384" s="574" t="s">
        <v>1433</v>
      </c>
      <c r="B384" s="529" t="s">
        <v>335</v>
      </c>
      <c r="C384" s="301">
        <v>0</v>
      </c>
      <c r="D384" s="301">
        <v>3008</v>
      </c>
      <c r="E384" s="530">
        <v>3008</v>
      </c>
    </row>
    <row r="385" spans="1:7" ht="24.95" customHeight="1">
      <c r="A385" s="574" t="s">
        <v>1434</v>
      </c>
      <c r="B385" s="529" t="s">
        <v>335</v>
      </c>
      <c r="C385" s="301">
        <v>263.81</v>
      </c>
      <c r="D385" s="301">
        <v>0</v>
      </c>
      <c r="E385" s="530">
        <v>0</v>
      </c>
    </row>
    <row r="386" spans="1:7" ht="24.95" customHeight="1">
      <c r="A386" s="574" t="s">
        <v>1437</v>
      </c>
      <c r="B386" s="529" t="s">
        <v>335</v>
      </c>
      <c r="C386" s="301">
        <v>1598.78</v>
      </c>
      <c r="D386" s="301">
        <v>0</v>
      </c>
      <c r="E386" s="530">
        <v>0</v>
      </c>
    </row>
    <row r="387" spans="1:7" ht="24.95" customHeight="1">
      <c r="A387" s="574" t="s">
        <v>1435</v>
      </c>
      <c r="B387" s="529" t="s">
        <v>335</v>
      </c>
      <c r="C387" s="301">
        <v>4606.3999999999996</v>
      </c>
      <c r="D387" s="301">
        <v>0</v>
      </c>
      <c r="E387" s="530">
        <v>0</v>
      </c>
    </row>
    <row r="388" spans="1:7" ht="24.95" customHeight="1">
      <c r="A388" s="574" t="s">
        <v>1436</v>
      </c>
      <c r="B388" s="529" t="s">
        <v>335</v>
      </c>
      <c r="C388" s="301">
        <v>6245.5</v>
      </c>
      <c r="D388" s="301">
        <v>0</v>
      </c>
      <c r="E388" s="530">
        <v>0</v>
      </c>
      <c r="F388" s="308">
        <f>SUM(C373:C388)</f>
        <v>108423.46999999999</v>
      </c>
      <c r="G388" s="308">
        <f>SUM(D373:D388)</f>
        <v>103105</v>
      </c>
    </row>
    <row r="389" spans="1:7" ht="24.95" customHeight="1" thickBot="1">
      <c r="A389" s="576"/>
      <c r="B389" s="545"/>
      <c r="C389" s="310"/>
      <c r="D389" s="310"/>
      <c r="E389" s="546"/>
      <c r="F389" s="308">
        <f>SUM(F343:F388)</f>
        <v>3045136.6700000004</v>
      </c>
      <c r="G389" s="308">
        <f>SUM(G343:G388)</f>
        <v>3038483</v>
      </c>
    </row>
    <row r="390" spans="1:7" ht="24.95" customHeight="1" thickTop="1">
      <c r="A390" s="577" t="s">
        <v>421</v>
      </c>
    </row>
    <row r="391" spans="1:7" ht="24.95" customHeight="1" thickBot="1">
      <c r="A391" s="521" t="s">
        <v>857</v>
      </c>
      <c r="B391" s="303"/>
      <c r="C391" s="303"/>
      <c r="D391" s="303"/>
      <c r="E391" s="521" t="s">
        <v>795</v>
      </c>
    </row>
    <row r="392" spans="1:7" ht="24.95" customHeight="1" thickTop="1">
      <c r="A392" s="522"/>
      <c r="B392" s="539"/>
      <c r="C392" s="524" t="s">
        <v>804</v>
      </c>
      <c r="D392" s="304"/>
      <c r="E392" s="525" t="s">
        <v>803</v>
      </c>
    </row>
    <row r="393" spans="1:7" ht="24.95" customHeight="1">
      <c r="A393" s="526" t="s">
        <v>792</v>
      </c>
      <c r="B393" s="305" t="s">
        <v>793</v>
      </c>
      <c r="C393" s="305" t="s">
        <v>1341</v>
      </c>
      <c r="D393" s="305" t="s">
        <v>1306</v>
      </c>
      <c r="E393" s="527" t="s">
        <v>1342</v>
      </c>
    </row>
    <row r="394" spans="1:7" ht="24.95" customHeight="1">
      <c r="A394" s="920" t="s">
        <v>35</v>
      </c>
      <c r="B394" s="556"/>
      <c r="C394" s="306"/>
      <c r="D394" s="306"/>
      <c r="E394" s="535"/>
    </row>
    <row r="395" spans="1:7" ht="24.95" customHeight="1">
      <c r="A395" s="921"/>
      <c r="B395" s="554" t="s">
        <v>816</v>
      </c>
      <c r="C395" s="312" t="s">
        <v>817</v>
      </c>
      <c r="D395" s="312" t="s">
        <v>817</v>
      </c>
      <c r="E395" s="557" t="s">
        <v>817</v>
      </c>
    </row>
    <row r="396" spans="1:7" ht="24.95" customHeight="1">
      <c r="A396" s="574" t="s">
        <v>967</v>
      </c>
      <c r="B396" s="529" t="s">
        <v>968</v>
      </c>
      <c r="C396" s="301">
        <v>61711.38</v>
      </c>
      <c r="D396" s="301">
        <v>0</v>
      </c>
      <c r="E396" s="530">
        <v>0</v>
      </c>
    </row>
    <row r="397" spans="1:7" ht="24.95" customHeight="1">
      <c r="A397" s="574" t="s">
        <v>1076</v>
      </c>
      <c r="B397" s="529" t="s">
        <v>354</v>
      </c>
      <c r="C397" s="301">
        <v>0</v>
      </c>
      <c r="D397" s="301">
        <v>65500</v>
      </c>
      <c r="E397" s="530">
        <v>0</v>
      </c>
    </row>
    <row r="398" spans="1:7" ht="24.95" customHeight="1">
      <c r="A398" s="574" t="s">
        <v>0</v>
      </c>
      <c r="B398" s="529" t="s">
        <v>1115</v>
      </c>
      <c r="C398" s="301">
        <v>263907</v>
      </c>
      <c r="D398" s="301">
        <v>239900</v>
      </c>
      <c r="E398" s="530">
        <v>263987.13</v>
      </c>
    </row>
    <row r="399" spans="1:7" ht="24.95" customHeight="1">
      <c r="A399" s="574" t="s">
        <v>351</v>
      </c>
      <c r="B399" s="529" t="s">
        <v>353</v>
      </c>
      <c r="C399" s="301">
        <v>0</v>
      </c>
      <c r="D399" s="301">
        <v>340000</v>
      </c>
      <c r="E399" s="530">
        <v>255000</v>
      </c>
    </row>
    <row r="400" spans="1:7" ht="24.95" customHeight="1">
      <c r="A400" s="574" t="s">
        <v>1188</v>
      </c>
      <c r="B400" s="529" t="s">
        <v>965</v>
      </c>
      <c r="C400" s="301">
        <v>204000</v>
      </c>
      <c r="D400" s="301">
        <v>204000</v>
      </c>
      <c r="E400" s="530">
        <v>204000</v>
      </c>
    </row>
    <row r="401" spans="1:6" ht="24.95" customHeight="1">
      <c r="A401" s="574" t="s">
        <v>1189</v>
      </c>
      <c r="B401" s="529" t="s">
        <v>853</v>
      </c>
      <c r="C401" s="301">
        <v>170000</v>
      </c>
      <c r="D401" s="301">
        <v>204000</v>
      </c>
      <c r="E401" s="530">
        <v>170000</v>
      </c>
    </row>
    <row r="402" spans="1:6" ht="24.95" customHeight="1">
      <c r="A402" s="574" t="s">
        <v>489</v>
      </c>
      <c r="B402" s="529" t="s">
        <v>376</v>
      </c>
      <c r="C402" s="301">
        <v>294000</v>
      </c>
      <c r="D402" s="301">
        <v>196100</v>
      </c>
      <c r="E402" s="530">
        <v>294150</v>
      </c>
    </row>
    <row r="403" spans="1:6" ht="24.95" customHeight="1">
      <c r="A403" s="574" t="s">
        <v>360</v>
      </c>
      <c r="B403" s="529" t="s">
        <v>362</v>
      </c>
      <c r="C403" s="301">
        <v>7904.28</v>
      </c>
      <c r="D403" s="301">
        <v>11000</v>
      </c>
      <c r="E403" s="530">
        <v>11000</v>
      </c>
    </row>
    <row r="404" spans="1:6" ht="24.95" customHeight="1">
      <c r="A404" s="574" t="s">
        <v>1123</v>
      </c>
      <c r="B404" s="529" t="s">
        <v>993</v>
      </c>
      <c r="C404" s="301">
        <v>34000</v>
      </c>
      <c r="D404" s="301">
        <v>48700</v>
      </c>
      <c r="E404" s="530">
        <v>34551.01</v>
      </c>
    </row>
    <row r="405" spans="1:6" ht="24.95" customHeight="1">
      <c r="A405" s="574" t="s">
        <v>355</v>
      </c>
      <c r="B405" s="529" t="s">
        <v>361</v>
      </c>
      <c r="C405" s="301">
        <v>154000</v>
      </c>
      <c r="D405" s="301">
        <v>176200</v>
      </c>
      <c r="E405" s="530">
        <v>154531.31</v>
      </c>
    </row>
    <row r="406" spans="1:6" ht="24.95" customHeight="1">
      <c r="A406" s="574" t="s">
        <v>196</v>
      </c>
      <c r="B406" s="529" t="s">
        <v>203</v>
      </c>
      <c r="C406" s="301">
        <v>16400</v>
      </c>
      <c r="D406" s="301">
        <v>20800</v>
      </c>
      <c r="E406" s="530">
        <v>16537.59</v>
      </c>
    </row>
    <row r="407" spans="1:6" ht="24.95" customHeight="1">
      <c r="A407" s="574" t="s">
        <v>981</v>
      </c>
      <c r="B407" s="529" t="s">
        <v>983</v>
      </c>
      <c r="C407" s="301">
        <v>7400</v>
      </c>
      <c r="D407" s="301">
        <v>7700</v>
      </c>
      <c r="E407" s="530">
        <v>7570</v>
      </c>
    </row>
    <row r="408" spans="1:6" ht="24.95" customHeight="1">
      <c r="A408" s="574" t="s">
        <v>1438</v>
      </c>
      <c r="B408" s="549"/>
      <c r="C408" s="302">
        <v>336727</v>
      </c>
      <c r="D408" s="302">
        <v>336727</v>
      </c>
      <c r="E408" s="555">
        <v>336727</v>
      </c>
    </row>
    <row r="409" spans="1:6" ht="24.95" customHeight="1">
      <c r="A409" s="574" t="s">
        <v>1440</v>
      </c>
      <c r="B409" s="529"/>
      <c r="C409" s="301">
        <v>257000</v>
      </c>
      <c r="D409" s="301">
        <v>125000</v>
      </c>
      <c r="E409" s="530">
        <v>257451.68</v>
      </c>
    </row>
    <row r="410" spans="1:6" ht="24.95" customHeight="1">
      <c r="A410" s="574" t="s">
        <v>982</v>
      </c>
      <c r="B410" s="529"/>
      <c r="C410" s="301">
        <v>95000</v>
      </c>
      <c r="D410" s="301">
        <v>95000</v>
      </c>
      <c r="E410" s="530">
        <v>95000.04</v>
      </c>
      <c r="F410" s="308">
        <f>SUM(C397:C410)</f>
        <v>1840338.28</v>
      </c>
    </row>
    <row r="411" spans="1:6" ht="24.95" customHeight="1" thickBot="1">
      <c r="A411" s="574"/>
      <c r="B411" s="545"/>
      <c r="C411" s="310"/>
      <c r="D411" s="310"/>
      <c r="E411" s="546"/>
    </row>
    <row r="412" spans="1:6" ht="24.75" customHeight="1" thickTop="1">
      <c r="A412" s="544" t="s">
        <v>422</v>
      </c>
    </row>
    <row r="413" spans="1:6" ht="24.75" customHeight="1" thickBot="1">
      <c r="A413" s="521" t="s">
        <v>857</v>
      </c>
      <c r="B413" s="303"/>
      <c r="C413" s="303"/>
      <c r="D413" s="303"/>
      <c r="E413" s="521" t="s">
        <v>795</v>
      </c>
    </row>
    <row r="414" spans="1:6" ht="24.75" customHeight="1" thickTop="1">
      <c r="A414" s="522"/>
      <c r="B414" s="539"/>
      <c r="C414" s="524" t="s">
        <v>804</v>
      </c>
      <c r="D414" s="304"/>
      <c r="E414" s="525" t="s">
        <v>803</v>
      </c>
    </row>
    <row r="415" spans="1:6" ht="24.75" customHeight="1">
      <c r="A415" s="526" t="s">
        <v>792</v>
      </c>
      <c r="B415" s="305" t="s">
        <v>793</v>
      </c>
      <c r="C415" s="305" t="s">
        <v>1341</v>
      </c>
      <c r="D415" s="305" t="s">
        <v>1306</v>
      </c>
      <c r="E415" s="527" t="s">
        <v>1342</v>
      </c>
    </row>
    <row r="416" spans="1:6" ht="24.75" customHeight="1">
      <c r="A416" s="920" t="s">
        <v>35</v>
      </c>
      <c r="B416" s="556"/>
      <c r="C416" s="306"/>
      <c r="D416" s="306"/>
      <c r="E416" s="535"/>
    </row>
    <row r="417" spans="1:5" ht="24.75" customHeight="1">
      <c r="A417" s="921"/>
      <c r="B417" s="554" t="s">
        <v>816</v>
      </c>
      <c r="C417" s="312" t="s">
        <v>817</v>
      </c>
      <c r="D417" s="312" t="s">
        <v>817</v>
      </c>
      <c r="E417" s="557" t="s">
        <v>817</v>
      </c>
    </row>
    <row r="418" spans="1:5" ht="24.75" customHeight="1">
      <c r="A418" s="574"/>
      <c r="B418" s="309"/>
      <c r="C418" s="301"/>
      <c r="D418" s="301"/>
      <c r="E418" s="530"/>
    </row>
    <row r="419" spans="1:5" ht="24.75" customHeight="1">
      <c r="A419" s="574" t="s">
        <v>1124</v>
      </c>
      <c r="B419" s="309" t="s">
        <v>1071</v>
      </c>
      <c r="C419" s="301">
        <v>0</v>
      </c>
      <c r="D419" s="301">
        <v>215400</v>
      </c>
      <c r="E419" s="530"/>
    </row>
    <row r="420" spans="1:5" ht="24.75" customHeight="1">
      <c r="A420" s="574" t="s">
        <v>1439</v>
      </c>
      <c r="B420" s="309"/>
      <c r="C420" s="301">
        <v>44200</v>
      </c>
      <c r="D420" s="301">
        <v>44200</v>
      </c>
      <c r="E420" s="530">
        <v>44200</v>
      </c>
    </row>
    <row r="421" spans="1:5" ht="24.75" customHeight="1">
      <c r="A421" s="574" t="s">
        <v>1445</v>
      </c>
      <c r="B421" s="309" t="s">
        <v>1206</v>
      </c>
      <c r="C421" s="301">
        <v>807000</v>
      </c>
      <c r="D421" s="301">
        <v>807000</v>
      </c>
      <c r="E421" s="530">
        <v>807000</v>
      </c>
    </row>
    <row r="422" spans="1:5" ht="24.75" customHeight="1">
      <c r="A422" s="574" t="s">
        <v>1441</v>
      </c>
      <c r="B422" s="309"/>
      <c r="C422" s="301">
        <v>10000</v>
      </c>
      <c r="D422" s="301">
        <v>10000</v>
      </c>
      <c r="E422" s="530">
        <v>10000</v>
      </c>
    </row>
    <row r="423" spans="1:5" ht="24.75" customHeight="1">
      <c r="A423" s="574" t="s">
        <v>1442</v>
      </c>
      <c r="B423" s="309"/>
      <c r="C423" s="301">
        <v>4524000</v>
      </c>
      <c r="D423" s="301">
        <v>3816483</v>
      </c>
      <c r="E423" s="530">
        <v>3896420.18</v>
      </c>
    </row>
    <row r="424" spans="1:5" ht="24.75" customHeight="1">
      <c r="A424" s="574" t="s">
        <v>1443</v>
      </c>
      <c r="B424" s="309"/>
      <c r="C424" s="301">
        <v>0</v>
      </c>
      <c r="D424" s="301">
        <v>47900</v>
      </c>
      <c r="E424" s="530">
        <v>47997.66</v>
      </c>
    </row>
    <row r="425" spans="1:5" ht="24.75" customHeight="1">
      <c r="A425" s="574" t="s">
        <v>1444</v>
      </c>
      <c r="B425" s="309"/>
      <c r="C425" s="301">
        <v>0</v>
      </c>
      <c r="D425" s="301">
        <v>464435</v>
      </c>
      <c r="E425" s="530">
        <v>394755.02</v>
      </c>
    </row>
    <row r="426" spans="1:5" ht="24.75" customHeight="1">
      <c r="A426" s="574" t="s">
        <v>1446</v>
      </c>
      <c r="B426" s="309"/>
      <c r="C426" s="301">
        <v>30995.4</v>
      </c>
      <c r="D426" s="301">
        <v>18080.650000000001</v>
      </c>
      <c r="E426" s="530">
        <v>15497.7</v>
      </c>
    </row>
    <row r="427" spans="1:5" ht="24.75" customHeight="1">
      <c r="A427" s="574" t="s">
        <v>1447</v>
      </c>
      <c r="B427" s="309"/>
      <c r="C427" s="301">
        <v>99000</v>
      </c>
      <c r="D427" s="301">
        <v>57750</v>
      </c>
      <c r="E427" s="530">
        <v>49500</v>
      </c>
    </row>
    <row r="428" spans="1:5" ht="24.75" customHeight="1">
      <c r="A428" s="574" t="s">
        <v>1448</v>
      </c>
      <c r="B428" s="309"/>
      <c r="C428" s="301">
        <v>9839</v>
      </c>
      <c r="D428" s="301">
        <f>21184+20500</f>
        <v>41684</v>
      </c>
      <c r="E428" s="530">
        <f>64223+21184</f>
        <v>85407</v>
      </c>
    </row>
    <row r="429" spans="1:5" ht="24.75" customHeight="1">
      <c r="A429" s="574" t="s">
        <v>1449</v>
      </c>
      <c r="B429" s="309"/>
      <c r="C429" s="301">
        <v>6900</v>
      </c>
      <c r="D429" s="301">
        <v>6900</v>
      </c>
      <c r="E429" s="530">
        <v>14339.07</v>
      </c>
    </row>
    <row r="430" spans="1:5" ht="24.75" customHeight="1">
      <c r="A430" s="574" t="s">
        <v>1480</v>
      </c>
      <c r="B430" s="309"/>
      <c r="C430" s="301">
        <v>193683</v>
      </c>
      <c r="D430" s="301">
        <v>0</v>
      </c>
      <c r="E430" s="530">
        <v>0</v>
      </c>
    </row>
    <row r="431" spans="1:5" ht="24.75" customHeight="1">
      <c r="A431" s="574" t="s">
        <v>1481</v>
      </c>
      <c r="B431" s="309"/>
      <c r="C431" s="301">
        <v>107518</v>
      </c>
      <c r="D431" s="301">
        <v>0</v>
      </c>
      <c r="E431" s="530">
        <v>0</v>
      </c>
    </row>
    <row r="432" spans="1:5" ht="24.75" customHeight="1">
      <c r="A432" s="574" t="s">
        <v>1482</v>
      </c>
      <c r="B432" s="309"/>
      <c r="C432" s="301">
        <v>118916</v>
      </c>
      <c r="D432" s="301">
        <v>0</v>
      </c>
      <c r="E432" s="530">
        <v>0</v>
      </c>
    </row>
    <row r="433" spans="1:7" ht="24.75" customHeight="1" thickBot="1">
      <c r="A433" s="574" t="s">
        <v>1483</v>
      </c>
      <c r="B433" s="545"/>
      <c r="C433" s="310">
        <v>43563</v>
      </c>
      <c r="D433" s="310">
        <v>0</v>
      </c>
      <c r="E433" s="546">
        <v>0</v>
      </c>
      <c r="F433" s="308">
        <f>SUM(C419:C433)</f>
        <v>5995614.4000000004</v>
      </c>
      <c r="G433" s="308">
        <f>F433+F410+C441+C442</f>
        <v>9099680.8000000007</v>
      </c>
    </row>
    <row r="434" spans="1:7" ht="24.75" customHeight="1" thickTop="1">
      <c r="A434" s="544" t="s">
        <v>423</v>
      </c>
    </row>
    <row r="435" spans="1:7" ht="24.95" customHeight="1" thickBot="1">
      <c r="A435" s="521" t="s">
        <v>857</v>
      </c>
      <c r="B435" s="303"/>
      <c r="C435" s="303"/>
      <c r="D435" s="303"/>
      <c r="E435" s="521" t="s">
        <v>795</v>
      </c>
    </row>
    <row r="436" spans="1:7" ht="24.95" customHeight="1" thickTop="1">
      <c r="A436" s="522"/>
      <c r="B436" s="539"/>
      <c r="C436" s="524" t="s">
        <v>804</v>
      </c>
      <c r="D436" s="304"/>
      <c r="E436" s="525" t="s">
        <v>803</v>
      </c>
    </row>
    <row r="437" spans="1:7" ht="24.95" customHeight="1">
      <c r="A437" s="526" t="s">
        <v>792</v>
      </c>
      <c r="B437" s="305" t="s">
        <v>793</v>
      </c>
      <c r="C437" s="305" t="s">
        <v>1341</v>
      </c>
      <c r="D437" s="305" t="s">
        <v>1306</v>
      </c>
      <c r="E437" s="527" t="s">
        <v>1342</v>
      </c>
    </row>
    <row r="438" spans="1:7" ht="24.95" customHeight="1">
      <c r="A438" s="920" t="s">
        <v>35</v>
      </c>
      <c r="B438" s="556"/>
      <c r="C438" s="306"/>
      <c r="D438" s="306"/>
      <c r="E438" s="535"/>
    </row>
    <row r="439" spans="1:7" ht="24.95" customHeight="1">
      <c r="A439" s="921"/>
      <c r="B439" s="554" t="s">
        <v>816</v>
      </c>
      <c r="C439" s="312" t="s">
        <v>817</v>
      </c>
      <c r="D439" s="312" t="s">
        <v>817</v>
      </c>
      <c r="E439" s="557" t="s">
        <v>817</v>
      </c>
    </row>
    <row r="440" spans="1:7" ht="24.95" customHeight="1">
      <c r="A440" s="574"/>
      <c r="B440" s="529"/>
      <c r="C440" s="301"/>
      <c r="D440" s="301"/>
      <c r="E440" s="530"/>
    </row>
    <row r="441" spans="1:7" ht="24.95" customHeight="1">
      <c r="A441" s="450" t="s">
        <v>1484</v>
      </c>
      <c r="B441" s="529"/>
      <c r="C441" s="301">
        <v>1263728.1200000001</v>
      </c>
      <c r="D441" s="301">
        <v>0</v>
      </c>
      <c r="E441" s="530">
        <v>0</v>
      </c>
    </row>
    <row r="442" spans="1:7" ht="24.95" customHeight="1">
      <c r="A442" s="450"/>
      <c r="B442" s="529"/>
      <c r="C442" s="301"/>
      <c r="D442" s="301"/>
      <c r="E442" s="530"/>
    </row>
    <row r="443" spans="1:7" ht="24.95" customHeight="1">
      <c r="A443" s="574"/>
      <c r="B443" s="529"/>
      <c r="C443" s="301"/>
      <c r="D443" s="301"/>
      <c r="E443" s="530"/>
    </row>
    <row r="444" spans="1:7" ht="24.95" customHeight="1">
      <c r="A444" s="574"/>
      <c r="B444" s="529"/>
      <c r="C444" s="301"/>
      <c r="D444" s="301"/>
      <c r="E444" s="530"/>
    </row>
    <row r="445" spans="1:7" ht="24.95" customHeight="1">
      <c r="A445" s="574"/>
      <c r="B445" s="529"/>
      <c r="C445" s="301"/>
      <c r="D445" s="301"/>
      <c r="E445" s="530"/>
    </row>
    <row r="446" spans="1:7" ht="24.95" customHeight="1">
      <c r="A446" s="574"/>
      <c r="B446" s="529"/>
      <c r="C446" s="301"/>
      <c r="D446" s="301"/>
      <c r="E446" s="530"/>
    </row>
    <row r="447" spans="1:7" ht="24.95" customHeight="1">
      <c r="A447" s="574"/>
      <c r="B447" s="529"/>
      <c r="C447" s="301"/>
      <c r="D447" s="301"/>
      <c r="E447" s="530"/>
    </row>
    <row r="448" spans="1:7" ht="24.95" customHeight="1">
      <c r="A448" s="574"/>
      <c r="B448" s="529"/>
      <c r="C448" s="301"/>
      <c r="D448" s="301"/>
      <c r="E448" s="530"/>
    </row>
    <row r="449" spans="1:7" ht="24.95" customHeight="1">
      <c r="A449" s="574"/>
      <c r="B449" s="529"/>
      <c r="C449" s="301"/>
      <c r="D449" s="301"/>
      <c r="E449" s="530"/>
    </row>
    <row r="450" spans="1:7" ht="24.95" customHeight="1">
      <c r="A450" s="574"/>
      <c r="B450" s="529"/>
      <c r="C450" s="301"/>
      <c r="D450" s="301"/>
      <c r="E450" s="530"/>
    </row>
    <row r="451" spans="1:7" ht="24.95" customHeight="1">
      <c r="A451" s="574"/>
      <c r="B451" s="529"/>
      <c r="C451" s="301"/>
      <c r="D451" s="301"/>
      <c r="E451" s="530"/>
    </row>
    <row r="452" spans="1:7" ht="24.95" customHeight="1">
      <c r="A452" s="578"/>
      <c r="B452" s="529"/>
      <c r="C452" s="301"/>
      <c r="D452" s="301"/>
      <c r="E452" s="530"/>
    </row>
    <row r="453" spans="1:7" ht="24.95" customHeight="1">
      <c r="A453" s="574"/>
      <c r="B453" s="529"/>
      <c r="C453" s="301"/>
      <c r="D453" s="301"/>
      <c r="E453" s="530"/>
    </row>
    <row r="454" spans="1:7" ht="24.95" customHeight="1">
      <c r="A454" s="528" t="s">
        <v>891</v>
      </c>
      <c r="B454" s="554" t="s">
        <v>816</v>
      </c>
      <c r="C454" s="312" t="s">
        <v>817</v>
      </c>
      <c r="D454" s="312" t="s">
        <v>817</v>
      </c>
      <c r="E454" s="572" t="s">
        <v>817</v>
      </c>
    </row>
    <row r="455" spans="1:7" ht="24.95" customHeight="1" thickBot="1">
      <c r="A455" s="558" t="s">
        <v>1256</v>
      </c>
      <c r="B455" s="545" t="s">
        <v>49</v>
      </c>
      <c r="C455" s="310">
        <f>SUM(C329:C453)</f>
        <v>12206528.850000001</v>
      </c>
      <c r="D455" s="310">
        <f>SUM(D329:D453)</f>
        <v>10638942.65</v>
      </c>
      <c r="E455" s="546">
        <f>SUM(E329:E453)</f>
        <v>10167885.909999998</v>
      </c>
    </row>
    <row r="456" spans="1:7" ht="24.95" customHeight="1" thickTop="1">
      <c r="A456" s="544" t="s">
        <v>1070</v>
      </c>
    </row>
    <row r="457" spans="1:7" ht="24.95" customHeight="1" thickBot="1">
      <c r="A457" s="521" t="s">
        <v>857</v>
      </c>
      <c r="B457" s="303"/>
      <c r="C457" s="303"/>
      <c r="D457" s="303"/>
      <c r="E457" s="521" t="s">
        <v>795</v>
      </c>
    </row>
    <row r="458" spans="1:7" ht="24.95" customHeight="1" thickTop="1">
      <c r="A458" s="522"/>
      <c r="B458" s="579"/>
      <c r="C458" s="524" t="s">
        <v>804</v>
      </c>
      <c r="D458" s="304"/>
      <c r="E458" s="525" t="s">
        <v>803</v>
      </c>
    </row>
    <row r="459" spans="1:7" ht="24.95" customHeight="1">
      <c r="A459" s="526" t="s">
        <v>792</v>
      </c>
      <c r="B459" s="580" t="s">
        <v>793</v>
      </c>
      <c r="C459" s="305" t="s">
        <v>1341</v>
      </c>
      <c r="D459" s="305" t="s">
        <v>1306</v>
      </c>
      <c r="E459" s="527" t="s">
        <v>1342</v>
      </c>
    </row>
    <row r="460" spans="1:7" ht="24.95" customHeight="1">
      <c r="A460" s="581" t="s">
        <v>916</v>
      </c>
      <c r="B460" s="529" t="s">
        <v>816</v>
      </c>
      <c r="C460" s="309" t="s">
        <v>817</v>
      </c>
      <c r="D460" s="309" t="s">
        <v>817</v>
      </c>
      <c r="E460" s="540" t="s">
        <v>817</v>
      </c>
    </row>
    <row r="461" spans="1:7" ht="24.95" customHeight="1">
      <c r="A461" s="528" t="s">
        <v>917</v>
      </c>
      <c r="B461" s="529" t="s">
        <v>791</v>
      </c>
      <c r="C461" s="301">
        <f t="shared" ref="C461:E462" si="0">C4</f>
        <v>250000</v>
      </c>
      <c r="D461" s="301">
        <f t="shared" si="0"/>
        <v>1900000</v>
      </c>
      <c r="E461" s="530">
        <f t="shared" si="0"/>
        <v>1900000</v>
      </c>
      <c r="G461" s="308">
        <v>250000</v>
      </c>
    </row>
    <row r="462" spans="1:7" ht="24.95" customHeight="1">
      <c r="A462" s="582" t="s">
        <v>920</v>
      </c>
      <c r="B462" s="529" t="s">
        <v>805</v>
      </c>
      <c r="C462" s="301">
        <f t="shared" si="0"/>
        <v>0</v>
      </c>
      <c r="D462" s="301">
        <f t="shared" si="0"/>
        <v>0</v>
      </c>
      <c r="E462" s="530">
        <f t="shared" si="0"/>
        <v>0</v>
      </c>
      <c r="G462" s="308">
        <v>0</v>
      </c>
    </row>
    <row r="463" spans="1:7" ht="24.95" customHeight="1">
      <c r="A463" s="528" t="s">
        <v>921</v>
      </c>
      <c r="B463" s="554" t="s">
        <v>816</v>
      </c>
      <c r="C463" s="312" t="s">
        <v>817</v>
      </c>
      <c r="D463" s="312" t="s">
        <v>817</v>
      </c>
      <c r="E463" s="557" t="s">
        <v>817</v>
      </c>
      <c r="G463" s="308" t="s">
        <v>817</v>
      </c>
    </row>
    <row r="464" spans="1:7" ht="24.95" customHeight="1" thickBot="1">
      <c r="A464" s="583" t="s">
        <v>1170</v>
      </c>
      <c r="B464" s="529" t="s">
        <v>50</v>
      </c>
      <c r="C464" s="301">
        <f>C43</f>
        <v>22543400</v>
      </c>
      <c r="D464" s="301">
        <f>D43</f>
        <v>22172511</v>
      </c>
      <c r="E464" s="301">
        <f>E43</f>
        <v>22546318.119999997</v>
      </c>
      <c r="G464" s="308">
        <v>22543400</v>
      </c>
    </row>
    <row r="465" spans="1:14" ht="24.95" customHeight="1" thickBot="1">
      <c r="A465" s="583" t="s">
        <v>1257</v>
      </c>
      <c r="B465" s="529" t="s">
        <v>43</v>
      </c>
      <c r="C465" s="301">
        <f>C87</f>
        <v>57991868</v>
      </c>
      <c r="D465" s="301">
        <f>D87</f>
        <v>58369044</v>
      </c>
      <c r="E465" s="530">
        <f>E87</f>
        <v>57992048</v>
      </c>
      <c r="G465" s="308">
        <v>57991868</v>
      </c>
      <c r="K465" s="656">
        <f>C465-G465</f>
        <v>0</v>
      </c>
      <c r="L465" s="657" t="s">
        <v>1518</v>
      </c>
      <c r="M465" s="657"/>
      <c r="N465" s="658"/>
    </row>
    <row r="466" spans="1:14" ht="24.95" customHeight="1" thickBot="1">
      <c r="A466" s="583" t="s">
        <v>366</v>
      </c>
      <c r="B466" s="529" t="s">
        <v>45</v>
      </c>
      <c r="C466" s="301">
        <f>C109</f>
        <v>2079400</v>
      </c>
      <c r="D466" s="301">
        <f>D109</f>
        <v>1718800</v>
      </c>
      <c r="E466" s="530">
        <f>E109</f>
        <v>2080006</v>
      </c>
      <c r="G466" s="308">
        <v>2079400</v>
      </c>
    </row>
    <row r="467" spans="1:14" ht="24.95" customHeight="1" thickBot="1">
      <c r="A467" s="584" t="s">
        <v>1258</v>
      </c>
      <c r="B467" s="529" t="s">
        <v>46</v>
      </c>
      <c r="C467" s="301">
        <f>C131</f>
        <v>263500</v>
      </c>
      <c r="D467" s="301">
        <f>D131</f>
        <v>263500</v>
      </c>
      <c r="E467" s="530">
        <f>E131</f>
        <v>263500</v>
      </c>
      <c r="G467" s="308">
        <v>263500</v>
      </c>
      <c r="K467" s="656">
        <f>C467-G467</f>
        <v>0</v>
      </c>
      <c r="L467" s="657" t="s">
        <v>1515</v>
      </c>
      <c r="M467" s="657"/>
      <c r="N467" s="655"/>
    </row>
    <row r="468" spans="1:14" ht="24.95" customHeight="1" thickBot="1">
      <c r="A468" s="584" t="s">
        <v>370</v>
      </c>
      <c r="B468" s="529" t="s">
        <v>47</v>
      </c>
      <c r="C468" s="301">
        <f>C153</f>
        <v>0</v>
      </c>
      <c r="D468" s="301">
        <f>D153</f>
        <v>0</v>
      </c>
      <c r="E468" s="530">
        <f>E153</f>
        <v>0</v>
      </c>
      <c r="G468" s="308">
        <v>0</v>
      </c>
    </row>
    <row r="469" spans="1:14" ht="24.95" customHeight="1" thickBot="1">
      <c r="A469" s="584" t="s">
        <v>1259</v>
      </c>
      <c r="B469" s="529" t="s">
        <v>48</v>
      </c>
      <c r="C469" s="301">
        <f>C322</f>
        <v>11087297.630000001</v>
      </c>
      <c r="D469" s="301">
        <f>D322</f>
        <v>10800177.939999999</v>
      </c>
      <c r="E469" s="530">
        <f>E322</f>
        <v>10800177.939999999</v>
      </c>
      <c r="G469" s="308">
        <v>11087297.630000001</v>
      </c>
      <c r="K469" s="656">
        <f>C469-G469</f>
        <v>0</v>
      </c>
      <c r="L469" s="657" t="s">
        <v>1521</v>
      </c>
      <c r="M469" s="654"/>
      <c r="N469" s="655"/>
    </row>
    <row r="470" spans="1:14" ht="24.95" customHeight="1" thickBot="1">
      <c r="A470" s="584" t="s">
        <v>1260</v>
      </c>
      <c r="B470" s="529" t="s">
        <v>49</v>
      </c>
      <c r="C470" s="306">
        <f>C455</f>
        <v>12206528.850000001</v>
      </c>
      <c r="D470" s="306">
        <f>D455</f>
        <v>10638942.65</v>
      </c>
      <c r="E470" s="535">
        <f>E455</f>
        <v>10167885.909999998</v>
      </c>
      <c r="G470" s="308">
        <v>12206528.85</v>
      </c>
    </row>
    <row r="471" spans="1:14" ht="24.95" customHeight="1" thickBot="1">
      <c r="A471" s="553" t="s">
        <v>1261</v>
      </c>
      <c r="B471" s="529" t="s">
        <v>51</v>
      </c>
      <c r="C471" s="314">
        <f>SUM(C464:C470)</f>
        <v>106171994.47999999</v>
      </c>
      <c r="D471" s="314">
        <f>SUM(D464:D470)</f>
        <v>103962975.59</v>
      </c>
      <c r="E471" s="585">
        <f>SUM(E464:E470)</f>
        <v>103849935.97</v>
      </c>
      <c r="G471" s="308">
        <f>SUM(G464:G470)</f>
        <v>106171994.47999999</v>
      </c>
      <c r="H471" s="659">
        <f>C471-G471</f>
        <v>0</v>
      </c>
      <c r="K471" s="656">
        <f>C470-G470</f>
        <v>0</v>
      </c>
      <c r="L471" s="657" t="s">
        <v>1521</v>
      </c>
      <c r="M471" s="654"/>
      <c r="N471" s="655"/>
    </row>
    <row r="472" spans="1:14" ht="24.95" customHeight="1">
      <c r="A472" s="586"/>
      <c r="B472" s="302"/>
      <c r="C472" s="302"/>
      <c r="D472" s="302"/>
      <c r="E472" s="555"/>
    </row>
    <row r="473" spans="1:14" ht="24.95" customHeight="1">
      <c r="A473" s="541"/>
      <c r="B473" s="301"/>
      <c r="C473" s="301"/>
      <c r="D473" s="301"/>
      <c r="E473" s="530"/>
    </row>
    <row r="474" spans="1:14" ht="24.95" customHeight="1">
      <c r="A474" s="541"/>
      <c r="B474" s="301"/>
      <c r="C474" s="301"/>
      <c r="D474" s="301"/>
      <c r="E474" s="530"/>
    </row>
    <row r="475" spans="1:14" ht="24.95" customHeight="1">
      <c r="A475" s="541"/>
      <c r="B475" s="301"/>
      <c r="C475" s="301"/>
      <c r="D475" s="301"/>
      <c r="E475" s="530"/>
      <c r="K475" s="308">
        <f>-M475</f>
        <v>0</v>
      </c>
      <c r="L475" s="308" t="s">
        <v>1519</v>
      </c>
      <c r="M475" s="308">
        <f>-C319</f>
        <v>0</v>
      </c>
      <c r="N475" s="308" t="s">
        <v>1519</v>
      </c>
    </row>
    <row r="476" spans="1:14" ht="24.95" customHeight="1" thickBot="1">
      <c r="A476" s="541"/>
      <c r="B476" s="301"/>
      <c r="C476" s="301"/>
      <c r="D476" s="301"/>
      <c r="E476" s="530"/>
      <c r="K476" s="652">
        <f>K469-K475</f>
        <v>0</v>
      </c>
      <c r="L476" s="308" t="s">
        <v>1522</v>
      </c>
      <c r="M476" s="652">
        <f>C399</f>
        <v>0</v>
      </c>
      <c r="N476" s="308" t="s">
        <v>1520</v>
      </c>
    </row>
    <row r="477" spans="1:14" ht="24.95" customHeight="1" thickBot="1">
      <c r="A477" s="567"/>
      <c r="B477" s="310"/>
      <c r="C477" s="310"/>
      <c r="D477" s="310"/>
      <c r="E477" s="546"/>
      <c r="K477" s="659">
        <f>SUM(K475:K476)</f>
        <v>0</v>
      </c>
      <c r="M477" s="659">
        <f>SUM(M475:M476)</f>
        <v>0</v>
      </c>
    </row>
    <row r="478" spans="1:14" ht="24.95" customHeight="1" thickTop="1">
      <c r="A478" s="577" t="s">
        <v>424</v>
      </c>
    </row>
    <row r="479" spans="1:14" ht="24.95" customHeight="1" thickBot="1">
      <c r="A479" s="521" t="s">
        <v>857</v>
      </c>
      <c r="B479" s="303"/>
      <c r="C479" s="303"/>
      <c r="D479" s="303"/>
      <c r="E479" s="521" t="s">
        <v>795</v>
      </c>
    </row>
    <row r="480" spans="1:14" ht="24.95" customHeight="1" thickTop="1">
      <c r="A480" s="522"/>
      <c r="B480" s="579"/>
      <c r="C480" s="524" t="s">
        <v>804</v>
      </c>
      <c r="D480" s="304"/>
      <c r="E480" s="525" t="s">
        <v>803</v>
      </c>
      <c r="K480" s="308">
        <f>K465</f>
        <v>0</v>
      </c>
    </row>
    <row r="481" spans="1:14" ht="24.95" customHeight="1">
      <c r="A481" s="526" t="s">
        <v>792</v>
      </c>
      <c r="B481" s="580" t="s">
        <v>793</v>
      </c>
      <c r="C481" s="305" t="s">
        <v>1341</v>
      </c>
      <c r="D481" s="305" t="s">
        <v>1306</v>
      </c>
      <c r="E481" s="527" t="s">
        <v>1342</v>
      </c>
      <c r="K481" s="308">
        <f>K467</f>
        <v>0</v>
      </c>
    </row>
    <row r="482" spans="1:14" ht="24.95" customHeight="1" thickBot="1">
      <c r="A482" s="581" t="s">
        <v>491</v>
      </c>
      <c r="B482" s="529" t="s">
        <v>816</v>
      </c>
      <c r="C482" s="309" t="s">
        <v>817</v>
      </c>
      <c r="D482" s="309" t="s">
        <v>817</v>
      </c>
      <c r="E482" s="540" t="s">
        <v>817</v>
      </c>
      <c r="K482" s="308">
        <f>K476</f>
        <v>0</v>
      </c>
    </row>
    <row r="483" spans="1:14" ht="24.95" customHeight="1" thickBot="1">
      <c r="A483" s="528" t="s">
        <v>1171</v>
      </c>
      <c r="B483" s="587" t="s">
        <v>369</v>
      </c>
      <c r="C483" s="315">
        <v>2507600</v>
      </c>
      <c r="D483" s="315">
        <v>2513100</v>
      </c>
      <c r="E483" s="588">
        <v>1838353.65</v>
      </c>
      <c r="G483" s="652"/>
      <c r="H483" s="652"/>
      <c r="I483" s="652"/>
      <c r="J483" s="652"/>
      <c r="K483" s="652">
        <f>M476</f>
        <v>0</v>
      </c>
    </row>
    <row r="484" spans="1:14" ht="24.95" customHeight="1" thickBot="1">
      <c r="A484" s="528" t="s">
        <v>1077</v>
      </c>
      <c r="B484" s="587"/>
      <c r="C484" s="316" t="s">
        <v>1450</v>
      </c>
      <c r="D484" s="316" t="s">
        <v>1450</v>
      </c>
      <c r="E484" s="589">
        <v>0</v>
      </c>
      <c r="G484" s="652"/>
      <c r="H484" s="652"/>
      <c r="I484" s="652"/>
      <c r="J484" s="652"/>
      <c r="K484" s="659">
        <f>SUM(K480:K483)</f>
        <v>0</v>
      </c>
    </row>
    <row r="485" spans="1:14" ht="24.95" customHeight="1">
      <c r="A485" s="528" t="s">
        <v>1262</v>
      </c>
      <c r="B485" s="587" t="s">
        <v>52</v>
      </c>
      <c r="C485" s="302">
        <f>C461+C462+C471+C483</f>
        <v>108929594.47999999</v>
      </c>
      <c r="D485" s="302">
        <f>D461+D462+D471+D483</f>
        <v>108376075.59</v>
      </c>
      <c r="E485" s="302">
        <f>E461+E462+E471+E483</f>
        <v>107588289.62</v>
      </c>
      <c r="G485" s="652"/>
      <c r="H485" s="652"/>
      <c r="I485" s="652"/>
      <c r="J485" s="652"/>
    </row>
    <row r="486" spans="1:14" ht="24.95" customHeight="1" thickBot="1">
      <c r="A486" s="528" t="s">
        <v>367</v>
      </c>
      <c r="B486" s="529" t="s">
        <v>816</v>
      </c>
      <c r="C486" s="301"/>
      <c r="D486" s="301"/>
      <c r="E486" s="530"/>
      <c r="G486" s="652"/>
      <c r="H486" s="652"/>
      <c r="I486" s="652"/>
      <c r="J486" s="652"/>
    </row>
    <row r="487" spans="1:14" ht="24.95" customHeight="1" thickBot="1">
      <c r="A487" s="583" t="s">
        <v>1263</v>
      </c>
      <c r="B487" s="587" t="s">
        <v>602</v>
      </c>
      <c r="C487" s="301">
        <f>'Sh 12-30a'!M872+'Sh 12-30a'!M874+'Sh 12-30a'!M875+171354870.12+43798.08</f>
        <v>172020494.47000003</v>
      </c>
      <c r="D487" s="301">
        <v>145935664.18000001</v>
      </c>
      <c r="E487" s="540" t="s">
        <v>817</v>
      </c>
      <c r="G487" s="308">
        <f>D490*0.07</f>
        <v>10374580.603800001</v>
      </c>
      <c r="H487" s="595">
        <v>7.0000000000000007E-2</v>
      </c>
      <c r="K487" s="659">
        <f>C487-780066.8</f>
        <v>171240427.67000002</v>
      </c>
      <c r="M487" s="308">
        <f>K487-D487</f>
        <v>25304763.49000001</v>
      </c>
      <c r="N487" s="660">
        <f>M487/D487</f>
        <v>0.1733967062279485</v>
      </c>
    </row>
    <row r="488" spans="1:14" ht="24.95" customHeight="1">
      <c r="A488" s="583" t="s">
        <v>368</v>
      </c>
      <c r="B488" s="587" t="s">
        <v>604</v>
      </c>
      <c r="C488" s="301"/>
      <c r="D488" s="301">
        <v>0</v>
      </c>
      <c r="E488" s="540" t="s">
        <v>817</v>
      </c>
      <c r="G488" s="308">
        <f>D490*0.05</f>
        <v>7410414.7170000002</v>
      </c>
      <c r="H488" s="595">
        <v>0.05</v>
      </c>
    </row>
    <row r="489" spans="1:14" ht="24.95" customHeight="1" thickBot="1">
      <c r="A489" s="583" t="s">
        <v>1116</v>
      </c>
      <c r="B489" s="587" t="s">
        <v>1098</v>
      </c>
      <c r="C489" s="317">
        <v>2272630.16</v>
      </c>
      <c r="D489" s="317">
        <v>2272630.16</v>
      </c>
      <c r="E489" s="557" t="s">
        <v>817</v>
      </c>
    </row>
    <row r="490" spans="1:14" ht="24.95" customHeight="1" thickBot="1">
      <c r="A490" s="553" t="s">
        <v>1264</v>
      </c>
      <c r="B490" s="587" t="s">
        <v>53</v>
      </c>
      <c r="C490" s="314">
        <f>SUM(C487:C489)</f>
        <v>174293124.63000003</v>
      </c>
      <c r="D490" s="314">
        <f>SUM(D487:D489)</f>
        <v>148208294.34</v>
      </c>
      <c r="E490" s="585">
        <v>151582140.12</v>
      </c>
      <c r="G490" s="308">
        <f>C490-D490</f>
        <v>26084830.290000021</v>
      </c>
    </row>
    <row r="491" spans="1:14" ht="24.95" customHeight="1" thickBot="1">
      <c r="A491" s="547" t="s">
        <v>1265</v>
      </c>
      <c r="B491" s="556" t="s">
        <v>54</v>
      </c>
      <c r="C491" s="317">
        <f>SUM(C485+C490)</f>
        <v>283222719.11000001</v>
      </c>
      <c r="D491" s="317">
        <f>SUM(D485+D490)</f>
        <v>256584369.93000001</v>
      </c>
      <c r="E491" s="590">
        <f>SUM(E485+E490)</f>
        <v>259170429.74000001</v>
      </c>
      <c r="G491" s="308">
        <f>G490-12000000</f>
        <v>14084830.290000021</v>
      </c>
      <c r="H491" s="595">
        <f>G491/D490</f>
        <v>9.5034021899533194E-2</v>
      </c>
      <c r="K491" s="659">
        <f>C491-282557094.76</f>
        <v>665624.35000002384</v>
      </c>
    </row>
    <row r="492" spans="1:14" ht="24.95" customHeight="1">
      <c r="A492" s="541"/>
      <c r="B492" s="587"/>
      <c r="C492" s="301"/>
      <c r="D492" s="301"/>
      <c r="E492" s="530"/>
    </row>
    <row r="493" spans="1:14" ht="24.95" customHeight="1">
      <c r="A493" s="541"/>
      <c r="B493" s="587"/>
      <c r="C493" s="301"/>
      <c r="D493" s="301"/>
      <c r="E493" s="530"/>
    </row>
    <row r="494" spans="1:14" ht="24.95" customHeight="1">
      <c r="A494" s="541"/>
      <c r="B494" s="587"/>
      <c r="C494" s="301"/>
      <c r="D494" s="301"/>
      <c r="E494" s="530"/>
      <c r="G494" s="301">
        <f>C491</f>
        <v>283222719.11000001</v>
      </c>
      <c r="H494" s="308">
        <f>G494-282557094.76</f>
        <v>665624.35000002384</v>
      </c>
      <c r="J494" s="308">
        <f>D491</f>
        <v>256584369.93000001</v>
      </c>
    </row>
    <row r="495" spans="1:14" ht="24.95" customHeight="1">
      <c r="A495" s="541"/>
      <c r="B495" s="587"/>
      <c r="C495" s="301"/>
      <c r="D495" s="301"/>
      <c r="E495" s="530"/>
      <c r="G495" s="301">
        <f>'Sh 12-30a'!C871</f>
        <v>283222719.11000001</v>
      </c>
      <c r="J495" s="308">
        <f>'Sh 12-30a'!D871</f>
        <v>256584369.92999998</v>
      </c>
    </row>
    <row r="496" spans="1:14" ht="24.95" customHeight="1">
      <c r="A496" s="541"/>
      <c r="B496" s="587"/>
      <c r="C496" s="301"/>
      <c r="D496" s="301"/>
      <c r="E496" s="530"/>
      <c r="G496" s="301">
        <f>G494-G495</f>
        <v>0</v>
      </c>
      <c r="J496" s="308">
        <f>J494-J495</f>
        <v>0</v>
      </c>
    </row>
    <row r="497" spans="1:7" ht="24.95" customHeight="1">
      <c r="A497" s="541"/>
      <c r="B497" s="587"/>
      <c r="C497" s="301"/>
      <c r="D497" s="301"/>
      <c r="E497" s="530"/>
    </row>
    <row r="498" spans="1:7" ht="24.95" customHeight="1">
      <c r="A498" s="541"/>
      <c r="B498" s="587"/>
      <c r="C498" s="301"/>
      <c r="D498" s="301"/>
      <c r="E498" s="530"/>
      <c r="G498" s="308">
        <v>7021388.0700000525</v>
      </c>
    </row>
    <row r="499" spans="1:7" ht="24.95" customHeight="1" thickBot="1">
      <c r="A499" s="567"/>
      <c r="B499" s="591"/>
      <c r="C499" s="310"/>
      <c r="D499" s="310"/>
      <c r="E499" s="546"/>
      <c r="G499" s="308">
        <v>1263728.1200000001</v>
      </c>
    </row>
    <row r="500" spans="1:7" ht="24.95" customHeight="1" thickTop="1">
      <c r="A500" s="577" t="s">
        <v>425</v>
      </c>
      <c r="B500" s="592"/>
      <c r="G500" s="308">
        <v>-568496.30000000005</v>
      </c>
    </row>
    <row r="501" spans="1:7" ht="24.95" customHeight="1">
      <c r="G501" s="308">
        <v>695231.82000000007</v>
      </c>
    </row>
    <row r="502" spans="1:7" ht="24.95" customHeight="1">
      <c r="G502" s="308">
        <v>6326156.2500000522</v>
      </c>
    </row>
    <row r="503" spans="1:7" ht="24.95" customHeight="1">
      <c r="G503" s="308">
        <v>-53329.97</v>
      </c>
    </row>
    <row r="504" spans="1:7" ht="24.95" customHeight="1">
      <c r="G504" s="308">
        <v>6272826.2800000524</v>
      </c>
    </row>
  </sheetData>
  <mergeCells count="16">
    <mergeCell ref="A303:A304"/>
    <mergeCell ref="A416:A417"/>
    <mergeCell ref="A438:A439"/>
    <mergeCell ref="A327:A328"/>
    <mergeCell ref="A349:A350"/>
    <mergeCell ref="A371:A372"/>
    <mergeCell ref="A394:A395"/>
    <mergeCell ref="A114:A115"/>
    <mergeCell ref="A136:A137"/>
    <mergeCell ref="A158:A159"/>
    <mergeCell ref="A181:A182"/>
    <mergeCell ref="A282:A283"/>
    <mergeCell ref="A200:A201"/>
    <mergeCell ref="A220:A221"/>
    <mergeCell ref="A238:A239"/>
    <mergeCell ref="A260:A261"/>
  </mergeCells>
  <phoneticPr fontId="0" type="noConversion"/>
  <pageMargins left="0.75" right="0.5" top="0.5" bottom="0.5" header="0.5" footer="0.5"/>
  <pageSetup paperSize="5" scale="93" orientation="landscape" r:id="rId1"/>
  <headerFooter alignWithMargins="0"/>
  <rowBreaks count="22" manualBreakCount="22">
    <brk id="22" max="16383" man="1"/>
    <brk id="44" max="16383" man="1"/>
    <brk id="66" max="16383" man="1"/>
    <brk id="88" max="16383" man="1"/>
    <brk id="110" max="16383" man="1"/>
    <brk id="132" max="16383" man="1"/>
    <brk id="154" max="7" man="1"/>
    <brk id="177" max="16383" man="1"/>
    <brk id="196" max="16383" man="1"/>
    <brk id="216" max="16383" man="1"/>
    <brk id="234" max="16383" man="1"/>
    <brk id="256" max="16383" man="1"/>
    <brk id="278" max="16383" man="1"/>
    <brk id="299" max="16383" man="1"/>
    <brk id="323" max="16383" man="1"/>
    <brk id="345" max="16383" man="1"/>
    <brk id="367" max="16383" man="1"/>
    <brk id="390" max="16383" man="1"/>
    <brk id="412" max="16383" man="1"/>
    <brk id="434" max="16383" man="1"/>
    <brk id="456" max="16383" man="1"/>
    <brk id="478" max="16383" man="1"/>
  </rowBreaks>
</worksheet>
</file>

<file path=xl/worksheets/sheet5.xml><?xml version="1.0" encoding="utf-8"?>
<worksheet xmlns="http://schemas.openxmlformats.org/spreadsheetml/2006/main" xmlns:r="http://schemas.openxmlformats.org/officeDocument/2006/relationships">
  <sheetPr>
    <tabColor rgb="FF00B050"/>
  </sheetPr>
  <dimension ref="A1:P885"/>
  <sheetViews>
    <sheetView view="pageBreakPreview" zoomScale="80" zoomScaleNormal="75" zoomScaleSheetLayoutView="80" workbookViewId="0">
      <selection activeCell="C19" sqref="C19"/>
    </sheetView>
  </sheetViews>
  <sheetFormatPr defaultRowHeight="24.95" customHeight="1"/>
  <cols>
    <col min="1" max="1" width="54.85546875" style="324" customWidth="1"/>
    <col min="2" max="2" width="9.7109375" style="358" customWidth="1"/>
    <col min="3" max="4" width="17.7109375" style="324" customWidth="1"/>
    <col min="5" max="5" width="16.7109375" style="324" customWidth="1"/>
    <col min="6" max="7" width="17.7109375" style="324" customWidth="1"/>
    <col min="8" max="8" width="16.7109375" style="324" customWidth="1"/>
    <col min="9" max="9" width="16.42578125" style="324" customWidth="1"/>
    <col min="10" max="10" width="14.7109375" style="324" customWidth="1"/>
    <col min="11" max="11" width="15.5703125" style="324" customWidth="1"/>
    <col min="12" max="12" width="17.5703125" style="324" customWidth="1"/>
    <col min="13" max="13" width="15" style="324" customWidth="1"/>
    <col min="14" max="14" width="12.7109375" style="324" customWidth="1"/>
    <col min="15" max="15" width="11.28515625" style="324" customWidth="1"/>
    <col min="16" max="16384" width="9.140625" style="324"/>
  </cols>
  <sheetData>
    <row r="1" spans="1:8" ht="37.5" customHeight="1" thickBot="1">
      <c r="A1" s="318"/>
      <c r="B1" s="319"/>
      <c r="C1" s="318" t="s">
        <v>922</v>
      </c>
      <c r="D1" s="320"/>
      <c r="E1" s="321"/>
      <c r="F1" s="322"/>
      <c r="G1" s="323"/>
      <c r="H1" s="321" t="s">
        <v>795</v>
      </c>
    </row>
    <row r="2" spans="1:8" ht="20.100000000000001" customHeight="1" thickTop="1" thickBot="1">
      <c r="A2" s="325" t="s">
        <v>923</v>
      </c>
      <c r="B2" s="326"/>
      <c r="C2" s="327"/>
      <c r="D2" s="328" t="s">
        <v>926</v>
      </c>
      <c r="E2" s="329"/>
      <c r="F2" s="330"/>
      <c r="G2" s="331" t="s">
        <v>1348</v>
      </c>
      <c r="H2" s="332"/>
    </row>
    <row r="3" spans="1:8" ht="38.25" customHeight="1" thickTop="1" thickBot="1">
      <c r="A3" s="333" t="s">
        <v>924</v>
      </c>
      <c r="B3" s="334" t="s">
        <v>793</v>
      </c>
      <c r="C3" s="335" t="s">
        <v>1349</v>
      </c>
      <c r="D3" s="335" t="s">
        <v>1266</v>
      </c>
      <c r="E3" s="336" t="s">
        <v>1350</v>
      </c>
      <c r="F3" s="337" t="s">
        <v>1351</v>
      </c>
      <c r="G3" s="338" t="s">
        <v>925</v>
      </c>
      <c r="H3" s="339" t="s">
        <v>927</v>
      </c>
    </row>
    <row r="4" spans="1:8" ht="24.95" customHeight="1" thickTop="1">
      <c r="A4" s="340" t="s">
        <v>940</v>
      </c>
      <c r="B4" s="341"/>
      <c r="C4" s="342"/>
      <c r="D4" s="342"/>
      <c r="E4" s="342"/>
      <c r="F4" s="342"/>
      <c r="G4" s="342"/>
      <c r="H4" s="343"/>
    </row>
    <row r="5" spans="1:8" ht="24.95" customHeight="1">
      <c r="A5" s="344" t="s">
        <v>939</v>
      </c>
      <c r="B5" s="341"/>
      <c r="C5" s="342"/>
      <c r="D5" s="342"/>
      <c r="E5" s="342"/>
      <c r="F5" s="342"/>
      <c r="G5" s="342"/>
      <c r="H5" s="345"/>
    </row>
    <row r="6" spans="1:8" ht="24.95" customHeight="1">
      <c r="A6" s="346" t="s">
        <v>928</v>
      </c>
      <c r="B6" s="347" t="s">
        <v>934</v>
      </c>
      <c r="C6" s="348">
        <v>426810</v>
      </c>
      <c r="D6" s="348">
        <v>401758</v>
      </c>
      <c r="E6" s="349"/>
      <c r="F6" s="349">
        <v>345008</v>
      </c>
      <c r="G6" s="349">
        <v>343975.98</v>
      </c>
      <c r="H6" s="350">
        <f>F6-G6</f>
        <v>1032.0200000000186</v>
      </c>
    </row>
    <row r="7" spans="1:8" ht="24.95" customHeight="1">
      <c r="A7" s="346" t="s">
        <v>929</v>
      </c>
      <c r="B7" s="347" t="s">
        <v>935</v>
      </c>
      <c r="C7" s="349">
        <v>15120</v>
      </c>
      <c r="D7" s="349">
        <v>15120</v>
      </c>
      <c r="E7" s="349"/>
      <c r="F7" s="349">
        <v>15750</v>
      </c>
      <c r="G7" s="349">
        <f>14373.16+1342.83</f>
        <v>15715.99</v>
      </c>
      <c r="H7" s="350">
        <f>F7-G7</f>
        <v>34.010000000000218</v>
      </c>
    </row>
    <row r="8" spans="1:8" ht="24.95" customHeight="1">
      <c r="A8" s="351" t="s">
        <v>930</v>
      </c>
      <c r="B8" s="347"/>
      <c r="C8" s="352"/>
      <c r="D8" s="352"/>
      <c r="E8" s="349"/>
      <c r="F8" s="349"/>
      <c r="G8" s="349"/>
      <c r="H8" s="350"/>
    </row>
    <row r="9" spans="1:8" ht="24.95" customHeight="1">
      <c r="A9" s="353" t="s">
        <v>928</v>
      </c>
      <c r="B9" s="347" t="s">
        <v>934</v>
      </c>
      <c r="C9" s="349">
        <v>732566</v>
      </c>
      <c r="D9" s="349">
        <v>670378</v>
      </c>
      <c r="E9" s="349"/>
      <c r="F9" s="349">
        <v>531778</v>
      </c>
      <c r="G9" s="349">
        <v>530975.89</v>
      </c>
      <c r="H9" s="350">
        <f t="shared" ref="H9:H10" si="0">F9-G9</f>
        <v>802.10999999998603</v>
      </c>
    </row>
    <row r="10" spans="1:8" ht="24.95" customHeight="1">
      <c r="A10" s="346" t="s">
        <v>929</v>
      </c>
      <c r="B10" s="347" t="s">
        <v>935</v>
      </c>
      <c r="C10" s="349">
        <v>178890</v>
      </c>
      <c r="D10" s="349">
        <v>178890</v>
      </c>
      <c r="E10" s="349"/>
      <c r="F10" s="349">
        <v>168890</v>
      </c>
      <c r="G10" s="349">
        <f>109669.59+693.2</f>
        <v>110362.79</v>
      </c>
      <c r="H10" s="350">
        <f t="shared" si="0"/>
        <v>58527.210000000006</v>
      </c>
    </row>
    <row r="11" spans="1:8" ht="24.95" customHeight="1">
      <c r="A11" s="351" t="s">
        <v>931</v>
      </c>
      <c r="B11" s="347"/>
      <c r="C11" s="349"/>
      <c r="D11" s="349"/>
      <c r="E11" s="349"/>
      <c r="F11" s="349"/>
      <c r="G11" s="349"/>
      <c r="H11" s="350"/>
    </row>
    <row r="12" spans="1:8" ht="24.95" customHeight="1">
      <c r="A12" s="353" t="s">
        <v>928</v>
      </c>
      <c r="B12" s="347" t="s">
        <v>936</v>
      </c>
      <c r="C12" s="349">
        <v>410886</v>
      </c>
      <c r="D12" s="349">
        <v>424658</v>
      </c>
      <c r="E12" s="349"/>
      <c r="F12" s="349">
        <v>350458</v>
      </c>
      <c r="G12" s="349">
        <v>348996.68</v>
      </c>
      <c r="H12" s="350">
        <f>F12-G12</f>
        <v>1461.320000000007</v>
      </c>
    </row>
    <row r="13" spans="1:8" ht="24.95" customHeight="1">
      <c r="A13" s="346" t="s">
        <v>929</v>
      </c>
      <c r="B13" s="347" t="s">
        <v>937</v>
      </c>
      <c r="C13" s="349">
        <v>130705</v>
      </c>
      <c r="D13" s="349">
        <v>130705</v>
      </c>
      <c r="E13" s="349"/>
      <c r="F13" s="349">
        <v>138705</v>
      </c>
      <c r="G13" s="349">
        <f>116610.17+4800.87</f>
        <v>121411.04</v>
      </c>
      <c r="H13" s="350">
        <f>F13-G13</f>
        <v>17293.960000000006</v>
      </c>
    </row>
    <row r="14" spans="1:8" ht="24.95" customHeight="1">
      <c r="A14" s="351" t="s">
        <v>932</v>
      </c>
      <c r="B14" s="347"/>
      <c r="C14" s="349"/>
      <c r="D14" s="349"/>
      <c r="E14" s="349"/>
      <c r="F14" s="349"/>
      <c r="G14" s="349"/>
      <c r="H14" s="350"/>
    </row>
    <row r="15" spans="1:8" ht="24.95" customHeight="1">
      <c r="A15" s="346" t="s">
        <v>928</v>
      </c>
      <c r="B15" s="347" t="s">
        <v>936</v>
      </c>
      <c r="C15" s="349">
        <v>7388</v>
      </c>
      <c r="D15" s="349">
        <v>7388</v>
      </c>
      <c r="E15" s="349"/>
      <c r="F15" s="349">
        <v>4388</v>
      </c>
      <c r="G15" s="349">
        <v>4338.07</v>
      </c>
      <c r="H15" s="350">
        <f t="shared" ref="H15:H16" si="1">F15-G15</f>
        <v>49.930000000000291</v>
      </c>
    </row>
    <row r="16" spans="1:8" ht="24.95" customHeight="1">
      <c r="A16" s="353" t="s">
        <v>41</v>
      </c>
      <c r="B16" s="347" t="s">
        <v>937</v>
      </c>
      <c r="C16" s="349">
        <v>505100</v>
      </c>
      <c r="D16" s="349">
        <v>228050</v>
      </c>
      <c r="E16" s="349"/>
      <c r="F16" s="349">
        <v>160050</v>
      </c>
      <c r="G16" s="349">
        <f>67256.57+1379.76</f>
        <v>68636.33</v>
      </c>
      <c r="H16" s="350">
        <f t="shared" si="1"/>
        <v>91413.67</v>
      </c>
    </row>
    <row r="17" spans="1:11" ht="24.95" customHeight="1">
      <c r="A17" s="351" t="s">
        <v>933</v>
      </c>
      <c r="B17" s="347"/>
      <c r="C17" s="349"/>
      <c r="D17" s="349"/>
      <c r="E17" s="349"/>
      <c r="F17" s="349"/>
      <c r="G17" s="349"/>
      <c r="H17" s="350"/>
    </row>
    <row r="18" spans="1:11" ht="24.95" customHeight="1">
      <c r="A18" s="346" t="s">
        <v>928</v>
      </c>
      <c r="B18" s="347" t="s">
        <v>938</v>
      </c>
      <c r="C18" s="349">
        <v>104270</v>
      </c>
      <c r="D18" s="349">
        <v>96562</v>
      </c>
      <c r="E18" s="349"/>
      <c r="F18" s="349">
        <v>88262</v>
      </c>
      <c r="G18" s="349">
        <v>88216.04</v>
      </c>
      <c r="H18" s="350">
        <f t="shared" ref="H18:H20" si="2">F18-G18</f>
        <v>45.960000000006403</v>
      </c>
    </row>
    <row r="19" spans="1:11" ht="24.95" customHeight="1">
      <c r="A19" s="353" t="s">
        <v>1125</v>
      </c>
      <c r="B19" s="347" t="s">
        <v>633</v>
      </c>
      <c r="C19" s="349">
        <f>-C402+49028500</f>
        <v>48333721.851999998</v>
      </c>
      <c r="D19" s="349">
        <v>42415269</v>
      </c>
      <c r="E19" s="349">
        <v>3955000</v>
      </c>
      <c r="F19" s="349">
        <v>47581643</v>
      </c>
      <c r="G19" s="349">
        <v>46754027.289999999</v>
      </c>
      <c r="H19" s="350">
        <f t="shared" si="2"/>
        <v>827615.71000000089</v>
      </c>
      <c r="J19" s="324">
        <v>3955000</v>
      </c>
      <c r="K19" s="324">
        <f>D19+J19</f>
        <v>46370269</v>
      </c>
    </row>
    <row r="20" spans="1:11" ht="24.95" customHeight="1" thickBot="1">
      <c r="A20" s="354" t="s">
        <v>1268</v>
      </c>
      <c r="B20" s="355" t="s">
        <v>632</v>
      </c>
      <c r="C20" s="356">
        <v>5745000</v>
      </c>
      <c r="D20" s="356">
        <v>4900000</v>
      </c>
      <c r="E20" s="356"/>
      <c r="F20" s="356">
        <v>4900000</v>
      </c>
      <c r="G20" s="356">
        <f>4028537.68+843071.24</f>
        <v>4871608.92</v>
      </c>
      <c r="H20" s="350">
        <f t="shared" si="2"/>
        <v>28391.080000000075</v>
      </c>
    </row>
    <row r="21" spans="1:11" ht="24.95" customHeight="1" thickTop="1">
      <c r="D21" s="359" t="s">
        <v>435</v>
      </c>
    </row>
    <row r="22" spans="1:11" ht="37.5" customHeight="1" thickBot="1">
      <c r="A22" s="318"/>
      <c r="B22" s="319"/>
      <c r="C22" s="318" t="s">
        <v>922</v>
      </c>
      <c r="D22" s="360"/>
      <c r="E22" s="361"/>
      <c r="F22" s="322"/>
      <c r="G22" s="323"/>
      <c r="H22" s="321" t="s">
        <v>795</v>
      </c>
    </row>
    <row r="23" spans="1:11" ht="20.100000000000001" customHeight="1" thickTop="1" thickBot="1">
      <c r="A23" s="325" t="s">
        <v>923</v>
      </c>
      <c r="B23" s="326"/>
      <c r="C23" s="327"/>
      <c r="D23" s="328" t="s">
        <v>926</v>
      </c>
      <c r="E23" s="329"/>
      <c r="F23" s="330"/>
      <c r="G23" s="331" t="s">
        <v>1348</v>
      </c>
      <c r="H23" s="332"/>
    </row>
    <row r="24" spans="1:11" ht="38.25" customHeight="1" thickTop="1" thickBot="1">
      <c r="A24" s="333" t="s">
        <v>124</v>
      </c>
      <c r="B24" s="334" t="s">
        <v>793</v>
      </c>
      <c r="C24" s="335" t="s">
        <v>1349</v>
      </c>
      <c r="D24" s="335" t="s">
        <v>1266</v>
      </c>
      <c r="E24" s="362" t="s">
        <v>1350</v>
      </c>
      <c r="F24" s="363" t="s">
        <v>1351</v>
      </c>
      <c r="G24" s="338" t="s">
        <v>925</v>
      </c>
      <c r="H24" s="339" t="s">
        <v>927</v>
      </c>
    </row>
    <row r="25" spans="1:11" ht="24.95" customHeight="1" thickTop="1">
      <c r="A25" s="340" t="s">
        <v>941</v>
      </c>
      <c r="B25" s="364"/>
      <c r="C25" s="365"/>
      <c r="D25" s="365"/>
      <c r="E25" s="365"/>
      <c r="F25" s="365"/>
      <c r="G25" s="365"/>
      <c r="H25" s="343"/>
    </row>
    <row r="26" spans="1:11" ht="24.95" customHeight="1">
      <c r="A26" s="366" t="s">
        <v>1120</v>
      </c>
      <c r="B26" s="347" t="s">
        <v>631</v>
      </c>
      <c r="C26" s="349">
        <v>4560100</v>
      </c>
      <c r="D26" s="349">
        <v>4389116</v>
      </c>
      <c r="E26" s="349"/>
      <c r="F26" s="349">
        <v>4389116</v>
      </c>
      <c r="G26" s="349">
        <f>3647649.2+527410.9</f>
        <v>4175060.1</v>
      </c>
      <c r="H26" s="350">
        <f t="shared" ref="H26" si="3">F26-G26</f>
        <v>214055.89999999991</v>
      </c>
    </row>
    <row r="27" spans="1:11" ht="24.95" customHeight="1">
      <c r="A27" s="344" t="s">
        <v>942</v>
      </c>
      <c r="B27" s="341"/>
      <c r="C27" s="342"/>
      <c r="D27" s="342"/>
      <c r="E27" s="342"/>
      <c r="F27" s="342"/>
      <c r="G27" s="342"/>
      <c r="H27" s="345"/>
    </row>
    <row r="28" spans="1:11" ht="24.95" customHeight="1">
      <c r="A28" s="346" t="s">
        <v>943</v>
      </c>
      <c r="B28" s="347" t="s">
        <v>945</v>
      </c>
      <c r="C28" s="349">
        <v>49000</v>
      </c>
      <c r="D28" s="349">
        <v>41000</v>
      </c>
      <c r="E28" s="349"/>
      <c r="F28" s="349">
        <v>41000</v>
      </c>
      <c r="G28" s="349">
        <v>0</v>
      </c>
      <c r="H28" s="350">
        <f t="shared" ref="H28:H29" si="4">F28-G28</f>
        <v>41000</v>
      </c>
    </row>
    <row r="29" spans="1:11" ht="24.95" customHeight="1">
      <c r="A29" s="346" t="s">
        <v>944</v>
      </c>
      <c r="B29" s="347" t="s">
        <v>945</v>
      </c>
      <c r="C29" s="349">
        <v>25000</v>
      </c>
      <c r="D29" s="349">
        <v>25000</v>
      </c>
      <c r="E29" s="349"/>
      <c r="F29" s="349">
        <v>25000</v>
      </c>
      <c r="G29" s="349">
        <v>0</v>
      </c>
      <c r="H29" s="350">
        <f t="shared" si="4"/>
        <v>25000</v>
      </c>
    </row>
    <row r="30" spans="1:11" ht="24.95" customHeight="1">
      <c r="A30" s="351" t="s">
        <v>343</v>
      </c>
      <c r="B30" s="347"/>
      <c r="C30" s="349"/>
      <c r="D30" s="349"/>
      <c r="E30" s="349"/>
      <c r="F30" s="349"/>
      <c r="G30" s="349"/>
      <c r="H30" s="350"/>
    </row>
    <row r="31" spans="1:11" ht="24.95" customHeight="1">
      <c r="A31" s="353" t="s">
        <v>928</v>
      </c>
      <c r="B31" s="347" t="s">
        <v>503</v>
      </c>
      <c r="C31" s="349">
        <v>87021</v>
      </c>
      <c r="D31" s="349">
        <v>85735</v>
      </c>
      <c r="E31" s="349"/>
      <c r="F31" s="349">
        <v>84535</v>
      </c>
      <c r="G31" s="349">
        <f>82092.64+2375</f>
        <v>84467.64</v>
      </c>
      <c r="H31" s="350">
        <f t="shared" ref="H31:H33" si="5">F31-G31</f>
        <v>67.360000000000582</v>
      </c>
    </row>
    <row r="32" spans="1:11" ht="24.95" customHeight="1">
      <c r="A32" s="353" t="s">
        <v>41</v>
      </c>
      <c r="B32" s="347" t="s">
        <v>946</v>
      </c>
      <c r="C32" s="349">
        <v>75940</v>
      </c>
      <c r="D32" s="349">
        <v>75940</v>
      </c>
      <c r="E32" s="349"/>
      <c r="F32" s="349">
        <v>20480</v>
      </c>
      <c r="G32" s="349">
        <f>10650.22+5862.2</f>
        <v>16512.419999999998</v>
      </c>
      <c r="H32" s="350">
        <f t="shared" si="5"/>
        <v>3967.5800000000017</v>
      </c>
    </row>
    <row r="33" spans="1:8" ht="24.95" customHeight="1">
      <c r="A33" s="367" t="s">
        <v>1269</v>
      </c>
      <c r="B33" s="347"/>
      <c r="C33" s="349">
        <f t="shared" ref="C33" si="6">SUM(C5:C32)</f>
        <v>61387517.851999998</v>
      </c>
      <c r="D33" s="349">
        <f t="shared" ref="D33:G33" si="7">SUM(D5:D32)</f>
        <v>54085569</v>
      </c>
      <c r="E33" s="349">
        <f t="shared" si="7"/>
        <v>3955000</v>
      </c>
      <c r="F33" s="349">
        <f t="shared" si="7"/>
        <v>58845063</v>
      </c>
      <c r="G33" s="349">
        <f t="shared" si="7"/>
        <v>57534305.180000007</v>
      </c>
      <c r="H33" s="350">
        <f t="shared" si="5"/>
        <v>1310757.8199999928</v>
      </c>
    </row>
    <row r="34" spans="1:8" ht="24.95" customHeight="1">
      <c r="B34" s="347"/>
      <c r="C34" s="349"/>
      <c r="D34" s="349"/>
      <c r="E34" s="349"/>
      <c r="F34" s="349"/>
      <c r="G34" s="349"/>
      <c r="H34" s="350"/>
    </row>
    <row r="35" spans="1:8" ht="24.95" customHeight="1">
      <c r="A35" s="367" t="s">
        <v>947</v>
      </c>
      <c r="B35" s="347"/>
      <c r="C35" s="349"/>
      <c r="D35" s="349"/>
      <c r="E35" s="349"/>
      <c r="F35" s="349"/>
      <c r="G35" s="349"/>
      <c r="H35" s="350"/>
    </row>
    <row r="36" spans="1:8" ht="24.95" customHeight="1">
      <c r="A36" s="351" t="s">
        <v>948</v>
      </c>
      <c r="B36" s="347"/>
      <c r="C36" s="349"/>
      <c r="D36" s="349"/>
      <c r="E36" s="349"/>
      <c r="F36" s="349"/>
      <c r="G36" s="349"/>
      <c r="H36" s="350"/>
    </row>
    <row r="37" spans="1:8" ht="24.95" customHeight="1">
      <c r="A37" s="346" t="s">
        <v>928</v>
      </c>
      <c r="B37" s="347" t="s">
        <v>951</v>
      </c>
      <c r="C37" s="349">
        <v>681742</v>
      </c>
      <c r="D37" s="349">
        <v>643724</v>
      </c>
      <c r="E37" s="349"/>
      <c r="F37" s="349">
        <v>438724</v>
      </c>
      <c r="G37" s="349">
        <v>437698.8</v>
      </c>
      <c r="H37" s="350">
        <f t="shared" ref="H37:H38" si="8">F37-G37</f>
        <v>1025.2000000000116</v>
      </c>
    </row>
    <row r="38" spans="1:8" ht="24.95" customHeight="1">
      <c r="A38" s="346" t="s">
        <v>41</v>
      </c>
      <c r="B38" s="347" t="s">
        <v>952</v>
      </c>
      <c r="C38" s="349">
        <v>53000</v>
      </c>
      <c r="D38" s="349">
        <v>53000</v>
      </c>
      <c r="E38" s="349"/>
      <c r="F38" s="349">
        <v>37000</v>
      </c>
      <c r="G38" s="349">
        <f>29246.52+1203.54</f>
        <v>30450.06</v>
      </c>
      <c r="H38" s="350">
        <f t="shared" si="8"/>
        <v>6549.9399999999987</v>
      </c>
    </row>
    <row r="39" spans="1:8" ht="24.95" customHeight="1">
      <c r="A39" s="351" t="s">
        <v>950</v>
      </c>
      <c r="B39" s="347"/>
      <c r="C39" s="349"/>
      <c r="D39" s="349"/>
      <c r="E39" s="349"/>
      <c r="F39" s="349"/>
      <c r="G39" s="349"/>
      <c r="H39" s="350"/>
    </row>
    <row r="40" spans="1:8" ht="24.95" customHeight="1">
      <c r="A40" s="353" t="s">
        <v>949</v>
      </c>
      <c r="B40" s="347" t="s">
        <v>953</v>
      </c>
      <c r="C40" s="349">
        <v>614384</v>
      </c>
      <c r="D40" s="349">
        <v>542516</v>
      </c>
      <c r="E40" s="349"/>
      <c r="F40" s="349">
        <v>452216</v>
      </c>
      <c r="G40" s="349">
        <v>445504.4</v>
      </c>
      <c r="H40" s="350">
        <f t="shared" ref="H40:H41" si="9">F40-G40</f>
        <v>6711.5999999999767</v>
      </c>
    </row>
    <row r="41" spans="1:8" ht="24.95" customHeight="1" thickBot="1">
      <c r="A41" s="353" t="s">
        <v>41</v>
      </c>
      <c r="B41" s="347" t="s">
        <v>954</v>
      </c>
      <c r="C41" s="349">
        <v>88250</v>
      </c>
      <c r="D41" s="356">
        <v>32650</v>
      </c>
      <c r="E41" s="349"/>
      <c r="F41" s="349">
        <v>58950</v>
      </c>
      <c r="G41" s="349">
        <f>26584.62+32324.03</f>
        <v>58908.649999999994</v>
      </c>
      <c r="H41" s="350">
        <f t="shared" si="9"/>
        <v>41.350000000005821</v>
      </c>
    </row>
    <row r="42" spans="1:8" ht="24.95" customHeight="1" thickTop="1">
      <c r="A42" s="368"/>
      <c r="B42" s="369"/>
      <c r="C42" s="368"/>
      <c r="D42" s="359" t="s">
        <v>436</v>
      </c>
      <c r="E42" s="368"/>
      <c r="F42" s="368"/>
      <c r="G42" s="368"/>
      <c r="H42" s="368"/>
    </row>
    <row r="43" spans="1:8" ht="37.35" customHeight="1" thickBot="1">
      <c r="A43" s="318"/>
      <c r="B43" s="319"/>
      <c r="C43" s="318"/>
      <c r="D43" s="370"/>
      <c r="E43" s="361"/>
      <c r="F43" s="322"/>
      <c r="G43" s="323"/>
      <c r="H43" s="321" t="s">
        <v>795</v>
      </c>
    </row>
    <row r="44" spans="1:8" ht="20.100000000000001" customHeight="1" thickTop="1" thickBot="1">
      <c r="A44" s="325" t="s">
        <v>923</v>
      </c>
      <c r="B44" s="326"/>
      <c r="C44" s="327"/>
      <c r="D44" s="328" t="s">
        <v>926</v>
      </c>
      <c r="E44" s="329"/>
      <c r="F44" s="330"/>
      <c r="G44" s="331" t="s">
        <v>1348</v>
      </c>
      <c r="H44" s="332"/>
    </row>
    <row r="45" spans="1:8" ht="38.25" customHeight="1" thickTop="1" thickBot="1">
      <c r="A45" s="333" t="s">
        <v>124</v>
      </c>
      <c r="B45" s="334" t="s">
        <v>793</v>
      </c>
      <c r="C45" s="335" t="s">
        <v>1349</v>
      </c>
      <c r="D45" s="335" t="s">
        <v>1266</v>
      </c>
      <c r="E45" s="362" t="s">
        <v>1350</v>
      </c>
      <c r="F45" s="363" t="s">
        <v>1351</v>
      </c>
      <c r="G45" s="338" t="s">
        <v>925</v>
      </c>
      <c r="H45" s="339" t="s">
        <v>927</v>
      </c>
    </row>
    <row r="46" spans="1:8" ht="24.95" customHeight="1" thickTop="1">
      <c r="A46" s="367" t="s">
        <v>955</v>
      </c>
      <c r="B46" s="364"/>
      <c r="C46" s="365"/>
      <c r="D46" s="365"/>
      <c r="E46" s="365"/>
      <c r="F46" s="365"/>
      <c r="G46" s="365"/>
      <c r="H46" s="343"/>
    </row>
    <row r="47" spans="1:8" ht="24.95" customHeight="1">
      <c r="A47" s="351" t="s">
        <v>956</v>
      </c>
      <c r="B47" s="347"/>
      <c r="C47" s="349"/>
      <c r="D47" s="349"/>
      <c r="E47" s="349"/>
      <c r="F47" s="349"/>
      <c r="G47" s="349"/>
      <c r="H47" s="350"/>
    </row>
    <row r="48" spans="1:8" ht="24.95" customHeight="1">
      <c r="A48" s="346" t="s">
        <v>928</v>
      </c>
      <c r="B48" s="347" t="s">
        <v>951</v>
      </c>
      <c r="C48" s="349">
        <v>304019</v>
      </c>
      <c r="D48" s="349">
        <v>245339</v>
      </c>
      <c r="E48" s="349"/>
      <c r="F48" s="349">
        <v>242939</v>
      </c>
      <c r="G48" s="349">
        <v>242288.2</v>
      </c>
      <c r="H48" s="350">
        <f t="shared" ref="H48:H49" si="10">F48-G48</f>
        <v>650.79999999998836</v>
      </c>
    </row>
    <row r="49" spans="1:8" ht="24.95" customHeight="1">
      <c r="A49" s="346" t="s">
        <v>41</v>
      </c>
      <c r="B49" s="347" t="s">
        <v>952</v>
      </c>
      <c r="C49" s="349">
        <v>19900</v>
      </c>
      <c r="D49" s="349">
        <v>19700</v>
      </c>
      <c r="E49" s="349"/>
      <c r="F49" s="349">
        <v>20200</v>
      </c>
      <c r="G49" s="349">
        <f>787.6+19364.5</f>
        <v>20152.099999999999</v>
      </c>
      <c r="H49" s="350">
        <f t="shared" si="10"/>
        <v>47.900000000001455</v>
      </c>
    </row>
    <row r="50" spans="1:8" ht="24.95" customHeight="1">
      <c r="A50" s="351" t="s">
        <v>957</v>
      </c>
      <c r="B50" s="347"/>
      <c r="C50" s="349"/>
      <c r="D50" s="349"/>
      <c r="E50" s="349"/>
      <c r="F50" s="349"/>
      <c r="G50" s="349"/>
      <c r="H50" s="350"/>
    </row>
    <row r="51" spans="1:8" ht="24.95" customHeight="1">
      <c r="A51" s="353" t="s">
        <v>928</v>
      </c>
      <c r="B51" s="347" t="s">
        <v>988</v>
      </c>
      <c r="C51" s="349">
        <v>509090</v>
      </c>
      <c r="D51" s="349">
        <v>380377</v>
      </c>
      <c r="E51" s="349"/>
      <c r="F51" s="349">
        <v>275077</v>
      </c>
      <c r="G51" s="349">
        <v>274582.31</v>
      </c>
      <c r="H51" s="350">
        <f t="shared" ref="H51:H53" si="11">F51-G51</f>
        <v>494.69000000000233</v>
      </c>
    </row>
    <row r="52" spans="1:8" ht="24.95" customHeight="1">
      <c r="A52" s="346" t="s">
        <v>929</v>
      </c>
      <c r="B52" s="347" t="s">
        <v>989</v>
      </c>
      <c r="C52" s="349">
        <v>457038</v>
      </c>
      <c r="D52" s="349">
        <v>457078</v>
      </c>
      <c r="E52" s="349"/>
      <c r="F52" s="349">
        <v>317078</v>
      </c>
      <c r="G52" s="349">
        <f>214471.36+57853.59</f>
        <v>272324.94999999995</v>
      </c>
      <c r="H52" s="350">
        <f t="shared" si="11"/>
        <v>44753.050000000047</v>
      </c>
    </row>
    <row r="53" spans="1:8" ht="24.95" customHeight="1">
      <c r="A53" s="351" t="s">
        <v>1126</v>
      </c>
      <c r="B53" s="347" t="s">
        <v>952</v>
      </c>
      <c r="C53" s="349">
        <v>98000</v>
      </c>
      <c r="D53" s="349">
        <v>98000</v>
      </c>
      <c r="E53" s="349"/>
      <c r="F53" s="349">
        <v>48000</v>
      </c>
      <c r="G53" s="349">
        <f>22567.09+6871.64</f>
        <v>29438.73</v>
      </c>
      <c r="H53" s="350">
        <f t="shared" si="11"/>
        <v>18561.27</v>
      </c>
    </row>
    <row r="54" spans="1:8" ht="24.95" customHeight="1">
      <c r="A54" s="366" t="s">
        <v>165</v>
      </c>
      <c r="B54" s="347" t="s">
        <v>168</v>
      </c>
      <c r="C54" s="349"/>
      <c r="D54" s="349"/>
      <c r="E54" s="349"/>
      <c r="F54" s="349"/>
      <c r="G54" s="349"/>
      <c r="H54" s="350"/>
    </row>
    <row r="55" spans="1:8" ht="24.95" customHeight="1">
      <c r="A55" s="346" t="s">
        <v>928</v>
      </c>
      <c r="B55" s="347" t="s">
        <v>169</v>
      </c>
      <c r="C55" s="349">
        <v>108869</v>
      </c>
      <c r="D55" s="349">
        <v>107333</v>
      </c>
      <c r="E55" s="349"/>
      <c r="F55" s="349">
        <v>107333</v>
      </c>
      <c r="G55" s="349">
        <v>27661.54</v>
      </c>
      <c r="H55" s="350">
        <f t="shared" ref="H55:H56" si="12">F55-G55</f>
        <v>79671.459999999992</v>
      </c>
    </row>
    <row r="56" spans="1:8" ht="24.95" customHeight="1">
      <c r="A56" s="346" t="s">
        <v>41</v>
      </c>
      <c r="B56" s="347" t="s">
        <v>170</v>
      </c>
      <c r="C56" s="349">
        <v>680</v>
      </c>
      <c r="D56" s="349">
        <v>680</v>
      </c>
      <c r="E56" s="349"/>
      <c r="F56" s="349">
        <v>680</v>
      </c>
      <c r="G56" s="349">
        <v>680</v>
      </c>
      <c r="H56" s="350">
        <f t="shared" si="12"/>
        <v>0</v>
      </c>
    </row>
    <row r="57" spans="1:8" ht="24.95" customHeight="1">
      <c r="A57" s="371" t="s">
        <v>1172</v>
      </c>
      <c r="B57" s="347"/>
      <c r="C57" s="349">
        <f t="shared" ref="C57" si="13">SUM(C36:C56)</f>
        <v>2934972</v>
      </c>
      <c r="D57" s="349">
        <f t="shared" ref="D57:H57" si="14">SUM(D36:D56)</f>
        <v>2580397</v>
      </c>
      <c r="E57" s="349">
        <f t="shared" si="14"/>
        <v>0</v>
      </c>
      <c r="F57" s="349">
        <f t="shared" si="14"/>
        <v>1998197</v>
      </c>
      <c r="G57" s="349">
        <f t="shared" si="14"/>
        <v>1839689.7400000002</v>
      </c>
      <c r="H57" s="350">
        <f t="shared" si="14"/>
        <v>158507.26</v>
      </c>
    </row>
    <row r="58" spans="1:8" ht="24.95" customHeight="1">
      <c r="B58" s="347"/>
      <c r="C58" s="349"/>
      <c r="D58" s="349"/>
      <c r="E58" s="349"/>
      <c r="F58" s="349"/>
      <c r="G58" s="349"/>
      <c r="H58" s="350"/>
    </row>
    <row r="59" spans="1:8" ht="24.95" customHeight="1">
      <c r="A59" s="367" t="s">
        <v>986</v>
      </c>
      <c r="B59" s="347"/>
      <c r="C59" s="349"/>
      <c r="D59" s="349"/>
      <c r="E59" s="349"/>
      <c r="F59" s="349"/>
      <c r="G59" s="349"/>
      <c r="H59" s="350"/>
    </row>
    <row r="60" spans="1:8" ht="24.95" customHeight="1">
      <c r="A60" s="351" t="s">
        <v>987</v>
      </c>
      <c r="B60" s="347"/>
      <c r="C60" s="349"/>
      <c r="D60" s="349"/>
      <c r="E60" s="349"/>
      <c r="F60" s="349"/>
      <c r="G60" s="349"/>
      <c r="H60" s="350"/>
    </row>
    <row r="61" spans="1:8" ht="24.95" customHeight="1">
      <c r="A61" s="353" t="s">
        <v>928</v>
      </c>
      <c r="B61" s="347" t="s">
        <v>990</v>
      </c>
      <c r="C61" s="349">
        <v>291105</v>
      </c>
      <c r="D61" s="349">
        <v>214341</v>
      </c>
      <c r="E61" s="349"/>
      <c r="F61" s="349">
        <v>186241</v>
      </c>
      <c r="G61" s="349">
        <f>173612.12+5</f>
        <v>173617.12</v>
      </c>
      <c r="H61" s="350">
        <f t="shared" ref="H61:H62" si="15">F61-G61</f>
        <v>12623.880000000005</v>
      </c>
    </row>
    <row r="62" spans="1:8" ht="24.95" customHeight="1" thickBot="1">
      <c r="A62" s="346" t="s">
        <v>929</v>
      </c>
      <c r="B62" s="347" t="s">
        <v>991</v>
      </c>
      <c r="C62" s="349">
        <v>154250</v>
      </c>
      <c r="D62" s="349">
        <v>151550</v>
      </c>
      <c r="E62" s="349"/>
      <c r="F62" s="349">
        <v>121550</v>
      </c>
      <c r="G62" s="349">
        <f>97505.63+23717.63</f>
        <v>121223.26000000001</v>
      </c>
      <c r="H62" s="350">
        <f t="shared" si="15"/>
        <v>326.73999999999069</v>
      </c>
    </row>
    <row r="63" spans="1:8" ht="24.95" customHeight="1" thickTop="1">
      <c r="A63" s="368"/>
      <c r="B63" s="369"/>
      <c r="C63" s="368"/>
      <c r="D63" s="372" t="s">
        <v>437</v>
      </c>
      <c r="E63" s="368"/>
      <c r="F63" s="368"/>
      <c r="G63" s="368"/>
      <c r="H63" s="368"/>
    </row>
    <row r="64" spans="1:8" ht="37.5" customHeight="1" thickBot="1">
      <c r="A64" s="318"/>
      <c r="B64" s="319"/>
      <c r="C64" s="318" t="s">
        <v>922</v>
      </c>
      <c r="D64" s="370"/>
      <c r="E64" s="361"/>
      <c r="F64" s="322"/>
      <c r="G64" s="323"/>
      <c r="H64" s="321" t="s">
        <v>795</v>
      </c>
    </row>
    <row r="65" spans="1:8" ht="20.100000000000001" customHeight="1" thickTop="1" thickBot="1">
      <c r="A65" s="325" t="s">
        <v>923</v>
      </c>
      <c r="B65" s="326"/>
      <c r="C65" s="327"/>
      <c r="D65" s="328" t="s">
        <v>926</v>
      </c>
      <c r="E65" s="329"/>
      <c r="F65" s="330"/>
      <c r="G65" s="331" t="s">
        <v>1348</v>
      </c>
      <c r="H65" s="332"/>
    </row>
    <row r="66" spans="1:8" ht="38.25" customHeight="1" thickTop="1" thickBot="1">
      <c r="A66" s="333" t="s">
        <v>124</v>
      </c>
      <c r="B66" s="334" t="s">
        <v>793</v>
      </c>
      <c r="C66" s="335" t="s">
        <v>1349</v>
      </c>
      <c r="D66" s="335" t="s">
        <v>1266</v>
      </c>
      <c r="E66" s="362" t="s">
        <v>1350</v>
      </c>
      <c r="F66" s="363" t="s">
        <v>1351</v>
      </c>
      <c r="G66" s="338" t="s">
        <v>925</v>
      </c>
      <c r="H66" s="339" t="s">
        <v>927</v>
      </c>
    </row>
    <row r="67" spans="1:8" ht="24.95" customHeight="1" thickTop="1">
      <c r="A67" s="367" t="s">
        <v>992</v>
      </c>
      <c r="B67" s="364"/>
      <c r="C67" s="365"/>
      <c r="D67" s="365"/>
      <c r="E67" s="365"/>
      <c r="F67" s="365"/>
      <c r="G67" s="365"/>
      <c r="H67" s="343"/>
    </row>
    <row r="68" spans="1:8" ht="24.95" customHeight="1">
      <c r="A68" s="351" t="s">
        <v>180</v>
      </c>
      <c r="B68" s="347"/>
      <c r="C68" s="349"/>
      <c r="D68" s="349"/>
      <c r="E68" s="349"/>
      <c r="F68" s="349"/>
      <c r="G68" s="349"/>
      <c r="H68" s="350"/>
    </row>
    <row r="69" spans="1:8" ht="24.95" customHeight="1">
      <c r="A69" s="353" t="s">
        <v>928</v>
      </c>
      <c r="B69" s="347" t="s">
        <v>990</v>
      </c>
      <c r="C69" s="349">
        <v>387397</v>
      </c>
      <c r="D69" s="349">
        <v>359907</v>
      </c>
      <c r="E69" s="349"/>
      <c r="F69" s="349">
        <v>347007</v>
      </c>
      <c r="G69" s="349">
        <v>346726.57</v>
      </c>
      <c r="H69" s="350">
        <f t="shared" ref="H69:H70" si="16">F69-G69</f>
        <v>280.42999999999302</v>
      </c>
    </row>
    <row r="70" spans="1:8" ht="24.95" customHeight="1">
      <c r="A70" s="346" t="s">
        <v>929</v>
      </c>
      <c r="B70" s="347" t="s">
        <v>991</v>
      </c>
      <c r="C70" s="349">
        <v>33095</v>
      </c>
      <c r="D70" s="349">
        <v>33095</v>
      </c>
      <c r="E70" s="349"/>
      <c r="F70" s="349">
        <v>33095</v>
      </c>
      <c r="G70" s="349">
        <f>31551.16+1301.49</f>
        <v>32852.65</v>
      </c>
      <c r="H70" s="350">
        <f t="shared" si="16"/>
        <v>242.34999999999854</v>
      </c>
    </row>
    <row r="71" spans="1:8" ht="24.95" customHeight="1">
      <c r="A71" s="351" t="s">
        <v>994</v>
      </c>
      <c r="B71" s="347"/>
      <c r="C71" s="349"/>
      <c r="D71" s="349"/>
      <c r="E71" s="349"/>
      <c r="F71" s="349"/>
      <c r="G71" s="349"/>
      <c r="H71" s="350"/>
    </row>
    <row r="72" spans="1:8" ht="24.95" customHeight="1">
      <c r="A72" s="346" t="s">
        <v>928</v>
      </c>
      <c r="B72" s="347" t="s">
        <v>990</v>
      </c>
      <c r="C72" s="349">
        <v>526877</v>
      </c>
      <c r="D72" s="349">
        <v>433681</v>
      </c>
      <c r="E72" s="349"/>
      <c r="F72" s="349">
        <v>496081</v>
      </c>
      <c r="G72" s="349">
        <v>492679.23</v>
      </c>
      <c r="H72" s="350">
        <f t="shared" ref="H72:H73" si="17">F72-G72</f>
        <v>3401.7700000000186</v>
      </c>
    </row>
    <row r="73" spans="1:8" ht="24.95" customHeight="1">
      <c r="A73" s="346" t="s">
        <v>929</v>
      </c>
      <c r="B73" s="347" t="s">
        <v>991</v>
      </c>
      <c r="C73" s="349">
        <v>12725</v>
      </c>
      <c r="D73" s="349">
        <v>10743</v>
      </c>
      <c r="E73" s="349"/>
      <c r="F73" s="349">
        <v>10743</v>
      </c>
      <c r="G73" s="349">
        <f>8819.58+496.47</f>
        <v>9316.0499999999993</v>
      </c>
      <c r="H73" s="350">
        <f t="shared" si="17"/>
        <v>1426.9500000000007</v>
      </c>
    </row>
    <row r="74" spans="1:8" ht="24.95" customHeight="1">
      <c r="A74" s="351" t="s">
        <v>995</v>
      </c>
      <c r="B74" s="347"/>
      <c r="C74" s="349"/>
      <c r="D74" s="349"/>
      <c r="E74" s="349"/>
      <c r="F74" s="349"/>
      <c r="G74" s="349"/>
      <c r="H74" s="350"/>
    </row>
    <row r="75" spans="1:8" ht="24.95" customHeight="1">
      <c r="A75" s="353" t="s">
        <v>928</v>
      </c>
      <c r="B75" s="347" t="s">
        <v>998</v>
      </c>
      <c r="C75" s="349">
        <v>213670</v>
      </c>
      <c r="D75" s="349">
        <v>171264</v>
      </c>
      <c r="E75" s="349"/>
      <c r="F75" s="349">
        <v>161864</v>
      </c>
      <c r="G75" s="349">
        <f>161862.58</f>
        <v>161862.57999999999</v>
      </c>
      <c r="H75" s="350">
        <f t="shared" ref="H75:H76" si="18">F75-G75</f>
        <v>1.4200000000128057</v>
      </c>
    </row>
    <row r="76" spans="1:8" ht="24.95" customHeight="1">
      <c r="A76" s="353" t="s">
        <v>929</v>
      </c>
      <c r="B76" s="347" t="s">
        <v>999</v>
      </c>
      <c r="C76" s="349">
        <v>29850</v>
      </c>
      <c r="D76" s="349">
        <v>32600</v>
      </c>
      <c r="E76" s="349"/>
      <c r="F76" s="349">
        <v>28600</v>
      </c>
      <c r="G76" s="349">
        <f>25725.45+1369.31</f>
        <v>27094.760000000002</v>
      </c>
      <c r="H76" s="350">
        <f t="shared" si="18"/>
        <v>1505.239999999998</v>
      </c>
    </row>
    <row r="77" spans="1:8" ht="24.95" customHeight="1">
      <c r="A77" s="351" t="s">
        <v>996</v>
      </c>
      <c r="B77" s="347"/>
      <c r="C77" s="349"/>
      <c r="D77" s="349"/>
      <c r="E77" s="349"/>
      <c r="F77" s="349"/>
      <c r="G77" s="349"/>
      <c r="H77" s="350"/>
    </row>
    <row r="78" spans="1:8" ht="24.95" customHeight="1">
      <c r="A78" s="353" t="s">
        <v>928</v>
      </c>
      <c r="B78" s="347" t="s">
        <v>1000</v>
      </c>
      <c r="C78" s="349">
        <v>578425</v>
      </c>
      <c r="D78" s="349">
        <v>415163</v>
      </c>
      <c r="E78" s="349"/>
      <c r="F78" s="349">
        <v>443863</v>
      </c>
      <c r="G78" s="349">
        <v>443784.96000000002</v>
      </c>
      <c r="H78" s="350">
        <f t="shared" ref="H78:H79" si="19">F78-G78</f>
        <v>78.039999999979045</v>
      </c>
    </row>
    <row r="79" spans="1:8" ht="24.95" customHeight="1">
      <c r="A79" s="346" t="s">
        <v>929</v>
      </c>
      <c r="B79" s="347" t="s">
        <v>1001</v>
      </c>
      <c r="C79" s="349">
        <v>37560</v>
      </c>
      <c r="D79" s="349">
        <v>37560</v>
      </c>
      <c r="E79" s="349"/>
      <c r="F79" s="349">
        <v>136660</v>
      </c>
      <c r="G79" s="349">
        <f>38004.42+825.08</f>
        <v>38829.5</v>
      </c>
      <c r="H79" s="350">
        <f t="shared" si="19"/>
        <v>97830.5</v>
      </c>
    </row>
    <row r="80" spans="1:8" ht="24.95" customHeight="1">
      <c r="A80" s="351" t="s">
        <v>997</v>
      </c>
      <c r="B80" s="347"/>
      <c r="C80" s="349"/>
      <c r="D80" s="349"/>
      <c r="E80" s="349"/>
      <c r="F80" s="349"/>
      <c r="G80" s="349"/>
      <c r="H80" s="350"/>
    </row>
    <row r="81" spans="1:8" ht="24.95" customHeight="1">
      <c r="A81" s="346" t="s">
        <v>949</v>
      </c>
      <c r="B81" s="347" t="s">
        <v>998</v>
      </c>
      <c r="C81" s="349">
        <v>812131</v>
      </c>
      <c r="D81" s="349">
        <v>734008</v>
      </c>
      <c r="E81" s="349"/>
      <c r="F81" s="349">
        <v>701208</v>
      </c>
      <c r="G81" s="349">
        <v>699181.71</v>
      </c>
      <c r="H81" s="350">
        <f t="shared" ref="H81:H82" si="20">F81-G81</f>
        <v>2026.2900000000373</v>
      </c>
    </row>
    <row r="82" spans="1:8" ht="24.95" customHeight="1">
      <c r="A82" s="346" t="s">
        <v>929</v>
      </c>
      <c r="B82" s="347" t="s">
        <v>999</v>
      </c>
      <c r="C82" s="349">
        <v>200730</v>
      </c>
      <c r="D82" s="349">
        <v>200730</v>
      </c>
      <c r="E82" s="349"/>
      <c r="F82" s="349">
        <v>190730</v>
      </c>
      <c r="G82" s="349">
        <f>185663.97+4151.87</f>
        <v>189815.84</v>
      </c>
      <c r="H82" s="350">
        <f t="shared" si="20"/>
        <v>914.16000000000349</v>
      </c>
    </row>
    <row r="83" spans="1:8" ht="24.95" customHeight="1" thickBot="1">
      <c r="A83" s="373"/>
      <c r="B83" s="347"/>
      <c r="C83" s="349"/>
      <c r="D83" s="374"/>
      <c r="E83" s="349"/>
      <c r="F83" s="349"/>
      <c r="G83" s="349"/>
      <c r="H83" s="350"/>
    </row>
    <row r="84" spans="1:8" ht="24.95" customHeight="1" thickTop="1">
      <c r="A84" s="368"/>
      <c r="B84" s="369"/>
      <c r="C84" s="368"/>
      <c r="D84" s="372" t="s">
        <v>438</v>
      </c>
      <c r="E84" s="368"/>
      <c r="F84" s="368"/>
      <c r="G84" s="368"/>
      <c r="H84" s="368"/>
    </row>
    <row r="85" spans="1:8" ht="37.5" customHeight="1" thickBot="1">
      <c r="A85" s="318"/>
      <c r="B85" s="319"/>
      <c r="C85" s="318" t="s">
        <v>922</v>
      </c>
      <c r="D85" s="370"/>
      <c r="E85" s="361"/>
      <c r="F85" s="322"/>
      <c r="G85" s="323"/>
      <c r="H85" s="321" t="s">
        <v>795</v>
      </c>
    </row>
    <row r="86" spans="1:8" ht="20.100000000000001" customHeight="1" thickTop="1" thickBot="1">
      <c r="A86" s="325" t="s">
        <v>923</v>
      </c>
      <c r="B86" s="326"/>
      <c r="C86" s="327"/>
      <c r="D86" s="328" t="s">
        <v>926</v>
      </c>
      <c r="E86" s="329"/>
      <c r="F86" s="330"/>
      <c r="G86" s="331" t="s">
        <v>1348</v>
      </c>
      <c r="H86" s="332"/>
    </row>
    <row r="87" spans="1:8" ht="38.25" customHeight="1" thickTop="1" thickBot="1">
      <c r="A87" s="333" t="s">
        <v>124</v>
      </c>
      <c r="B87" s="334" t="s">
        <v>793</v>
      </c>
      <c r="C87" s="335" t="s">
        <v>1349</v>
      </c>
      <c r="D87" s="335" t="s">
        <v>1266</v>
      </c>
      <c r="E87" s="362" t="s">
        <v>1350</v>
      </c>
      <c r="F87" s="363" t="s">
        <v>1351</v>
      </c>
      <c r="G87" s="338" t="s">
        <v>925</v>
      </c>
      <c r="H87" s="339" t="s">
        <v>927</v>
      </c>
    </row>
    <row r="88" spans="1:8" ht="24.95" customHeight="1" thickTop="1">
      <c r="A88" s="367" t="s">
        <v>992</v>
      </c>
      <c r="B88" s="364"/>
      <c r="C88" s="365"/>
      <c r="D88" s="365"/>
      <c r="E88" s="365"/>
      <c r="F88" s="365"/>
      <c r="G88" s="365"/>
      <c r="H88" s="343"/>
    </row>
    <row r="89" spans="1:8" ht="24.95" customHeight="1">
      <c r="A89" s="351" t="s">
        <v>1003</v>
      </c>
      <c r="B89" s="347"/>
      <c r="C89" s="349"/>
      <c r="D89" s="349"/>
      <c r="E89" s="349"/>
      <c r="F89" s="349"/>
      <c r="G89" s="349"/>
      <c r="H89" s="350"/>
    </row>
    <row r="90" spans="1:8" ht="24.95" customHeight="1">
      <c r="A90" s="346" t="s">
        <v>928</v>
      </c>
      <c r="B90" s="347" t="s">
        <v>1006</v>
      </c>
      <c r="C90" s="349">
        <v>134486</v>
      </c>
      <c r="D90" s="349">
        <v>143743</v>
      </c>
      <c r="E90" s="349"/>
      <c r="F90" s="349">
        <v>101243</v>
      </c>
      <c r="G90" s="349">
        <v>101237.82</v>
      </c>
      <c r="H90" s="350">
        <f t="shared" ref="H90:H91" si="21">F90-G90</f>
        <v>5.1799999999930151</v>
      </c>
    </row>
    <row r="91" spans="1:8" ht="24.95" customHeight="1">
      <c r="A91" s="346" t="s">
        <v>929</v>
      </c>
      <c r="B91" s="347" t="s">
        <v>945</v>
      </c>
      <c r="C91" s="349">
        <v>5708</v>
      </c>
      <c r="D91" s="349">
        <v>5708</v>
      </c>
      <c r="E91" s="349"/>
      <c r="F91" s="349">
        <v>1208</v>
      </c>
      <c r="G91" s="349">
        <f>118.06+400</f>
        <v>518.05999999999995</v>
      </c>
      <c r="H91" s="350">
        <f t="shared" si="21"/>
        <v>689.94</v>
      </c>
    </row>
    <row r="92" spans="1:8" ht="24.95" customHeight="1">
      <c r="A92" s="367" t="s">
        <v>1173</v>
      </c>
      <c r="B92" s="347"/>
      <c r="C92" s="349">
        <f t="shared" ref="C92" si="22">SUM(C61:C91)</f>
        <v>3418009</v>
      </c>
      <c r="D92" s="349">
        <f t="shared" ref="D92:H92" si="23">SUM(D61:D91)</f>
        <v>2944093</v>
      </c>
      <c r="E92" s="349">
        <f t="shared" si="23"/>
        <v>0</v>
      </c>
      <c r="F92" s="349">
        <f t="shared" si="23"/>
        <v>2960093</v>
      </c>
      <c r="G92" s="349">
        <f t="shared" si="23"/>
        <v>2838740.11</v>
      </c>
      <c r="H92" s="350">
        <f t="shared" si="23"/>
        <v>121352.89000000003</v>
      </c>
    </row>
    <row r="93" spans="1:8" ht="24.95" customHeight="1">
      <c r="A93" s="351"/>
      <c r="B93" s="347"/>
      <c r="C93" s="349"/>
      <c r="D93" s="349"/>
      <c r="E93" s="349"/>
      <c r="F93" s="349"/>
      <c r="G93" s="349"/>
      <c r="H93" s="350"/>
    </row>
    <row r="94" spans="1:8" ht="24.95" customHeight="1">
      <c r="A94" s="351"/>
      <c r="B94" s="347"/>
      <c r="C94" s="349"/>
      <c r="D94" s="349"/>
      <c r="E94" s="349"/>
      <c r="F94" s="349"/>
      <c r="G94" s="349"/>
      <c r="H94" s="350"/>
    </row>
    <row r="95" spans="1:8" ht="24.95" customHeight="1">
      <c r="A95" s="367" t="s">
        <v>1004</v>
      </c>
      <c r="B95" s="347"/>
      <c r="C95" s="349"/>
      <c r="D95" s="349"/>
      <c r="E95" s="349"/>
      <c r="F95" s="349"/>
      <c r="G95" s="349"/>
      <c r="H95" s="350"/>
    </row>
    <row r="96" spans="1:8" ht="24.95" customHeight="1">
      <c r="A96" s="351" t="s">
        <v>1005</v>
      </c>
      <c r="B96" s="347"/>
      <c r="C96" s="349"/>
      <c r="D96" s="349"/>
      <c r="E96" s="349"/>
      <c r="F96" s="349"/>
      <c r="G96" s="349"/>
      <c r="H96" s="350"/>
    </row>
    <row r="97" spans="1:8" ht="24.95" customHeight="1">
      <c r="A97" s="353" t="s">
        <v>928</v>
      </c>
      <c r="B97" s="347" t="s">
        <v>1007</v>
      </c>
      <c r="C97" s="349">
        <v>1445080</v>
      </c>
      <c r="D97" s="349">
        <v>1244963</v>
      </c>
      <c r="E97" s="349"/>
      <c r="F97" s="349">
        <v>1089263</v>
      </c>
      <c r="G97" s="349">
        <v>1083144.3999999999</v>
      </c>
      <c r="H97" s="350">
        <f t="shared" ref="H97:H98" si="24">F97-G97</f>
        <v>6118.6000000000931</v>
      </c>
    </row>
    <row r="98" spans="1:8" ht="24.95" customHeight="1">
      <c r="A98" s="346" t="s">
        <v>929</v>
      </c>
      <c r="B98" s="347" t="s">
        <v>1008</v>
      </c>
      <c r="C98" s="349">
        <v>113770</v>
      </c>
      <c r="D98" s="349">
        <v>113770</v>
      </c>
      <c r="E98" s="349"/>
      <c r="F98" s="349">
        <v>153770</v>
      </c>
      <c r="G98" s="349">
        <f>50621.97+1800.82</f>
        <v>52422.79</v>
      </c>
      <c r="H98" s="350">
        <f t="shared" si="24"/>
        <v>101347.20999999999</v>
      </c>
    </row>
    <row r="99" spans="1:8" ht="24.95" customHeight="1">
      <c r="A99" s="367" t="s">
        <v>1270</v>
      </c>
      <c r="B99" s="347"/>
      <c r="C99" s="349">
        <f t="shared" ref="C99" si="25">SUM(C96:C98)</f>
        <v>1558850</v>
      </c>
      <c r="D99" s="349">
        <f t="shared" ref="D99:H99" si="26">SUM(D96:D98)</f>
        <v>1358733</v>
      </c>
      <c r="E99" s="349">
        <f t="shared" si="26"/>
        <v>0</v>
      </c>
      <c r="F99" s="349">
        <f t="shared" si="26"/>
        <v>1243033</v>
      </c>
      <c r="G99" s="349">
        <f t="shared" si="26"/>
        <v>1135567.19</v>
      </c>
      <c r="H99" s="350">
        <f t="shared" si="26"/>
        <v>107465.81000000008</v>
      </c>
    </row>
    <row r="100" spans="1:8" ht="24.95" customHeight="1">
      <c r="A100" s="351"/>
      <c r="B100" s="347"/>
      <c r="C100" s="349"/>
      <c r="D100" s="349"/>
      <c r="E100" s="349"/>
      <c r="F100" s="349"/>
      <c r="G100" s="349"/>
      <c r="H100" s="350"/>
    </row>
    <row r="101" spans="1:8" ht="24.95" customHeight="1">
      <c r="A101" s="367" t="s">
        <v>28</v>
      </c>
      <c r="B101" s="347"/>
      <c r="C101" s="349"/>
      <c r="D101" s="349"/>
      <c r="E101" s="349"/>
      <c r="F101" s="349"/>
      <c r="G101" s="349"/>
      <c r="H101" s="350"/>
    </row>
    <row r="102" spans="1:8" ht="24.95" customHeight="1">
      <c r="A102" s="351" t="s">
        <v>1011</v>
      </c>
      <c r="B102" s="347"/>
      <c r="C102" s="349"/>
      <c r="D102" s="349"/>
      <c r="E102" s="349"/>
      <c r="F102" s="349"/>
      <c r="G102" s="349"/>
      <c r="H102" s="350"/>
    </row>
    <row r="103" spans="1:8" ht="24.95" customHeight="1">
      <c r="A103" s="353" t="s">
        <v>928</v>
      </c>
      <c r="B103" s="347" t="s">
        <v>1009</v>
      </c>
      <c r="C103" s="349">
        <v>135515</v>
      </c>
      <c r="D103" s="349">
        <v>104657</v>
      </c>
      <c r="E103" s="349"/>
      <c r="F103" s="349">
        <v>85757</v>
      </c>
      <c r="G103" s="349">
        <v>85594.44</v>
      </c>
      <c r="H103" s="350">
        <f t="shared" ref="H103:H104" si="27">F103-G103</f>
        <v>162.55999999999767</v>
      </c>
    </row>
    <row r="104" spans="1:8" ht="24.95" customHeight="1" thickBot="1">
      <c r="A104" s="346" t="s">
        <v>929</v>
      </c>
      <c r="B104" s="347" t="s">
        <v>1010</v>
      </c>
      <c r="C104" s="349">
        <v>9650</v>
      </c>
      <c r="D104" s="349">
        <v>9650</v>
      </c>
      <c r="E104" s="349"/>
      <c r="F104" s="349">
        <v>6150</v>
      </c>
      <c r="G104" s="349">
        <f>3966.58+71.51</f>
        <v>4038.09</v>
      </c>
      <c r="H104" s="350">
        <f t="shared" si="27"/>
        <v>2111.91</v>
      </c>
    </row>
    <row r="105" spans="1:8" ht="24.95" customHeight="1" thickTop="1">
      <c r="A105" s="368"/>
      <c r="B105" s="369"/>
      <c r="C105" s="368"/>
      <c r="D105" s="372" t="s">
        <v>440</v>
      </c>
      <c r="E105" s="368"/>
      <c r="F105" s="368"/>
      <c r="G105" s="368"/>
      <c r="H105" s="368"/>
    </row>
    <row r="106" spans="1:8" ht="37.5" customHeight="1" thickBot="1">
      <c r="A106" s="318"/>
      <c r="B106" s="319"/>
      <c r="C106" s="318" t="s">
        <v>922</v>
      </c>
      <c r="D106" s="370"/>
      <c r="E106" s="361"/>
      <c r="F106" s="322"/>
      <c r="G106" s="323"/>
      <c r="H106" s="321" t="s">
        <v>795</v>
      </c>
    </row>
    <row r="107" spans="1:8" ht="20.100000000000001" customHeight="1" thickTop="1" thickBot="1">
      <c r="A107" s="325" t="s">
        <v>923</v>
      </c>
      <c r="B107" s="326"/>
      <c r="C107" s="327"/>
      <c r="D107" s="328" t="s">
        <v>926</v>
      </c>
      <c r="E107" s="329"/>
      <c r="F107" s="330"/>
      <c r="G107" s="331" t="s">
        <v>1348</v>
      </c>
      <c r="H107" s="332"/>
    </row>
    <row r="108" spans="1:8" ht="38.25" customHeight="1" thickTop="1" thickBot="1">
      <c r="A108" s="333" t="s">
        <v>124</v>
      </c>
      <c r="B108" s="334" t="s">
        <v>793</v>
      </c>
      <c r="C108" s="335" t="s">
        <v>1349</v>
      </c>
      <c r="D108" s="335" t="s">
        <v>1266</v>
      </c>
      <c r="E108" s="362" t="s">
        <v>1350</v>
      </c>
      <c r="F108" s="363" t="s">
        <v>1351</v>
      </c>
      <c r="G108" s="338" t="s">
        <v>925</v>
      </c>
      <c r="H108" s="339" t="s">
        <v>927</v>
      </c>
    </row>
    <row r="109" spans="1:8" ht="24.95" customHeight="1" thickTop="1">
      <c r="A109" s="367" t="s">
        <v>1059</v>
      </c>
      <c r="B109" s="364"/>
      <c r="C109" s="365"/>
      <c r="D109" s="365"/>
      <c r="E109" s="365"/>
      <c r="F109" s="365"/>
      <c r="G109" s="365"/>
      <c r="H109" s="343"/>
    </row>
    <row r="110" spans="1:8" ht="24.95" customHeight="1">
      <c r="A110" s="351" t="s">
        <v>1012</v>
      </c>
      <c r="B110" s="347"/>
      <c r="C110" s="349"/>
      <c r="D110" s="349"/>
      <c r="E110" s="349"/>
      <c r="F110" s="349"/>
      <c r="G110" s="349"/>
      <c r="H110" s="350"/>
    </row>
    <row r="111" spans="1:8" ht="24.95" customHeight="1">
      <c r="A111" s="353" t="s">
        <v>928</v>
      </c>
      <c r="B111" s="347" t="s">
        <v>1016</v>
      </c>
      <c r="C111" s="349">
        <v>33853335</v>
      </c>
      <c r="D111" s="349">
        <v>30040719</v>
      </c>
      <c r="E111" s="349"/>
      <c r="F111" s="349">
        <v>30396219</v>
      </c>
      <c r="G111" s="349">
        <v>30358138.84</v>
      </c>
      <c r="H111" s="350">
        <f t="shared" ref="H111:H112" si="28">F111-G111</f>
        <v>38080.160000000149</v>
      </c>
    </row>
    <row r="112" spans="1:8" ht="24.95" customHeight="1">
      <c r="A112" s="353" t="s">
        <v>41</v>
      </c>
      <c r="B112" s="347" t="s">
        <v>1017</v>
      </c>
      <c r="C112" s="349">
        <v>1547060</v>
      </c>
      <c r="D112" s="349">
        <v>1482060</v>
      </c>
      <c r="E112" s="349"/>
      <c r="F112" s="349">
        <v>1611360</v>
      </c>
      <c r="G112" s="349">
        <f>1498157.22+39813.97</f>
        <v>1537971.19</v>
      </c>
      <c r="H112" s="350">
        <f t="shared" si="28"/>
        <v>73388.810000000056</v>
      </c>
    </row>
    <row r="113" spans="1:8" ht="24.95" customHeight="1">
      <c r="A113" s="351"/>
      <c r="B113" s="347"/>
      <c r="C113" s="349"/>
      <c r="D113" s="349"/>
      <c r="E113" s="349"/>
      <c r="F113" s="349"/>
      <c r="G113" s="349"/>
      <c r="H113" s="350"/>
    </row>
    <row r="114" spans="1:8" ht="24.95" customHeight="1">
      <c r="A114" s="366" t="s">
        <v>1241</v>
      </c>
      <c r="B114" s="347"/>
      <c r="C114" s="349">
        <v>263500</v>
      </c>
      <c r="D114" s="349">
        <v>263500</v>
      </c>
      <c r="E114" s="349"/>
      <c r="F114" s="349">
        <v>263500</v>
      </c>
      <c r="G114" s="349">
        <v>263500</v>
      </c>
      <c r="H114" s="350">
        <f t="shared" ref="H114" si="29">F114-G114</f>
        <v>0</v>
      </c>
    </row>
    <row r="115" spans="1:8" ht="24.95" customHeight="1">
      <c r="A115" s="366"/>
      <c r="B115" s="347"/>
      <c r="C115" s="349"/>
      <c r="D115" s="349"/>
      <c r="E115" s="349"/>
      <c r="F115" s="349"/>
      <c r="G115" s="349"/>
      <c r="H115" s="350"/>
    </row>
    <row r="116" spans="1:8" ht="24.95" customHeight="1">
      <c r="A116" s="366"/>
      <c r="B116" s="347"/>
      <c r="C116" s="349"/>
      <c r="D116" s="349"/>
      <c r="E116" s="349"/>
      <c r="F116" s="349"/>
      <c r="G116" s="349"/>
      <c r="H116" s="350"/>
    </row>
    <row r="117" spans="1:8" ht="24.95" customHeight="1">
      <c r="A117" s="351"/>
      <c r="B117" s="347"/>
      <c r="C117" s="349"/>
      <c r="D117" s="349"/>
      <c r="E117" s="349"/>
      <c r="F117" s="349"/>
      <c r="G117" s="349"/>
      <c r="H117" s="350"/>
    </row>
    <row r="118" spans="1:8" ht="24.95" customHeight="1">
      <c r="A118" s="351" t="s">
        <v>1013</v>
      </c>
      <c r="B118" s="347"/>
      <c r="C118" s="349"/>
      <c r="D118" s="349"/>
      <c r="E118" s="349"/>
      <c r="F118" s="349"/>
      <c r="G118" s="349"/>
      <c r="H118" s="350"/>
    </row>
    <row r="119" spans="1:8" ht="24.95" customHeight="1">
      <c r="A119" s="353" t="s">
        <v>928</v>
      </c>
      <c r="B119" s="347" t="s">
        <v>1009</v>
      </c>
      <c r="C119" s="349">
        <v>45153144</v>
      </c>
      <c r="D119" s="349">
        <v>41998031</v>
      </c>
      <c r="E119" s="349"/>
      <c r="F119" s="349">
        <v>42939451</v>
      </c>
      <c r="G119" s="349">
        <v>42600448.100000001</v>
      </c>
      <c r="H119" s="350">
        <f t="shared" ref="H119:H120" si="30">F119-G119</f>
        <v>339002.89999999851</v>
      </c>
    </row>
    <row r="120" spans="1:8" ht="24.95" customHeight="1">
      <c r="A120" s="353" t="s">
        <v>41</v>
      </c>
      <c r="B120" s="347" t="s">
        <v>1010</v>
      </c>
      <c r="C120" s="349">
        <v>1653529</v>
      </c>
      <c r="D120" s="349">
        <v>1653529</v>
      </c>
      <c r="E120" s="349"/>
      <c r="F120" s="349">
        <v>1553529</v>
      </c>
      <c r="G120" s="349">
        <f>1084951.82+339947.17</f>
        <v>1424898.99</v>
      </c>
      <c r="H120" s="350">
        <f t="shared" si="30"/>
        <v>128630.01000000001</v>
      </c>
    </row>
    <row r="121" spans="1:8" ht="24.95" customHeight="1">
      <c r="A121" s="351"/>
      <c r="B121" s="347"/>
      <c r="C121" s="349"/>
      <c r="D121" s="349"/>
      <c r="E121" s="349"/>
      <c r="F121" s="349"/>
      <c r="G121" s="349"/>
      <c r="H121" s="350"/>
    </row>
    <row r="122" spans="1:8" ht="24.95" customHeight="1">
      <c r="A122" s="351" t="s">
        <v>1015</v>
      </c>
      <c r="B122" s="347"/>
      <c r="C122" s="349"/>
      <c r="D122" s="349"/>
      <c r="E122" s="349"/>
      <c r="F122" s="349"/>
      <c r="G122" s="349"/>
      <c r="H122" s="350"/>
    </row>
    <row r="123" spans="1:8" ht="24.95" customHeight="1">
      <c r="A123" s="346" t="s">
        <v>928</v>
      </c>
      <c r="B123" s="347" t="s">
        <v>1018</v>
      </c>
      <c r="C123" s="349">
        <v>277377</v>
      </c>
      <c r="D123" s="349">
        <v>270234</v>
      </c>
      <c r="E123" s="349"/>
      <c r="F123" s="349">
        <v>282224</v>
      </c>
      <c r="G123" s="349">
        <v>282224</v>
      </c>
      <c r="H123" s="350">
        <f t="shared" ref="H123:H124" si="31">F123-G123</f>
        <v>0</v>
      </c>
    </row>
    <row r="124" spans="1:8" ht="24.95" customHeight="1">
      <c r="A124" s="346" t="s">
        <v>929</v>
      </c>
      <c r="B124" s="347" t="s">
        <v>1019</v>
      </c>
      <c r="C124" s="349">
        <v>48900</v>
      </c>
      <c r="D124" s="349">
        <v>48900</v>
      </c>
      <c r="E124" s="349"/>
      <c r="F124" s="349">
        <v>45500</v>
      </c>
      <c r="G124" s="349">
        <v>39900</v>
      </c>
      <c r="H124" s="350">
        <f t="shared" si="31"/>
        <v>5600</v>
      </c>
    </row>
    <row r="125" spans="1:8" ht="24.95" customHeight="1" thickBot="1">
      <c r="A125" s="371" t="s">
        <v>1271</v>
      </c>
      <c r="B125" s="347"/>
      <c r="C125" s="349">
        <f t="shared" ref="C125" si="32">SUM(C103:C124)</f>
        <v>82942010</v>
      </c>
      <c r="D125" s="349">
        <f t="shared" ref="D125:H125" si="33">SUM(D103:D124)</f>
        <v>75871280</v>
      </c>
      <c r="E125" s="349">
        <f t="shared" si="33"/>
        <v>0</v>
      </c>
      <c r="F125" s="349">
        <f t="shared" si="33"/>
        <v>77183690</v>
      </c>
      <c r="G125" s="349">
        <f t="shared" si="33"/>
        <v>76596713.649999991</v>
      </c>
      <c r="H125" s="350">
        <f t="shared" si="33"/>
        <v>586976.3499999987</v>
      </c>
    </row>
    <row r="126" spans="1:8" ht="24.95" customHeight="1" thickTop="1">
      <c r="A126" s="368"/>
      <c r="B126" s="369"/>
      <c r="C126" s="368"/>
      <c r="D126" s="372" t="s">
        <v>441</v>
      </c>
      <c r="E126" s="368"/>
      <c r="F126" s="368"/>
      <c r="G126" s="368"/>
      <c r="H126" s="368"/>
    </row>
    <row r="127" spans="1:8" ht="37.5" customHeight="1" thickBot="1">
      <c r="A127" s="318"/>
      <c r="B127" s="319"/>
      <c r="C127" s="318" t="s">
        <v>922</v>
      </c>
      <c r="D127" s="370"/>
      <c r="E127" s="361"/>
      <c r="F127" s="322"/>
      <c r="G127" s="323"/>
      <c r="H127" s="321" t="s">
        <v>795</v>
      </c>
    </row>
    <row r="128" spans="1:8" ht="20.100000000000001" customHeight="1" thickTop="1" thickBot="1">
      <c r="A128" s="325" t="s">
        <v>923</v>
      </c>
      <c r="B128" s="326"/>
      <c r="C128" s="327"/>
      <c r="D128" s="328" t="s">
        <v>926</v>
      </c>
      <c r="E128" s="329"/>
      <c r="F128" s="330"/>
      <c r="G128" s="331" t="s">
        <v>1348</v>
      </c>
      <c r="H128" s="332"/>
    </row>
    <row r="129" spans="1:8" ht="38.25" customHeight="1" thickTop="1" thickBot="1">
      <c r="A129" s="333" t="s">
        <v>124</v>
      </c>
      <c r="B129" s="334" t="s">
        <v>793</v>
      </c>
      <c r="C129" s="335" t="s">
        <v>1349</v>
      </c>
      <c r="D129" s="335" t="s">
        <v>1266</v>
      </c>
      <c r="E129" s="362" t="s">
        <v>1350</v>
      </c>
      <c r="F129" s="363" t="s">
        <v>1351</v>
      </c>
      <c r="G129" s="338" t="s">
        <v>925</v>
      </c>
      <c r="H129" s="339" t="s">
        <v>927</v>
      </c>
    </row>
    <row r="130" spans="1:8" ht="24.95" customHeight="1" thickTop="1">
      <c r="A130" s="375" t="s">
        <v>1020</v>
      </c>
      <c r="B130" s="364"/>
      <c r="C130" s="365"/>
      <c r="D130" s="365"/>
      <c r="E130" s="365"/>
      <c r="F130" s="365"/>
      <c r="G130" s="365"/>
      <c r="H130" s="343"/>
    </row>
    <row r="131" spans="1:8" ht="24.95" customHeight="1">
      <c r="A131" s="351" t="s">
        <v>987</v>
      </c>
      <c r="B131" s="347"/>
      <c r="C131" s="349"/>
      <c r="D131" s="349"/>
      <c r="E131" s="349"/>
      <c r="F131" s="349"/>
      <c r="G131" s="349"/>
      <c r="H131" s="350"/>
    </row>
    <row r="132" spans="1:8" ht="24.95" customHeight="1">
      <c r="A132" s="353" t="s">
        <v>928</v>
      </c>
      <c r="B132" s="347" t="s">
        <v>1025</v>
      </c>
      <c r="C132" s="349">
        <v>444358</v>
      </c>
      <c r="D132" s="349">
        <v>461708</v>
      </c>
      <c r="E132" s="349"/>
      <c r="F132" s="349">
        <v>454208</v>
      </c>
      <c r="G132" s="349">
        <v>452981.26</v>
      </c>
      <c r="H132" s="350">
        <f t="shared" ref="H132:H133" si="34">F132-G132</f>
        <v>1226.7399999999907</v>
      </c>
    </row>
    <row r="133" spans="1:8" ht="24.95" customHeight="1">
      <c r="A133" s="346" t="s">
        <v>929</v>
      </c>
      <c r="B133" s="347" t="s">
        <v>1026</v>
      </c>
      <c r="C133" s="349">
        <v>26870</v>
      </c>
      <c r="D133" s="349">
        <v>26870</v>
      </c>
      <c r="E133" s="349"/>
      <c r="F133" s="349">
        <v>32770</v>
      </c>
      <c r="G133" s="349">
        <f>30611.03+915.07</f>
        <v>31526.1</v>
      </c>
      <c r="H133" s="350">
        <f t="shared" si="34"/>
        <v>1243.9000000000015</v>
      </c>
    </row>
    <row r="134" spans="1:8" ht="24.95" customHeight="1">
      <c r="A134" s="351" t="s">
        <v>1021</v>
      </c>
      <c r="B134" s="347"/>
      <c r="C134" s="349"/>
      <c r="D134" s="349"/>
      <c r="E134" s="349"/>
      <c r="F134" s="349"/>
      <c r="G134" s="349"/>
      <c r="H134" s="350"/>
    </row>
    <row r="135" spans="1:8" ht="24.95" customHeight="1">
      <c r="A135" s="353" t="s">
        <v>928</v>
      </c>
      <c r="B135" s="347" t="s">
        <v>1027</v>
      </c>
      <c r="C135" s="349">
        <v>276767</v>
      </c>
      <c r="D135" s="349">
        <v>245282</v>
      </c>
      <c r="E135" s="349"/>
      <c r="F135" s="349">
        <v>222182</v>
      </c>
      <c r="G135" s="349">
        <v>222166.57</v>
      </c>
      <c r="H135" s="350">
        <f t="shared" ref="H135:H136" si="35">F135-G135</f>
        <v>15.429999999993015</v>
      </c>
    </row>
    <row r="136" spans="1:8" ht="24.95" customHeight="1">
      <c r="A136" s="353" t="s">
        <v>41</v>
      </c>
      <c r="B136" s="347" t="s">
        <v>1028</v>
      </c>
      <c r="C136" s="349">
        <v>510550</v>
      </c>
      <c r="D136" s="349">
        <v>510550</v>
      </c>
      <c r="E136" s="349"/>
      <c r="F136" s="349">
        <v>510550</v>
      </c>
      <c r="G136" s="349">
        <f>464940.45+752.41</f>
        <v>465692.86</v>
      </c>
      <c r="H136" s="350">
        <f t="shared" si="35"/>
        <v>44857.140000000014</v>
      </c>
    </row>
    <row r="137" spans="1:8" ht="24.95" customHeight="1">
      <c r="A137" s="351" t="s">
        <v>1022</v>
      </c>
      <c r="B137" s="347"/>
      <c r="C137" s="349"/>
      <c r="D137" s="349"/>
      <c r="E137" s="349"/>
      <c r="F137" s="349"/>
      <c r="G137" s="349"/>
      <c r="H137" s="350"/>
    </row>
    <row r="138" spans="1:8" ht="24.95" customHeight="1">
      <c r="A138" s="353" t="s">
        <v>928</v>
      </c>
      <c r="B138" s="347" t="s">
        <v>1025</v>
      </c>
      <c r="C138" s="349">
        <v>399185</v>
      </c>
      <c r="D138" s="349">
        <v>328780</v>
      </c>
      <c r="E138" s="349"/>
      <c r="F138" s="349">
        <v>372280</v>
      </c>
      <c r="G138" s="349">
        <v>369707.63</v>
      </c>
      <c r="H138" s="350">
        <f t="shared" ref="H138:H143" si="36">F138-G138</f>
        <v>2572.3699999999953</v>
      </c>
    </row>
    <row r="139" spans="1:8" ht="24.95" customHeight="1">
      <c r="A139" s="346" t="s">
        <v>41</v>
      </c>
      <c r="B139" s="347" t="s">
        <v>1026</v>
      </c>
      <c r="C139" s="349">
        <v>169650</v>
      </c>
      <c r="D139" s="349">
        <v>169650</v>
      </c>
      <c r="E139" s="349"/>
      <c r="F139" s="349">
        <v>129650</v>
      </c>
      <c r="G139" s="349">
        <f>93938.01+2159.62</f>
        <v>96097.62999999999</v>
      </c>
      <c r="H139" s="350">
        <f t="shared" si="36"/>
        <v>33552.37000000001</v>
      </c>
    </row>
    <row r="140" spans="1:8" ht="24.95" customHeight="1">
      <c r="A140" s="351" t="s">
        <v>1023</v>
      </c>
      <c r="B140" s="347"/>
      <c r="C140" s="349"/>
      <c r="D140" s="349"/>
      <c r="E140" s="349"/>
      <c r="F140" s="349"/>
      <c r="G140" s="349"/>
      <c r="H140" s="350"/>
    </row>
    <row r="141" spans="1:8" ht="24.95" customHeight="1">
      <c r="A141" s="353" t="s">
        <v>928</v>
      </c>
      <c r="B141" s="347" t="s">
        <v>1029</v>
      </c>
      <c r="C141" s="349">
        <v>458405</v>
      </c>
      <c r="D141" s="349">
        <v>362362</v>
      </c>
      <c r="E141" s="349"/>
      <c r="F141" s="349">
        <v>344162</v>
      </c>
      <c r="G141" s="349">
        <v>343501.59</v>
      </c>
      <c r="H141" s="350">
        <f t="shared" si="36"/>
        <v>660.40999999997439</v>
      </c>
    </row>
    <row r="142" spans="1:8" ht="24.95" customHeight="1">
      <c r="A142" s="346" t="s">
        <v>41</v>
      </c>
      <c r="B142" s="347" t="s">
        <v>1030</v>
      </c>
      <c r="C142" s="349">
        <v>585900</v>
      </c>
      <c r="D142" s="349">
        <v>584900</v>
      </c>
      <c r="E142" s="349"/>
      <c r="F142" s="349">
        <v>584900</v>
      </c>
      <c r="G142" s="349">
        <f>367158.91+13619.43</f>
        <v>380778.33999999997</v>
      </c>
      <c r="H142" s="350">
        <f t="shared" si="36"/>
        <v>204121.66000000003</v>
      </c>
    </row>
    <row r="143" spans="1:8" ht="24.95" customHeight="1">
      <c r="A143" s="351" t="s">
        <v>1024</v>
      </c>
      <c r="B143" s="347" t="s">
        <v>1030</v>
      </c>
      <c r="C143" s="349">
        <v>15000</v>
      </c>
      <c r="D143" s="349">
        <v>15000</v>
      </c>
      <c r="E143" s="349"/>
      <c r="F143" s="349">
        <v>15000</v>
      </c>
      <c r="G143" s="349">
        <v>0</v>
      </c>
      <c r="H143" s="350">
        <f t="shared" si="36"/>
        <v>15000</v>
      </c>
    </row>
    <row r="144" spans="1:8" ht="24.95" customHeight="1">
      <c r="A144" s="351"/>
      <c r="B144" s="347"/>
      <c r="C144" s="349"/>
      <c r="D144" s="349"/>
      <c r="E144" s="349"/>
      <c r="F144" s="349"/>
      <c r="G144" s="349"/>
      <c r="H144" s="350"/>
    </row>
    <row r="145" spans="1:8" ht="24.95" customHeight="1">
      <c r="A145" s="346"/>
      <c r="B145" s="347"/>
      <c r="C145" s="349"/>
      <c r="D145" s="349"/>
      <c r="E145" s="349"/>
      <c r="F145" s="349"/>
      <c r="G145" s="349"/>
      <c r="H145" s="350"/>
    </row>
    <row r="146" spans="1:8" ht="24.95" customHeight="1" thickBot="1">
      <c r="A146" s="373"/>
      <c r="B146" s="347"/>
      <c r="C146" s="349"/>
      <c r="D146" s="349"/>
      <c r="E146" s="349"/>
      <c r="F146" s="349"/>
      <c r="G146" s="349"/>
      <c r="H146" s="350"/>
    </row>
    <row r="147" spans="1:8" ht="24.95" customHeight="1" thickTop="1">
      <c r="A147" s="368"/>
      <c r="B147" s="369"/>
      <c r="C147" s="368"/>
      <c r="D147" s="372" t="s">
        <v>442</v>
      </c>
      <c r="E147" s="368"/>
      <c r="F147" s="368"/>
      <c r="G147" s="368"/>
      <c r="H147" s="368"/>
    </row>
    <row r="148" spans="1:8" ht="37.5" customHeight="1" thickBot="1">
      <c r="A148" s="318"/>
      <c r="B148" s="319"/>
      <c r="C148" s="318" t="s">
        <v>922</v>
      </c>
      <c r="D148" s="370"/>
      <c r="E148" s="361"/>
      <c r="F148" s="322"/>
      <c r="G148" s="323"/>
      <c r="H148" s="321" t="s">
        <v>795</v>
      </c>
    </row>
    <row r="149" spans="1:8" ht="20.100000000000001" customHeight="1" thickTop="1" thickBot="1">
      <c r="A149" s="325" t="s">
        <v>923</v>
      </c>
      <c r="B149" s="326"/>
      <c r="C149" s="327"/>
      <c r="D149" s="328" t="s">
        <v>926</v>
      </c>
      <c r="E149" s="329"/>
      <c r="F149" s="330"/>
      <c r="G149" s="331" t="s">
        <v>1348</v>
      </c>
      <c r="H149" s="332"/>
    </row>
    <row r="150" spans="1:8" ht="38.25" customHeight="1" thickTop="1" thickBot="1">
      <c r="A150" s="333" t="s">
        <v>124</v>
      </c>
      <c r="B150" s="334" t="s">
        <v>793</v>
      </c>
      <c r="C150" s="335" t="s">
        <v>1349</v>
      </c>
      <c r="D150" s="335" t="s">
        <v>1266</v>
      </c>
      <c r="E150" s="362" t="s">
        <v>1350</v>
      </c>
      <c r="F150" s="363" t="s">
        <v>1351</v>
      </c>
      <c r="G150" s="338" t="s">
        <v>925</v>
      </c>
      <c r="H150" s="339" t="s">
        <v>927</v>
      </c>
    </row>
    <row r="151" spans="1:8" ht="24.95" customHeight="1" thickTop="1">
      <c r="A151" s="375" t="s">
        <v>1031</v>
      </c>
      <c r="B151" s="364"/>
      <c r="C151" s="365"/>
      <c r="D151" s="365"/>
      <c r="E151" s="365"/>
      <c r="F151" s="365"/>
      <c r="G151" s="365"/>
      <c r="H151" s="343"/>
    </row>
    <row r="152" spans="1:8" ht="24.95" customHeight="1">
      <c r="A152" s="351" t="s">
        <v>1032</v>
      </c>
      <c r="B152" s="347"/>
      <c r="C152" s="349"/>
      <c r="D152" s="349"/>
      <c r="E152" s="349"/>
      <c r="F152" s="349"/>
      <c r="G152" s="349"/>
      <c r="H152" s="350"/>
    </row>
    <row r="153" spans="1:8" ht="24.95" customHeight="1">
      <c r="A153" s="353" t="s">
        <v>928</v>
      </c>
      <c r="B153" s="347" t="s">
        <v>1025</v>
      </c>
      <c r="C153" s="349">
        <v>3177602</v>
      </c>
      <c r="D153" s="349">
        <v>2997374</v>
      </c>
      <c r="E153" s="349"/>
      <c r="F153" s="349">
        <v>2807074</v>
      </c>
      <c r="G153" s="349">
        <v>2801461.57</v>
      </c>
      <c r="H153" s="350">
        <f t="shared" ref="H153:H155" si="37">F153-G153</f>
        <v>5612.4300000001676</v>
      </c>
    </row>
    <row r="154" spans="1:8" ht="24.95" customHeight="1">
      <c r="A154" s="346" t="s">
        <v>41</v>
      </c>
      <c r="B154" s="347" t="s">
        <v>1026</v>
      </c>
      <c r="C154" s="349">
        <v>206575</v>
      </c>
      <c r="D154" s="349">
        <v>206575</v>
      </c>
      <c r="E154" s="349"/>
      <c r="F154" s="349">
        <v>272475</v>
      </c>
      <c r="G154" s="349">
        <f>267940.53+3786.33</f>
        <v>271726.86000000004</v>
      </c>
      <c r="H154" s="350">
        <f t="shared" si="37"/>
        <v>748.13999999995576</v>
      </c>
    </row>
    <row r="155" spans="1:8" ht="24.95" customHeight="1">
      <c r="A155" s="351" t="s">
        <v>42</v>
      </c>
      <c r="B155" s="347" t="s">
        <v>1026</v>
      </c>
      <c r="C155" s="349">
        <v>112000</v>
      </c>
      <c r="D155" s="349">
        <v>112000</v>
      </c>
      <c r="E155" s="349"/>
      <c r="F155" s="349">
        <v>112000</v>
      </c>
      <c r="G155" s="349">
        <f>42130+11518</f>
        <v>53648</v>
      </c>
      <c r="H155" s="350">
        <f t="shared" si="37"/>
        <v>58352</v>
      </c>
    </row>
    <row r="156" spans="1:8" ht="24.95" customHeight="1">
      <c r="A156" s="351" t="s">
        <v>1033</v>
      </c>
      <c r="B156" s="347"/>
      <c r="C156" s="349"/>
      <c r="D156" s="349"/>
      <c r="E156" s="349"/>
      <c r="F156" s="349"/>
      <c r="G156" s="349"/>
      <c r="H156" s="350"/>
    </row>
    <row r="157" spans="1:8" ht="24.95" customHeight="1">
      <c r="A157" s="353" t="s">
        <v>928</v>
      </c>
      <c r="B157" s="347" t="s">
        <v>1025</v>
      </c>
      <c r="C157" s="349">
        <v>139184</v>
      </c>
      <c r="D157" s="349">
        <v>137127</v>
      </c>
      <c r="E157" s="349"/>
      <c r="F157" s="349">
        <v>137127</v>
      </c>
      <c r="G157" s="349">
        <v>137127</v>
      </c>
      <c r="H157" s="350">
        <f t="shared" ref="H157:H158" si="38">F157-G157</f>
        <v>0</v>
      </c>
    </row>
    <row r="158" spans="1:8" ht="24.95" customHeight="1">
      <c r="A158" s="346" t="s">
        <v>41</v>
      </c>
      <c r="B158" s="347" t="s">
        <v>1026</v>
      </c>
      <c r="C158" s="349">
        <v>307250</v>
      </c>
      <c r="D158" s="349">
        <v>307250</v>
      </c>
      <c r="E158" s="349"/>
      <c r="F158" s="349">
        <v>442250</v>
      </c>
      <c r="G158" s="349">
        <f>401026.75+39520.97</f>
        <v>440547.72</v>
      </c>
      <c r="H158" s="350">
        <f t="shared" si="38"/>
        <v>1702.2800000000279</v>
      </c>
    </row>
    <row r="159" spans="1:8" ht="24.95" customHeight="1">
      <c r="A159" s="351" t="s">
        <v>1034</v>
      </c>
      <c r="B159" s="347"/>
      <c r="C159" s="349"/>
      <c r="D159" s="349"/>
      <c r="E159" s="349"/>
      <c r="F159" s="349"/>
      <c r="G159" s="349"/>
      <c r="H159" s="350"/>
    </row>
    <row r="160" spans="1:8" ht="24.95" customHeight="1">
      <c r="A160" s="353" t="s">
        <v>928</v>
      </c>
      <c r="B160" s="347" t="s">
        <v>1038</v>
      </c>
      <c r="C160" s="349">
        <v>569950</v>
      </c>
      <c r="D160" s="349">
        <v>490372</v>
      </c>
      <c r="E160" s="349"/>
      <c r="F160" s="349">
        <v>419272</v>
      </c>
      <c r="G160" s="349">
        <v>415697.13</v>
      </c>
      <c r="H160" s="350">
        <f t="shared" ref="H160:H161" si="39">F160-G160</f>
        <v>3574.8699999999953</v>
      </c>
    </row>
    <row r="161" spans="1:8" ht="24.95" customHeight="1">
      <c r="A161" s="346" t="s">
        <v>41</v>
      </c>
      <c r="B161" s="347" t="s">
        <v>1039</v>
      </c>
      <c r="C161" s="349">
        <v>391570</v>
      </c>
      <c r="D161" s="349">
        <v>391570</v>
      </c>
      <c r="E161" s="349"/>
      <c r="F161" s="349">
        <v>584570</v>
      </c>
      <c r="G161" s="349">
        <f>399973.61+120397.11</f>
        <v>520370.72</v>
      </c>
      <c r="H161" s="350">
        <f t="shared" si="39"/>
        <v>64199.280000000028</v>
      </c>
    </row>
    <row r="162" spans="1:8" ht="24.95" customHeight="1">
      <c r="A162" s="351" t="s">
        <v>1035</v>
      </c>
      <c r="B162" s="347"/>
      <c r="C162" s="349"/>
      <c r="D162" s="349"/>
      <c r="E162" s="349"/>
      <c r="F162" s="349"/>
      <c r="G162" s="349"/>
      <c r="H162" s="350"/>
    </row>
    <row r="163" spans="1:8" ht="24.95" customHeight="1">
      <c r="A163" s="351" t="s">
        <v>1036</v>
      </c>
      <c r="B163" s="347"/>
      <c r="C163" s="349"/>
      <c r="D163" s="349"/>
      <c r="E163" s="349"/>
      <c r="F163" s="349"/>
      <c r="G163" s="349"/>
      <c r="H163" s="350"/>
    </row>
    <row r="164" spans="1:8" ht="24.95" customHeight="1">
      <c r="A164" s="353" t="s">
        <v>928</v>
      </c>
      <c r="B164" s="347" t="s">
        <v>1040</v>
      </c>
      <c r="C164" s="349">
        <v>1762645</v>
      </c>
      <c r="D164" s="349">
        <v>1440506</v>
      </c>
      <c r="E164" s="349"/>
      <c r="F164" s="349">
        <v>1498806</v>
      </c>
      <c r="G164" s="349">
        <v>1496641.59</v>
      </c>
      <c r="H164" s="350">
        <f t="shared" ref="H164:H165" si="40">F164-G164</f>
        <v>2164.4099999999162</v>
      </c>
    </row>
    <row r="165" spans="1:8" ht="24.95" customHeight="1">
      <c r="A165" s="346" t="s">
        <v>41</v>
      </c>
      <c r="B165" s="347" t="s">
        <v>1041</v>
      </c>
      <c r="C165" s="349">
        <v>311450</v>
      </c>
      <c r="D165" s="349">
        <v>311450</v>
      </c>
      <c r="E165" s="349"/>
      <c r="F165" s="349">
        <v>276450</v>
      </c>
      <c r="G165" s="349">
        <f>252022.22+17732.53</f>
        <v>269754.75</v>
      </c>
      <c r="H165" s="350">
        <f t="shared" si="40"/>
        <v>6695.25</v>
      </c>
    </row>
    <row r="166" spans="1:8" ht="24.95" customHeight="1">
      <c r="A166" s="373"/>
      <c r="B166" s="347"/>
      <c r="C166" s="349"/>
      <c r="D166" s="349"/>
      <c r="E166" s="349"/>
      <c r="F166" s="349"/>
      <c r="G166" s="349"/>
      <c r="H166" s="350"/>
    </row>
    <row r="167" spans="1:8" ht="24.95" customHeight="1" thickBot="1">
      <c r="A167" s="373"/>
      <c r="B167" s="347"/>
      <c r="C167" s="349"/>
      <c r="D167" s="349"/>
      <c r="E167" s="349"/>
      <c r="F167" s="349"/>
      <c r="G167" s="349"/>
      <c r="H167" s="350"/>
    </row>
    <row r="168" spans="1:8" ht="24.95" customHeight="1" thickTop="1">
      <c r="A168" s="368"/>
      <c r="B168" s="369"/>
      <c r="C168" s="368"/>
      <c r="D168" s="372" t="s">
        <v>443</v>
      </c>
      <c r="E168" s="368"/>
      <c r="F168" s="368"/>
      <c r="G168" s="368"/>
      <c r="H168" s="368"/>
    </row>
    <row r="169" spans="1:8" ht="37.5" customHeight="1" thickBot="1">
      <c r="A169" s="318"/>
      <c r="B169" s="319"/>
      <c r="C169" s="318" t="s">
        <v>922</v>
      </c>
      <c r="D169" s="370"/>
      <c r="E169" s="361"/>
      <c r="F169" s="322"/>
      <c r="G169" s="323"/>
      <c r="H169" s="321" t="s">
        <v>795</v>
      </c>
    </row>
    <row r="170" spans="1:8" ht="20.100000000000001" customHeight="1" thickTop="1" thickBot="1">
      <c r="A170" s="325" t="s">
        <v>923</v>
      </c>
      <c r="B170" s="326"/>
      <c r="C170" s="327"/>
      <c r="D170" s="328" t="s">
        <v>926</v>
      </c>
      <c r="E170" s="329"/>
      <c r="F170" s="330"/>
      <c r="G170" s="331" t="s">
        <v>1348</v>
      </c>
      <c r="H170" s="332"/>
    </row>
    <row r="171" spans="1:8" ht="38.25" customHeight="1" thickTop="1" thickBot="1">
      <c r="A171" s="333" t="s">
        <v>124</v>
      </c>
      <c r="B171" s="334" t="s">
        <v>793</v>
      </c>
      <c r="C171" s="335" t="s">
        <v>1349</v>
      </c>
      <c r="D171" s="335" t="s">
        <v>1266</v>
      </c>
      <c r="E171" s="362" t="s">
        <v>1350</v>
      </c>
      <c r="F171" s="363" t="s">
        <v>1351</v>
      </c>
      <c r="G171" s="338" t="s">
        <v>925</v>
      </c>
      <c r="H171" s="339" t="s">
        <v>927</v>
      </c>
    </row>
    <row r="172" spans="1:8" ht="24.95" customHeight="1" thickTop="1" thickBot="1">
      <c r="A172" s="375" t="s">
        <v>1031</v>
      </c>
      <c r="B172" s="376"/>
      <c r="C172" s="377"/>
      <c r="D172" s="377"/>
      <c r="E172" s="378"/>
      <c r="F172" s="379"/>
      <c r="G172" s="380"/>
      <c r="H172" s="381"/>
    </row>
    <row r="173" spans="1:8" ht="24.95" customHeight="1" thickTop="1">
      <c r="A173" s="382" t="s">
        <v>1037</v>
      </c>
      <c r="B173" s="364"/>
      <c r="C173" s="365"/>
      <c r="D173" s="365"/>
      <c r="E173" s="365"/>
      <c r="F173" s="365"/>
      <c r="G173" s="365"/>
      <c r="H173" s="343"/>
    </row>
    <row r="174" spans="1:8" ht="24.95" customHeight="1">
      <c r="A174" s="353" t="s">
        <v>928</v>
      </c>
      <c r="B174" s="347" t="s">
        <v>1045</v>
      </c>
      <c r="C174" s="349">
        <v>1506746</v>
      </c>
      <c r="D174" s="349">
        <v>1392437</v>
      </c>
      <c r="E174" s="349"/>
      <c r="F174" s="349">
        <v>1544537</v>
      </c>
      <c r="G174" s="349">
        <v>1519078.26</v>
      </c>
      <c r="H174" s="350">
        <f t="shared" ref="H174:H175" si="41">F174-G174</f>
        <v>25458.739999999991</v>
      </c>
    </row>
    <row r="175" spans="1:8" ht="24.95" customHeight="1">
      <c r="A175" s="346" t="s">
        <v>41</v>
      </c>
      <c r="B175" s="347" t="s">
        <v>1046</v>
      </c>
      <c r="C175" s="349">
        <v>1099162</v>
      </c>
      <c r="D175" s="349">
        <v>1099162</v>
      </c>
      <c r="E175" s="349"/>
      <c r="F175" s="349">
        <v>1118672</v>
      </c>
      <c r="G175" s="349">
        <f>1011594.38+83764.5</f>
        <v>1095358.8799999999</v>
      </c>
      <c r="H175" s="350">
        <f t="shared" si="41"/>
        <v>23313.120000000112</v>
      </c>
    </row>
    <row r="176" spans="1:8" ht="24.95" customHeight="1">
      <c r="A176" s="351" t="s">
        <v>1042</v>
      </c>
      <c r="B176" s="347"/>
      <c r="C176" s="349"/>
      <c r="D176" s="349"/>
      <c r="E176" s="349"/>
      <c r="F176" s="349"/>
      <c r="G176" s="349"/>
      <c r="H176" s="350"/>
    </row>
    <row r="177" spans="1:8" ht="24.95" customHeight="1">
      <c r="A177" s="353" t="s">
        <v>928</v>
      </c>
      <c r="B177" s="347" t="s">
        <v>1047</v>
      </c>
      <c r="C177" s="349">
        <v>2174269</v>
      </c>
      <c r="D177" s="349">
        <v>2045055</v>
      </c>
      <c r="E177" s="349"/>
      <c r="F177" s="349">
        <v>1838160</v>
      </c>
      <c r="G177" s="349">
        <v>1821776.7</v>
      </c>
      <c r="H177" s="350">
        <f t="shared" ref="H177:H178" si="42">F177-G177</f>
        <v>16383.300000000047</v>
      </c>
    </row>
    <row r="178" spans="1:8" ht="24.95" customHeight="1">
      <c r="A178" s="346" t="s">
        <v>41</v>
      </c>
      <c r="B178" s="347" t="s">
        <v>1048</v>
      </c>
      <c r="C178" s="349">
        <v>442934</v>
      </c>
      <c r="D178" s="349">
        <v>442934</v>
      </c>
      <c r="E178" s="349"/>
      <c r="F178" s="349">
        <v>515484</v>
      </c>
      <c r="G178" s="349">
        <f>373764.05+72855.02</f>
        <v>446619.07</v>
      </c>
      <c r="H178" s="350">
        <f t="shared" si="42"/>
        <v>68864.929999999993</v>
      </c>
    </row>
    <row r="179" spans="1:8" ht="24.95" customHeight="1">
      <c r="A179" s="351" t="s">
        <v>1043</v>
      </c>
      <c r="B179" s="347"/>
      <c r="C179" s="349"/>
      <c r="D179" s="349"/>
      <c r="E179" s="349"/>
      <c r="F179" s="349"/>
      <c r="G179" s="349"/>
      <c r="H179" s="350"/>
    </row>
    <row r="180" spans="1:8" ht="24.95" customHeight="1">
      <c r="A180" s="353" t="s">
        <v>928</v>
      </c>
      <c r="B180" s="347" t="s">
        <v>1049</v>
      </c>
      <c r="C180" s="349">
        <v>1279319</v>
      </c>
      <c r="D180" s="349">
        <v>1144619</v>
      </c>
      <c r="E180" s="349"/>
      <c r="F180" s="349">
        <v>1214319</v>
      </c>
      <c r="G180" s="349">
        <v>1208420.02</v>
      </c>
      <c r="H180" s="350">
        <f t="shared" ref="H180:H181" si="43">F180-G180</f>
        <v>5898.9799999999814</v>
      </c>
    </row>
    <row r="181" spans="1:8" ht="24.95" customHeight="1">
      <c r="A181" s="346" t="s">
        <v>929</v>
      </c>
      <c r="B181" s="347" t="s">
        <v>1050</v>
      </c>
      <c r="C181" s="349">
        <v>201995</v>
      </c>
      <c r="D181" s="349">
        <v>201995</v>
      </c>
      <c r="E181" s="349"/>
      <c r="F181" s="349">
        <v>231495</v>
      </c>
      <c r="G181" s="349">
        <f>215584.55+2890.13</f>
        <v>218474.68</v>
      </c>
      <c r="H181" s="350">
        <f t="shared" si="43"/>
        <v>13020.320000000007</v>
      </c>
    </row>
    <row r="182" spans="1:8" ht="24.95" customHeight="1">
      <c r="A182" s="351" t="s">
        <v>1044</v>
      </c>
      <c r="B182" s="347"/>
      <c r="C182" s="349"/>
      <c r="D182" s="349"/>
      <c r="E182" s="349"/>
      <c r="F182" s="349"/>
      <c r="G182" s="349"/>
      <c r="H182" s="350"/>
    </row>
    <row r="183" spans="1:8" ht="24.95" customHeight="1">
      <c r="A183" s="353" t="s">
        <v>928</v>
      </c>
      <c r="B183" s="347" t="s">
        <v>1051</v>
      </c>
      <c r="C183" s="349">
        <v>259079</v>
      </c>
      <c r="D183" s="349">
        <v>222861</v>
      </c>
      <c r="E183" s="349"/>
      <c r="F183" s="349">
        <v>164681</v>
      </c>
      <c r="G183" s="349">
        <v>163425.87</v>
      </c>
      <c r="H183" s="350">
        <f t="shared" ref="H183:H184" si="44">F183-G183</f>
        <v>1255.1300000000047</v>
      </c>
    </row>
    <row r="184" spans="1:8" ht="24.95" customHeight="1">
      <c r="A184" s="346" t="s">
        <v>929</v>
      </c>
      <c r="B184" s="347" t="s">
        <v>1052</v>
      </c>
      <c r="C184" s="349">
        <v>31020</v>
      </c>
      <c r="D184" s="349">
        <v>31020</v>
      </c>
      <c r="E184" s="349"/>
      <c r="F184" s="349">
        <v>21620</v>
      </c>
      <c r="G184" s="349">
        <f>11719.52+2427.15</f>
        <v>14146.67</v>
      </c>
      <c r="H184" s="350">
        <f t="shared" si="44"/>
        <v>7473.33</v>
      </c>
    </row>
    <row r="185" spans="1:8" ht="24.95" customHeight="1">
      <c r="A185" s="383" t="s">
        <v>1174</v>
      </c>
      <c r="B185" s="347"/>
      <c r="C185" s="349">
        <f t="shared" ref="C185" si="45">SUM(C131:C184)</f>
        <v>16859435</v>
      </c>
      <c r="D185" s="349">
        <f t="shared" ref="D185:H185" si="46">SUM(D131:D184)</f>
        <v>15679409</v>
      </c>
      <c r="E185" s="349">
        <f t="shared" si="46"/>
        <v>0</v>
      </c>
      <c r="F185" s="349">
        <f t="shared" si="46"/>
        <v>15864694</v>
      </c>
      <c r="G185" s="349">
        <f t="shared" si="46"/>
        <v>15256727.469999999</v>
      </c>
      <c r="H185" s="350">
        <f t="shared" si="46"/>
        <v>607966.53000000026</v>
      </c>
    </row>
    <row r="186" spans="1:8" ht="24.95" customHeight="1">
      <c r="A186" s="384"/>
      <c r="B186" s="347"/>
      <c r="C186" s="349"/>
      <c r="D186" s="349"/>
      <c r="E186" s="349"/>
      <c r="F186" s="349"/>
      <c r="G186" s="349"/>
      <c r="H186" s="350"/>
    </row>
    <row r="187" spans="1:8" ht="24.95" customHeight="1">
      <c r="A187" s="373"/>
      <c r="B187" s="347"/>
      <c r="C187" s="349"/>
      <c r="D187" s="349"/>
      <c r="E187" s="349"/>
      <c r="F187" s="349"/>
      <c r="G187" s="349"/>
      <c r="H187" s="350"/>
    </row>
    <row r="188" spans="1:8" ht="24.95" customHeight="1" thickBot="1">
      <c r="A188" s="373"/>
      <c r="B188" s="347"/>
      <c r="C188" s="349"/>
      <c r="D188" s="349"/>
      <c r="E188" s="349"/>
      <c r="F188" s="349"/>
      <c r="G188" s="349"/>
      <c r="H188" s="350"/>
    </row>
    <row r="189" spans="1:8" ht="24.95" customHeight="1" thickTop="1">
      <c r="A189" s="368"/>
      <c r="B189" s="369"/>
      <c r="C189" s="368"/>
      <c r="D189" s="372" t="s">
        <v>444</v>
      </c>
      <c r="E189" s="368"/>
      <c r="F189" s="368"/>
      <c r="G189" s="368"/>
      <c r="H189" s="368"/>
    </row>
    <row r="190" spans="1:8" ht="37.5" customHeight="1" thickBot="1">
      <c r="A190" s="318"/>
      <c r="B190" s="319"/>
      <c r="C190" s="318" t="s">
        <v>922</v>
      </c>
      <c r="D190" s="370"/>
      <c r="E190" s="361"/>
      <c r="F190" s="322"/>
      <c r="G190" s="323"/>
      <c r="H190" s="321" t="s">
        <v>795</v>
      </c>
    </row>
    <row r="191" spans="1:8" ht="20.100000000000001" customHeight="1" thickTop="1" thickBot="1">
      <c r="A191" s="325" t="s">
        <v>923</v>
      </c>
      <c r="B191" s="326"/>
      <c r="C191" s="327"/>
      <c r="D191" s="328" t="s">
        <v>926</v>
      </c>
      <c r="E191" s="329"/>
      <c r="F191" s="330"/>
      <c r="G191" s="331" t="s">
        <v>1348</v>
      </c>
      <c r="H191" s="332"/>
    </row>
    <row r="192" spans="1:8" ht="38.25" customHeight="1" thickTop="1" thickBot="1">
      <c r="A192" s="333" t="s">
        <v>124</v>
      </c>
      <c r="B192" s="334" t="s">
        <v>793</v>
      </c>
      <c r="C192" s="335" t="s">
        <v>1349</v>
      </c>
      <c r="D192" s="335" t="s">
        <v>1266</v>
      </c>
      <c r="E192" s="362" t="s">
        <v>1350</v>
      </c>
      <c r="F192" s="363" t="s">
        <v>1351</v>
      </c>
      <c r="G192" s="338" t="s">
        <v>925</v>
      </c>
      <c r="H192" s="339" t="s">
        <v>927</v>
      </c>
    </row>
    <row r="193" spans="1:10" ht="24.95" customHeight="1" thickTop="1">
      <c r="A193" s="375" t="s">
        <v>1053</v>
      </c>
      <c r="B193" s="364"/>
      <c r="C193" s="365"/>
      <c r="D193" s="365"/>
      <c r="E193" s="365"/>
      <c r="F193" s="365"/>
      <c r="G193" s="365"/>
      <c r="H193" s="343"/>
    </row>
    <row r="194" spans="1:10" ht="24.95" customHeight="1">
      <c r="A194" s="351" t="s">
        <v>1054</v>
      </c>
      <c r="B194" s="347"/>
      <c r="C194" s="349"/>
      <c r="D194" s="349"/>
      <c r="E194" s="349"/>
      <c r="F194" s="349"/>
      <c r="G194" s="349"/>
      <c r="H194" s="350"/>
    </row>
    <row r="195" spans="1:10" ht="24.95" customHeight="1">
      <c r="A195" s="353" t="s">
        <v>928</v>
      </c>
      <c r="B195" s="347" t="s">
        <v>1056</v>
      </c>
      <c r="C195" s="349">
        <v>390766</v>
      </c>
      <c r="D195" s="349">
        <v>328312</v>
      </c>
      <c r="E195" s="349"/>
      <c r="F195" s="349">
        <v>307412</v>
      </c>
      <c r="G195" s="349">
        <v>306717.90999999997</v>
      </c>
      <c r="H195" s="350">
        <f t="shared" ref="H195:H196" si="47">F195-G195</f>
        <v>694.09000000002561</v>
      </c>
    </row>
    <row r="196" spans="1:10" ht="24.95" customHeight="1">
      <c r="A196" s="346" t="s">
        <v>41</v>
      </c>
      <c r="B196" s="347" t="s">
        <v>4</v>
      </c>
      <c r="C196" s="349">
        <v>14300</v>
      </c>
      <c r="D196" s="349">
        <v>14300</v>
      </c>
      <c r="E196" s="349"/>
      <c r="F196" s="349">
        <v>9300</v>
      </c>
      <c r="G196" s="349">
        <f>8576.53+312.11</f>
        <v>8888.6400000000012</v>
      </c>
      <c r="H196" s="350">
        <f t="shared" si="47"/>
        <v>411.35999999999876</v>
      </c>
    </row>
    <row r="197" spans="1:10" ht="24.95" customHeight="1">
      <c r="A197" s="351" t="s">
        <v>1055</v>
      </c>
      <c r="B197" s="347"/>
      <c r="C197" s="349"/>
      <c r="D197" s="349"/>
      <c r="E197" s="349"/>
      <c r="F197" s="349"/>
      <c r="G197" s="349"/>
      <c r="H197" s="350"/>
    </row>
    <row r="198" spans="1:10" ht="24.95" customHeight="1">
      <c r="A198" s="353" t="s">
        <v>928</v>
      </c>
      <c r="B198" s="347" t="s">
        <v>5</v>
      </c>
      <c r="C198" s="349">
        <v>646330</v>
      </c>
      <c r="D198" s="349">
        <v>11000</v>
      </c>
      <c r="E198" s="349"/>
      <c r="F198" s="349">
        <v>11000</v>
      </c>
      <c r="G198" s="349">
        <v>5544.16</v>
      </c>
      <c r="H198" s="350">
        <f t="shared" ref="H198:H199" si="48">F198-G198</f>
        <v>5455.84</v>
      </c>
      <c r="I198" s="324">
        <f>11000-5455.84</f>
        <v>5544.16</v>
      </c>
    </row>
    <row r="199" spans="1:10" ht="24.95" customHeight="1">
      <c r="A199" s="346" t="s">
        <v>41</v>
      </c>
      <c r="B199" s="347" t="s">
        <v>6</v>
      </c>
      <c r="C199" s="349">
        <v>1040719</v>
      </c>
      <c r="D199" s="349">
        <v>987389</v>
      </c>
      <c r="E199" s="349"/>
      <c r="F199" s="349">
        <v>987389</v>
      </c>
      <c r="G199" s="349">
        <f>487196.96+5672.74-110473</f>
        <v>382396.7</v>
      </c>
      <c r="H199" s="350">
        <f t="shared" si="48"/>
        <v>604992.30000000005</v>
      </c>
    </row>
    <row r="200" spans="1:10" ht="24.95" customHeight="1">
      <c r="A200" s="385" t="s">
        <v>1092</v>
      </c>
      <c r="B200" s="347"/>
      <c r="C200" s="349"/>
      <c r="D200" s="349"/>
      <c r="E200" s="349"/>
      <c r="F200" s="349"/>
      <c r="G200" s="349"/>
      <c r="H200" s="350"/>
    </row>
    <row r="201" spans="1:10" ht="24.95" customHeight="1">
      <c r="A201" s="353" t="s">
        <v>928</v>
      </c>
      <c r="B201" s="347"/>
      <c r="C201" s="349">
        <v>186030</v>
      </c>
      <c r="D201" s="349">
        <v>158877</v>
      </c>
      <c r="E201" s="349"/>
      <c r="F201" s="349">
        <v>173377</v>
      </c>
      <c r="G201" s="349">
        <v>173361.57</v>
      </c>
      <c r="H201" s="350">
        <f t="shared" ref="H201:H202" si="49">F201-G201</f>
        <v>15.429999999993015</v>
      </c>
    </row>
    <row r="202" spans="1:10" ht="24.95" customHeight="1">
      <c r="A202" s="346" t="s">
        <v>929</v>
      </c>
      <c r="B202" s="347"/>
      <c r="C202" s="349">
        <v>30550</v>
      </c>
      <c r="D202" s="349">
        <v>30550</v>
      </c>
      <c r="E202" s="349"/>
      <c r="F202" s="349">
        <v>21550</v>
      </c>
      <c r="G202" s="349">
        <f xml:space="preserve"> 8017.63+7241.03</f>
        <v>15258.66</v>
      </c>
      <c r="H202" s="350">
        <f t="shared" si="49"/>
        <v>6291.34</v>
      </c>
    </row>
    <row r="203" spans="1:10" ht="24.95" customHeight="1">
      <c r="A203" s="386" t="s">
        <v>1111</v>
      </c>
      <c r="B203" s="347"/>
      <c r="C203" s="349"/>
      <c r="D203" s="349"/>
      <c r="E203" s="349"/>
      <c r="F203" s="349"/>
      <c r="G203" s="349"/>
      <c r="H203" s="350"/>
    </row>
    <row r="204" spans="1:10" ht="24.95" customHeight="1">
      <c r="A204" s="353" t="s">
        <v>928</v>
      </c>
      <c r="B204" s="347"/>
      <c r="C204" s="349">
        <v>60000</v>
      </c>
      <c r="D204" s="349">
        <v>20200</v>
      </c>
      <c r="E204" s="349"/>
      <c r="F204" s="349">
        <v>0</v>
      </c>
      <c r="G204" s="349">
        <v>0</v>
      </c>
      <c r="H204" s="350">
        <f t="shared" ref="H204:H205" si="50">F204-G204</f>
        <v>0</v>
      </c>
    </row>
    <row r="205" spans="1:10" ht="24.95" customHeight="1">
      <c r="A205" s="387" t="s">
        <v>41</v>
      </c>
      <c r="B205" s="347"/>
      <c r="C205" s="349">
        <v>11550</v>
      </c>
      <c r="D205" s="349">
        <v>11550</v>
      </c>
      <c r="E205" s="349"/>
      <c r="F205" s="349">
        <v>0</v>
      </c>
      <c r="G205" s="349">
        <v>0</v>
      </c>
      <c r="H205" s="350">
        <f t="shared" si="50"/>
        <v>0</v>
      </c>
    </row>
    <row r="206" spans="1:10" ht="24.95" customHeight="1">
      <c r="A206" s="388"/>
      <c r="B206" s="347"/>
      <c r="C206" s="349"/>
      <c r="D206" s="349"/>
      <c r="E206" s="349"/>
      <c r="F206" s="349"/>
      <c r="G206" s="349"/>
      <c r="H206" s="350"/>
    </row>
    <row r="207" spans="1:10" ht="24.95" customHeight="1">
      <c r="A207" s="351"/>
      <c r="B207" s="347"/>
      <c r="C207" s="349"/>
      <c r="D207" s="349"/>
      <c r="E207" s="349"/>
      <c r="F207" s="349"/>
      <c r="G207" s="349"/>
      <c r="H207" s="350"/>
    </row>
    <row r="208" spans="1:10" ht="24.95" customHeight="1">
      <c r="A208" s="383" t="s">
        <v>1272</v>
      </c>
      <c r="B208" s="347"/>
      <c r="C208" s="349">
        <f t="shared" ref="C208" si="51">SUM(C194:C207)</f>
        <v>2380245</v>
      </c>
      <c r="D208" s="349">
        <f t="shared" ref="D208:H208" si="52">SUM(D194:D207)</f>
        <v>1562178</v>
      </c>
      <c r="E208" s="349">
        <f t="shared" si="52"/>
        <v>0</v>
      </c>
      <c r="F208" s="349">
        <f t="shared" si="52"/>
        <v>1510028</v>
      </c>
      <c r="G208" s="349">
        <f t="shared" si="52"/>
        <v>892167.64</v>
      </c>
      <c r="H208" s="350">
        <f t="shared" si="52"/>
        <v>617860.36</v>
      </c>
      <c r="I208" s="324">
        <v>2380245</v>
      </c>
      <c r="J208" s="324">
        <f>I208-C208</f>
        <v>0</v>
      </c>
    </row>
    <row r="209" spans="1:8" ht="24.95" customHeight="1" thickBot="1">
      <c r="A209" s="346"/>
      <c r="B209" s="347"/>
      <c r="C209" s="349"/>
      <c r="D209" s="349"/>
      <c r="E209" s="349"/>
      <c r="F209" s="349"/>
      <c r="G209" s="349"/>
      <c r="H209" s="350"/>
    </row>
    <row r="210" spans="1:8" ht="24.95" customHeight="1" thickTop="1">
      <c r="A210" s="368"/>
      <c r="B210" s="369"/>
      <c r="C210" s="368"/>
      <c r="D210" s="372" t="s">
        <v>445</v>
      </c>
      <c r="E210" s="368"/>
      <c r="F210" s="368"/>
      <c r="G210" s="368"/>
      <c r="H210" s="368"/>
    </row>
    <row r="211" spans="1:8" ht="37.5" customHeight="1" thickBot="1">
      <c r="A211" s="318"/>
      <c r="B211" s="319"/>
      <c r="C211" s="318" t="s">
        <v>922</v>
      </c>
      <c r="D211" s="370"/>
      <c r="E211" s="361"/>
      <c r="F211" s="322"/>
      <c r="G211" s="323"/>
      <c r="H211" s="321" t="s">
        <v>795</v>
      </c>
    </row>
    <row r="212" spans="1:8" ht="20.100000000000001" customHeight="1" thickTop="1" thickBot="1">
      <c r="A212" s="325" t="s">
        <v>923</v>
      </c>
      <c r="B212" s="326"/>
      <c r="C212" s="327"/>
      <c r="D212" s="328" t="s">
        <v>926</v>
      </c>
      <c r="E212" s="329"/>
      <c r="F212" s="330"/>
      <c r="G212" s="331" t="s">
        <v>1348</v>
      </c>
      <c r="H212" s="332"/>
    </row>
    <row r="213" spans="1:8" ht="38.25" customHeight="1" thickTop="1" thickBot="1">
      <c r="A213" s="333" t="s">
        <v>124</v>
      </c>
      <c r="B213" s="334" t="s">
        <v>793</v>
      </c>
      <c r="C213" s="335" t="s">
        <v>1349</v>
      </c>
      <c r="D213" s="335" t="s">
        <v>1266</v>
      </c>
      <c r="E213" s="362" t="s">
        <v>1350</v>
      </c>
      <c r="F213" s="363" t="s">
        <v>1351</v>
      </c>
      <c r="G213" s="338" t="s">
        <v>925</v>
      </c>
      <c r="H213" s="339" t="s">
        <v>927</v>
      </c>
    </row>
    <row r="214" spans="1:8" ht="24.95" customHeight="1" thickTop="1">
      <c r="A214" s="367" t="s">
        <v>208</v>
      </c>
      <c r="B214" s="364"/>
      <c r="C214" s="365"/>
      <c r="D214" s="365"/>
      <c r="E214" s="365"/>
      <c r="F214" s="365"/>
      <c r="G214" s="365"/>
      <c r="H214" s="343"/>
    </row>
    <row r="215" spans="1:8" ht="24.95" customHeight="1">
      <c r="A215" s="351" t="s">
        <v>987</v>
      </c>
      <c r="B215" s="347"/>
      <c r="C215" s="349"/>
      <c r="D215" s="349"/>
      <c r="E215" s="349"/>
      <c r="F215" s="349"/>
      <c r="G215" s="349"/>
      <c r="H215" s="350"/>
    </row>
    <row r="216" spans="1:8" ht="24.95" customHeight="1">
      <c r="A216" s="353" t="s">
        <v>928</v>
      </c>
      <c r="B216" s="347" t="s">
        <v>8</v>
      </c>
      <c r="C216" s="349">
        <v>372338</v>
      </c>
      <c r="D216" s="349">
        <v>362069</v>
      </c>
      <c r="E216" s="349"/>
      <c r="F216" s="349">
        <v>287569</v>
      </c>
      <c r="G216" s="349">
        <v>287314.96999999997</v>
      </c>
      <c r="H216" s="350">
        <f t="shared" ref="H216:H217" si="53">F216-G216</f>
        <v>254.03000000002794</v>
      </c>
    </row>
    <row r="217" spans="1:8" ht="24.95" customHeight="1">
      <c r="A217" s="346" t="s">
        <v>41</v>
      </c>
      <c r="B217" s="347" t="s">
        <v>9</v>
      </c>
      <c r="C217" s="349">
        <v>7156</v>
      </c>
      <c r="D217" s="349">
        <v>7156</v>
      </c>
      <c r="E217" s="349"/>
      <c r="F217" s="349">
        <v>7156</v>
      </c>
      <c r="G217" s="349">
        <f>4767.84+668.57</f>
        <v>5436.41</v>
      </c>
      <c r="H217" s="350">
        <f t="shared" si="53"/>
        <v>1719.5900000000001</v>
      </c>
    </row>
    <row r="218" spans="1:8" ht="24.95" customHeight="1">
      <c r="A218" s="351" t="s">
        <v>7</v>
      </c>
      <c r="B218" s="347"/>
      <c r="C218" s="349"/>
      <c r="D218" s="349"/>
      <c r="E218" s="349"/>
      <c r="F218" s="349"/>
      <c r="G218" s="349"/>
      <c r="H218" s="350"/>
    </row>
    <row r="219" spans="1:8" ht="24.95" customHeight="1">
      <c r="A219" s="353" t="s">
        <v>928</v>
      </c>
      <c r="B219" s="347" t="s">
        <v>8</v>
      </c>
      <c r="C219" s="349">
        <v>100290</v>
      </c>
      <c r="D219" s="349">
        <v>98808</v>
      </c>
      <c r="E219" s="349"/>
      <c r="F219" s="349">
        <f>2551+2551+97348</f>
        <v>102450</v>
      </c>
      <c r="G219" s="349">
        <f>1562.3+1931.86+97346.76</f>
        <v>100840.92</v>
      </c>
      <c r="H219" s="350">
        <f t="shared" ref="H219:H221" si="54">F219-G219</f>
        <v>1609.0800000000017</v>
      </c>
    </row>
    <row r="220" spans="1:8" ht="24.95" customHeight="1">
      <c r="A220" s="346" t="s">
        <v>929</v>
      </c>
      <c r="B220" s="347" t="s">
        <v>9</v>
      </c>
      <c r="C220" s="349">
        <v>11420</v>
      </c>
      <c r="D220" s="349">
        <v>20420</v>
      </c>
      <c r="E220" s="349"/>
      <c r="F220" s="349">
        <v>11420</v>
      </c>
      <c r="G220" s="349">
        <f>7718.92+170.69</f>
        <v>7889.61</v>
      </c>
      <c r="H220" s="350">
        <f t="shared" si="54"/>
        <v>3530.3900000000003</v>
      </c>
    </row>
    <row r="221" spans="1:8" ht="24.95" customHeight="1">
      <c r="A221" s="351" t="s">
        <v>10</v>
      </c>
      <c r="B221" s="347" t="s">
        <v>13</v>
      </c>
      <c r="C221" s="349">
        <v>350000</v>
      </c>
      <c r="D221" s="349">
        <v>350000</v>
      </c>
      <c r="E221" s="349"/>
      <c r="F221" s="349">
        <v>344898</v>
      </c>
      <c r="G221" s="349">
        <f>239545.91+70450.9</f>
        <v>309996.81</v>
      </c>
      <c r="H221" s="350">
        <f t="shared" si="54"/>
        <v>34901.19</v>
      </c>
    </row>
    <row r="222" spans="1:8" ht="24.95" customHeight="1">
      <c r="A222" s="366" t="s">
        <v>1524</v>
      </c>
      <c r="B222" s="347"/>
      <c r="C222" s="349"/>
      <c r="D222" s="349"/>
      <c r="E222" s="349"/>
      <c r="F222" s="349"/>
      <c r="G222" s="349"/>
      <c r="H222" s="350"/>
    </row>
    <row r="223" spans="1:8" ht="24.95" customHeight="1">
      <c r="A223" s="353" t="s">
        <v>928</v>
      </c>
      <c r="B223" s="347"/>
      <c r="C223" s="349">
        <v>32464</v>
      </c>
      <c r="D223" s="349">
        <v>32085</v>
      </c>
      <c r="E223" s="349"/>
      <c r="F223" s="349">
        <f>D223</f>
        <v>32085</v>
      </c>
      <c r="G223" s="349"/>
      <c r="H223" s="350"/>
    </row>
    <row r="224" spans="1:8" ht="24.95" customHeight="1">
      <c r="A224" s="353" t="s">
        <v>41</v>
      </c>
      <c r="B224" s="347"/>
      <c r="C224" s="349">
        <v>6600</v>
      </c>
      <c r="D224" s="349">
        <v>6600</v>
      </c>
      <c r="E224" s="349"/>
      <c r="F224" s="349">
        <f>D224</f>
        <v>6600</v>
      </c>
      <c r="G224" s="349"/>
      <c r="H224" s="350"/>
    </row>
    <row r="225" spans="1:12" ht="24.95" customHeight="1">
      <c r="A225" s="351" t="s">
        <v>11</v>
      </c>
      <c r="B225" s="347"/>
      <c r="C225" s="349"/>
      <c r="D225" s="349"/>
      <c r="E225" s="349"/>
      <c r="F225" s="349"/>
      <c r="G225" s="349"/>
      <c r="H225" s="350"/>
    </row>
    <row r="226" spans="1:12" ht="24.95" customHeight="1">
      <c r="A226" s="353" t="s">
        <v>928</v>
      </c>
      <c r="B226" s="347" t="s">
        <v>8</v>
      </c>
      <c r="C226" s="349">
        <v>142741</v>
      </c>
      <c r="D226" s="349">
        <f>132040</f>
        <v>132040</v>
      </c>
      <c r="E226" s="349"/>
      <c r="F226" s="349">
        <v>163125</v>
      </c>
      <c r="G226" s="349">
        <v>151969.75</v>
      </c>
      <c r="H226" s="350">
        <f t="shared" ref="H226:H227" si="55">F226-G226</f>
        <v>11155.25</v>
      </c>
    </row>
    <row r="227" spans="1:12" ht="24.95" customHeight="1" thickBot="1">
      <c r="A227" s="353" t="s">
        <v>41</v>
      </c>
      <c r="B227" s="347" t="s">
        <v>9</v>
      </c>
      <c r="C227" s="349">
        <v>5447</v>
      </c>
      <c r="D227" s="349">
        <v>5447</v>
      </c>
      <c r="E227" s="349"/>
      <c r="F227" s="349">
        <v>9047</v>
      </c>
      <c r="G227" s="349">
        <f>5550.47+1090.26</f>
        <v>6640.7300000000005</v>
      </c>
      <c r="H227" s="350">
        <f t="shared" si="55"/>
        <v>2406.2699999999995</v>
      </c>
    </row>
    <row r="228" spans="1:12" ht="24.95" customHeight="1" thickTop="1">
      <c r="A228" s="368"/>
      <c r="B228" s="369"/>
      <c r="C228" s="368"/>
      <c r="D228" s="372" t="s">
        <v>446</v>
      </c>
      <c r="E228" s="368"/>
      <c r="F228" s="368"/>
      <c r="G228" s="368"/>
      <c r="H228" s="368"/>
    </row>
    <row r="229" spans="1:12" ht="37.5" customHeight="1" thickBot="1">
      <c r="A229" s="318"/>
      <c r="B229" s="319"/>
      <c r="C229" s="318" t="s">
        <v>922</v>
      </c>
      <c r="D229" s="370"/>
      <c r="E229" s="361"/>
      <c r="F229" s="322"/>
      <c r="G229" s="323"/>
      <c r="H229" s="321" t="s">
        <v>795</v>
      </c>
    </row>
    <row r="230" spans="1:12" ht="20.100000000000001" customHeight="1" thickTop="1" thickBot="1">
      <c r="A230" s="325" t="s">
        <v>923</v>
      </c>
      <c r="B230" s="326"/>
      <c r="C230" s="327"/>
      <c r="D230" s="328" t="s">
        <v>926</v>
      </c>
      <c r="E230" s="329"/>
      <c r="F230" s="330"/>
      <c r="G230" s="331" t="s">
        <v>1348</v>
      </c>
      <c r="H230" s="332"/>
    </row>
    <row r="231" spans="1:12" ht="38.25" customHeight="1" thickTop="1" thickBot="1">
      <c r="A231" s="333" t="s">
        <v>124</v>
      </c>
      <c r="B231" s="334" t="s">
        <v>793</v>
      </c>
      <c r="C231" s="335" t="s">
        <v>1349</v>
      </c>
      <c r="D231" s="335" t="s">
        <v>1266</v>
      </c>
      <c r="E231" s="362" t="s">
        <v>1350</v>
      </c>
      <c r="F231" s="363" t="s">
        <v>1351</v>
      </c>
      <c r="G231" s="338" t="s">
        <v>925</v>
      </c>
      <c r="H231" s="339" t="s">
        <v>927</v>
      </c>
    </row>
    <row r="232" spans="1:12" ht="24.95" customHeight="1" thickTop="1">
      <c r="A232" s="389" t="s">
        <v>209</v>
      </c>
      <c r="B232" s="364"/>
      <c r="C232" s="365"/>
      <c r="D232" s="365"/>
      <c r="E232" s="365"/>
      <c r="F232" s="365"/>
      <c r="G232" s="365"/>
      <c r="H232" s="343"/>
    </row>
    <row r="233" spans="1:12" ht="24.95" customHeight="1">
      <c r="A233" s="351" t="s">
        <v>12</v>
      </c>
      <c r="B233" s="347"/>
      <c r="C233" s="349"/>
      <c r="D233" s="349"/>
      <c r="E233" s="349"/>
      <c r="F233" s="349"/>
      <c r="G233" s="349"/>
      <c r="H233" s="350"/>
    </row>
    <row r="234" spans="1:12" ht="24.95" customHeight="1">
      <c r="A234" s="353" t="s">
        <v>928</v>
      </c>
      <c r="B234" s="347" t="s">
        <v>8</v>
      </c>
      <c r="C234" s="349">
        <v>333510</v>
      </c>
      <c r="D234" s="349">
        <v>323440</v>
      </c>
      <c r="E234" s="349"/>
      <c r="F234" s="349">
        <v>294340</v>
      </c>
      <c r="G234" s="349">
        <v>294242.28999999998</v>
      </c>
      <c r="H234" s="350">
        <f t="shared" ref="H234:H235" si="56">F234-G234</f>
        <v>97.710000000020955</v>
      </c>
    </row>
    <row r="235" spans="1:12" ht="24.95" customHeight="1">
      <c r="A235" s="346" t="s">
        <v>41</v>
      </c>
      <c r="B235" s="347" t="s">
        <v>9</v>
      </c>
      <c r="C235" s="349">
        <v>21338</v>
      </c>
      <c r="D235" s="349">
        <v>21338</v>
      </c>
      <c r="E235" s="349"/>
      <c r="F235" s="349">
        <v>16338</v>
      </c>
      <c r="G235" s="349">
        <f>14394.16+1802.06</f>
        <v>16196.22</v>
      </c>
      <c r="H235" s="350">
        <f t="shared" si="56"/>
        <v>141.78000000000065</v>
      </c>
    </row>
    <row r="236" spans="1:12" ht="24.95" customHeight="1">
      <c r="A236" s="351" t="s">
        <v>826</v>
      </c>
      <c r="B236" s="347"/>
      <c r="C236" s="349"/>
      <c r="D236" s="349"/>
      <c r="E236" s="349"/>
      <c r="F236" s="349"/>
      <c r="G236" s="349"/>
      <c r="H236" s="350"/>
    </row>
    <row r="237" spans="1:12" ht="24.95" customHeight="1">
      <c r="A237" s="353" t="s">
        <v>928</v>
      </c>
      <c r="B237" s="347" t="s">
        <v>8</v>
      </c>
      <c r="C237" s="349">
        <v>2515631</v>
      </c>
      <c r="D237" s="349">
        <v>2262040</v>
      </c>
      <c r="E237" s="349"/>
      <c r="F237" s="349">
        <v>2042140</v>
      </c>
      <c r="G237" s="349">
        <f>450+1946981.03</f>
        <v>1947431.03</v>
      </c>
      <c r="H237" s="350">
        <f t="shared" ref="H237:H238" si="57">F237-G237</f>
        <v>94708.969999999972</v>
      </c>
    </row>
    <row r="238" spans="1:12" ht="24.95" customHeight="1" thickBot="1">
      <c r="A238" s="346" t="s">
        <v>41</v>
      </c>
      <c r="B238" s="347" t="s">
        <v>9</v>
      </c>
      <c r="C238" s="349">
        <v>239200</v>
      </c>
      <c r="D238" s="349">
        <v>293600</v>
      </c>
      <c r="E238" s="349"/>
      <c r="F238" s="349">
        <v>209600</v>
      </c>
      <c r="G238" s="349">
        <f>162513.31+35738.01</f>
        <v>198251.32</v>
      </c>
      <c r="H238" s="350">
        <f t="shared" si="57"/>
        <v>11348.679999999993</v>
      </c>
    </row>
    <row r="239" spans="1:12" ht="24.95" customHeight="1" thickBot="1">
      <c r="A239" s="371" t="s">
        <v>1273</v>
      </c>
      <c r="B239" s="347"/>
      <c r="C239" s="349">
        <f t="shared" ref="C239" si="58">SUM(C215:C238)</f>
        <v>4138135</v>
      </c>
      <c r="D239" s="349">
        <f t="shared" ref="D239:H239" si="59">SUM(D215:D238)</f>
        <v>3915043</v>
      </c>
      <c r="E239" s="349">
        <f t="shared" si="59"/>
        <v>0</v>
      </c>
      <c r="F239" s="349">
        <f t="shared" si="59"/>
        <v>3526768</v>
      </c>
      <c r="G239" s="349">
        <f t="shared" si="59"/>
        <v>3326210.06</v>
      </c>
      <c r="H239" s="350">
        <f t="shared" si="59"/>
        <v>161872.94</v>
      </c>
      <c r="J239" s="324">
        <v>4138135</v>
      </c>
      <c r="K239" s="661">
        <f>J239-C239</f>
        <v>0</v>
      </c>
      <c r="L239" s="448" t="s">
        <v>1523</v>
      </c>
    </row>
    <row r="240" spans="1:12" ht="24.95" customHeight="1">
      <c r="A240" s="351"/>
      <c r="B240" s="347"/>
      <c r="C240" s="349"/>
      <c r="D240" s="349"/>
      <c r="E240" s="349"/>
      <c r="F240" s="349"/>
      <c r="G240" s="349"/>
      <c r="H240" s="350"/>
    </row>
    <row r="241" spans="1:8" ht="24.95" customHeight="1" thickBot="1">
      <c r="A241" s="346"/>
      <c r="B241" s="347"/>
      <c r="C241" s="349"/>
      <c r="D241" s="349"/>
      <c r="E241" s="349"/>
      <c r="F241" s="349"/>
      <c r="G241" s="349"/>
      <c r="H241" s="350"/>
    </row>
    <row r="242" spans="1:8" ht="24.95" customHeight="1" thickTop="1">
      <c r="A242" s="375" t="s">
        <v>14</v>
      </c>
      <c r="B242" s="347"/>
      <c r="C242" s="349"/>
      <c r="D242" s="349"/>
      <c r="E242" s="349"/>
      <c r="F242" s="349"/>
      <c r="G242" s="349"/>
      <c r="H242" s="350"/>
    </row>
    <row r="243" spans="1:8" ht="24.95" customHeight="1">
      <c r="A243" s="351" t="s">
        <v>15</v>
      </c>
      <c r="B243" s="347"/>
      <c r="C243" s="349"/>
      <c r="D243" s="349"/>
      <c r="E243" s="349"/>
      <c r="F243" s="349"/>
      <c r="G243" s="349"/>
      <c r="H243" s="350"/>
    </row>
    <row r="244" spans="1:8" ht="24.95" customHeight="1">
      <c r="A244" s="346" t="s">
        <v>928</v>
      </c>
      <c r="B244" s="347" t="s">
        <v>109</v>
      </c>
      <c r="C244" s="349">
        <v>352130</v>
      </c>
      <c r="D244" s="349">
        <v>347268</v>
      </c>
      <c r="E244" s="349"/>
      <c r="F244" s="349">
        <v>301668</v>
      </c>
      <c r="G244" s="349">
        <v>301553.77</v>
      </c>
      <c r="H244" s="350">
        <f t="shared" ref="H244:H245" si="60">F244-G244</f>
        <v>114.22999999998137</v>
      </c>
    </row>
    <row r="245" spans="1:8" ht="24.95" customHeight="1">
      <c r="A245" s="346" t="s">
        <v>929</v>
      </c>
      <c r="B245" s="347" t="s">
        <v>110</v>
      </c>
      <c r="C245" s="349">
        <v>45600</v>
      </c>
      <c r="D245" s="349">
        <v>45650</v>
      </c>
      <c r="E245" s="349"/>
      <c r="F245" s="349">
        <v>45650</v>
      </c>
      <c r="G245" s="349">
        <f>12927.73+2502.66</f>
        <v>15430.39</v>
      </c>
      <c r="H245" s="350">
        <f t="shared" si="60"/>
        <v>30219.61</v>
      </c>
    </row>
    <row r="246" spans="1:8" ht="24.95" customHeight="1">
      <c r="A246" s="351" t="s">
        <v>827</v>
      </c>
      <c r="B246" s="347"/>
      <c r="C246" s="349"/>
      <c r="D246" s="349"/>
      <c r="E246" s="349"/>
      <c r="F246" s="349"/>
      <c r="G246" s="349"/>
      <c r="H246" s="350"/>
    </row>
    <row r="247" spans="1:8" ht="24.95" customHeight="1">
      <c r="A247" s="346" t="s">
        <v>928</v>
      </c>
      <c r="B247" s="347" t="s">
        <v>111</v>
      </c>
      <c r="C247" s="349">
        <v>56380</v>
      </c>
      <c r="D247" s="349">
        <v>50592</v>
      </c>
      <c r="E247" s="349"/>
      <c r="F247" s="349">
        <v>56092</v>
      </c>
      <c r="G247" s="349">
        <v>55975.81</v>
      </c>
      <c r="H247" s="350">
        <f t="shared" ref="H247:H248" si="61">F247-G247</f>
        <v>116.19000000000233</v>
      </c>
    </row>
    <row r="248" spans="1:8" ht="24.95" customHeight="1" thickBot="1">
      <c r="A248" s="346" t="s">
        <v>929</v>
      </c>
      <c r="B248" s="347" t="s">
        <v>112</v>
      </c>
      <c r="C248" s="349">
        <v>39200</v>
      </c>
      <c r="D248" s="349">
        <v>39200</v>
      </c>
      <c r="E248" s="349"/>
      <c r="F248" s="349">
        <v>42850</v>
      </c>
      <c r="G248" s="349">
        <f>41761.97+980.63</f>
        <v>42742.6</v>
      </c>
      <c r="H248" s="350">
        <f t="shared" si="61"/>
        <v>107.40000000000146</v>
      </c>
    </row>
    <row r="249" spans="1:8" ht="24.95" customHeight="1" thickTop="1">
      <c r="A249" s="368"/>
      <c r="B249" s="369"/>
      <c r="C249" s="368"/>
      <c r="D249" s="372" t="s">
        <v>447</v>
      </c>
      <c r="E249" s="368"/>
      <c r="F249" s="368"/>
      <c r="G249" s="368"/>
      <c r="H249" s="368"/>
    </row>
    <row r="250" spans="1:8" ht="37.5" customHeight="1" thickBot="1">
      <c r="A250" s="318"/>
      <c r="B250" s="319"/>
      <c r="C250" s="318" t="s">
        <v>922</v>
      </c>
      <c r="D250" s="370"/>
      <c r="E250" s="361"/>
      <c r="F250" s="322"/>
      <c r="G250" s="323"/>
      <c r="H250" s="321" t="s">
        <v>795</v>
      </c>
    </row>
    <row r="251" spans="1:8" ht="20.100000000000001" customHeight="1" thickTop="1" thickBot="1">
      <c r="A251" s="325" t="s">
        <v>923</v>
      </c>
      <c r="B251" s="326"/>
      <c r="C251" s="327"/>
      <c r="D251" s="328" t="s">
        <v>926</v>
      </c>
      <c r="E251" s="329"/>
      <c r="F251" s="330"/>
      <c r="G251" s="331" t="s">
        <v>1348</v>
      </c>
      <c r="H251" s="332"/>
    </row>
    <row r="252" spans="1:8" ht="38.25" customHeight="1" thickTop="1" thickBot="1">
      <c r="A252" s="333" t="s">
        <v>124</v>
      </c>
      <c r="B252" s="334" t="s">
        <v>793</v>
      </c>
      <c r="C252" s="335" t="s">
        <v>1349</v>
      </c>
      <c r="D252" s="335" t="s">
        <v>1266</v>
      </c>
      <c r="E252" s="362" t="s">
        <v>1350</v>
      </c>
      <c r="F252" s="363" t="s">
        <v>1351</v>
      </c>
      <c r="G252" s="338" t="s">
        <v>925</v>
      </c>
      <c r="H252" s="339" t="s">
        <v>927</v>
      </c>
    </row>
    <row r="253" spans="1:8" ht="24.95" customHeight="1" thickTop="1">
      <c r="A253" s="375" t="s">
        <v>115</v>
      </c>
      <c r="B253" s="364"/>
      <c r="C253" s="365"/>
      <c r="D253" s="365"/>
      <c r="E253" s="365"/>
      <c r="F253" s="365"/>
      <c r="G253" s="365"/>
      <c r="H253" s="343"/>
    </row>
    <row r="254" spans="1:8" ht="24.95" customHeight="1">
      <c r="A254" s="351"/>
      <c r="B254" s="347"/>
      <c r="C254" s="349"/>
      <c r="D254" s="349"/>
      <c r="E254" s="349"/>
      <c r="F254" s="349"/>
      <c r="G254" s="349"/>
      <c r="H254" s="350"/>
    </row>
    <row r="255" spans="1:8" ht="24.95" customHeight="1">
      <c r="A255" s="351" t="s">
        <v>16</v>
      </c>
      <c r="B255" s="347"/>
      <c r="C255" s="349"/>
      <c r="D255" s="349"/>
      <c r="E255" s="349"/>
      <c r="F255" s="349"/>
      <c r="G255" s="349"/>
      <c r="H255" s="350"/>
    </row>
    <row r="256" spans="1:8" ht="24.95" customHeight="1">
      <c r="A256" s="353" t="s">
        <v>928</v>
      </c>
      <c r="B256" s="347" t="s">
        <v>113</v>
      </c>
      <c r="C256" s="349">
        <v>212288</v>
      </c>
      <c r="D256" s="349">
        <v>112090</v>
      </c>
      <c r="E256" s="349"/>
      <c r="F256" s="349">
        <v>100890</v>
      </c>
      <c r="G256" s="349">
        <v>100866.18</v>
      </c>
      <c r="H256" s="350">
        <f t="shared" ref="H256:H257" si="62">F256-G256</f>
        <v>23.820000000006985</v>
      </c>
    </row>
    <row r="257" spans="1:8" ht="24.95" customHeight="1">
      <c r="A257" s="353" t="s">
        <v>41</v>
      </c>
      <c r="B257" s="347" t="s">
        <v>114</v>
      </c>
      <c r="C257" s="349">
        <v>118421</v>
      </c>
      <c r="D257" s="349">
        <v>118421</v>
      </c>
      <c r="E257" s="349"/>
      <c r="F257" s="349">
        <v>116421</v>
      </c>
      <c r="G257" s="349">
        <f>65508.6+48466.06</f>
        <v>113974.66</v>
      </c>
      <c r="H257" s="350">
        <f t="shared" si="62"/>
        <v>2446.3399999999965</v>
      </c>
    </row>
    <row r="258" spans="1:8" ht="24.95" customHeight="1">
      <c r="A258" s="351" t="s">
        <v>17</v>
      </c>
      <c r="B258" s="347"/>
      <c r="C258" s="349"/>
      <c r="D258" s="349"/>
      <c r="E258" s="349"/>
      <c r="F258" s="349"/>
      <c r="G258" s="349"/>
      <c r="H258" s="350"/>
    </row>
    <row r="259" spans="1:8" ht="24.95" customHeight="1">
      <c r="A259" s="346" t="s">
        <v>949</v>
      </c>
      <c r="B259" s="347" t="s">
        <v>1056</v>
      </c>
      <c r="C259" s="349">
        <v>51308</v>
      </c>
      <c r="D259" s="349">
        <v>50556</v>
      </c>
      <c r="E259" s="349"/>
      <c r="F259" s="349">
        <v>16156</v>
      </c>
      <c r="G259" s="349">
        <v>15809.62</v>
      </c>
      <c r="H259" s="350">
        <f t="shared" ref="H259:H260" si="63">F259-G259</f>
        <v>346.3799999999992</v>
      </c>
    </row>
    <row r="260" spans="1:8" ht="24.95" customHeight="1">
      <c r="A260" s="346" t="s">
        <v>929</v>
      </c>
      <c r="B260" s="347" t="s">
        <v>4</v>
      </c>
      <c r="C260" s="349">
        <v>30100</v>
      </c>
      <c r="D260" s="349">
        <v>30100</v>
      </c>
      <c r="E260" s="349"/>
      <c r="F260" s="349">
        <v>31800</v>
      </c>
      <c r="G260" s="349">
        <f>30279.64+1297.63</f>
        <v>31577.27</v>
      </c>
      <c r="H260" s="350">
        <f t="shared" si="63"/>
        <v>222.72999999999956</v>
      </c>
    </row>
    <row r="261" spans="1:8" ht="24.95" customHeight="1">
      <c r="A261" s="351" t="s">
        <v>116</v>
      </c>
      <c r="B261" s="347"/>
      <c r="C261" s="349"/>
      <c r="D261" s="349"/>
      <c r="E261" s="349"/>
      <c r="F261" s="349"/>
      <c r="G261" s="349"/>
      <c r="H261" s="350"/>
    </row>
    <row r="262" spans="1:8" ht="24.95" customHeight="1">
      <c r="A262" s="346" t="s">
        <v>929</v>
      </c>
      <c r="B262" s="347" t="s">
        <v>1048</v>
      </c>
      <c r="C262" s="349">
        <v>27000</v>
      </c>
      <c r="D262" s="349">
        <v>27000</v>
      </c>
      <c r="E262" s="349"/>
      <c r="F262" s="349">
        <v>17000</v>
      </c>
      <c r="G262" s="349">
        <f>8086.96+2083.96</f>
        <v>10170.92</v>
      </c>
      <c r="H262" s="350">
        <f t="shared" ref="H262" si="64">F262-G262</f>
        <v>6829.08</v>
      </c>
    </row>
    <row r="263" spans="1:8" ht="24.95" customHeight="1">
      <c r="A263" s="351" t="s">
        <v>117</v>
      </c>
      <c r="B263" s="347"/>
      <c r="C263" s="349"/>
      <c r="D263" s="349"/>
      <c r="E263" s="349"/>
      <c r="F263" s="349"/>
      <c r="G263" s="349"/>
      <c r="H263" s="350"/>
    </row>
    <row r="264" spans="1:8" ht="24.95" customHeight="1">
      <c r="A264" s="346" t="s">
        <v>928</v>
      </c>
      <c r="B264" s="347" t="s">
        <v>118</v>
      </c>
      <c r="C264" s="349">
        <v>175435</v>
      </c>
      <c r="D264" s="349">
        <v>124943</v>
      </c>
      <c r="E264" s="349"/>
      <c r="F264" s="349">
        <v>112843</v>
      </c>
      <c r="G264" s="349">
        <v>112318.12</v>
      </c>
      <c r="H264" s="350">
        <f t="shared" ref="H264:H265" si="65">F264-G264</f>
        <v>524.88000000000466</v>
      </c>
    </row>
    <row r="265" spans="1:8" ht="24.95" customHeight="1">
      <c r="A265" s="346" t="s">
        <v>929</v>
      </c>
      <c r="B265" s="347" t="s">
        <v>119</v>
      </c>
      <c r="C265" s="349">
        <v>14500</v>
      </c>
      <c r="D265" s="349">
        <v>14500</v>
      </c>
      <c r="E265" s="349"/>
      <c r="F265" s="349">
        <v>14500</v>
      </c>
      <c r="G265" s="349">
        <f>8854.24+769.14</f>
        <v>9623.3799999999992</v>
      </c>
      <c r="H265" s="350">
        <f t="shared" si="65"/>
        <v>4876.6200000000008</v>
      </c>
    </row>
    <row r="266" spans="1:8" ht="24.95" customHeight="1">
      <c r="A266" s="390" t="s">
        <v>823</v>
      </c>
      <c r="B266" s="341"/>
      <c r="C266" s="349"/>
      <c r="D266" s="349"/>
      <c r="E266" s="349"/>
      <c r="F266" s="349"/>
      <c r="G266" s="349"/>
      <c r="H266" s="350"/>
    </row>
    <row r="267" spans="1:8" ht="24.95" customHeight="1">
      <c r="A267" s="353" t="s">
        <v>928</v>
      </c>
      <c r="B267" s="347" t="s">
        <v>166</v>
      </c>
      <c r="C267" s="349">
        <v>1949367</v>
      </c>
      <c r="D267" s="349">
        <v>1508617</v>
      </c>
      <c r="E267" s="349"/>
      <c r="F267" s="349">
        <v>1425042.3</v>
      </c>
      <c r="G267" s="349">
        <v>1424958.12</v>
      </c>
      <c r="H267" s="350">
        <f t="shared" ref="H267:H268" si="66">F267-G267</f>
        <v>84.179999999934807</v>
      </c>
    </row>
    <row r="268" spans="1:8" ht="24.95" customHeight="1">
      <c r="A268" s="346" t="s">
        <v>929</v>
      </c>
      <c r="B268" s="347" t="s">
        <v>167</v>
      </c>
      <c r="C268" s="349">
        <v>174340</v>
      </c>
      <c r="D268" s="349">
        <v>174340</v>
      </c>
      <c r="E268" s="349"/>
      <c r="F268" s="349">
        <v>149340</v>
      </c>
      <c r="G268" s="349">
        <f>140115.69+4432.6</f>
        <v>144548.29</v>
      </c>
      <c r="H268" s="350">
        <f t="shared" si="66"/>
        <v>4791.7099999999919</v>
      </c>
    </row>
    <row r="269" spans="1:8" ht="24.95" customHeight="1" thickBot="1">
      <c r="A269" s="371" t="s">
        <v>1274</v>
      </c>
      <c r="B269" s="347"/>
      <c r="C269" s="349">
        <f t="shared" ref="C269" si="67">SUM(C243:C268)</f>
        <v>3246069</v>
      </c>
      <c r="D269" s="349">
        <f t="shared" ref="D269:H269" si="68">SUM(D243:D268)</f>
        <v>2643277</v>
      </c>
      <c r="E269" s="349">
        <f t="shared" si="68"/>
        <v>0</v>
      </c>
      <c r="F269" s="349">
        <f t="shared" si="68"/>
        <v>2430252.2999999998</v>
      </c>
      <c r="G269" s="349">
        <f t="shared" si="68"/>
        <v>2379549.1300000004</v>
      </c>
      <c r="H269" s="349">
        <f t="shared" si="68"/>
        <v>50703.169999999918</v>
      </c>
    </row>
    <row r="270" spans="1:8" ht="24.95" customHeight="1" thickTop="1">
      <c r="A270" s="368"/>
      <c r="B270" s="369"/>
      <c r="C270" s="368"/>
      <c r="D270" s="372" t="s">
        <v>448</v>
      </c>
      <c r="E270" s="368"/>
      <c r="F270" s="368"/>
      <c r="G270" s="368"/>
      <c r="H270" s="368"/>
    </row>
    <row r="271" spans="1:8" ht="37.5" customHeight="1" thickBot="1">
      <c r="A271" s="318"/>
      <c r="B271" s="319"/>
      <c r="C271" s="318" t="s">
        <v>922</v>
      </c>
      <c r="D271" s="370"/>
      <c r="E271" s="361"/>
      <c r="F271" s="322"/>
      <c r="G271" s="323"/>
      <c r="H271" s="321" t="s">
        <v>795</v>
      </c>
    </row>
    <row r="272" spans="1:8" ht="20.100000000000001" customHeight="1" thickTop="1" thickBot="1">
      <c r="A272" s="325" t="s">
        <v>923</v>
      </c>
      <c r="B272" s="326"/>
      <c r="C272" s="327"/>
      <c r="D272" s="328" t="s">
        <v>926</v>
      </c>
      <c r="E272" s="329"/>
      <c r="F272" s="330"/>
      <c r="G272" s="331" t="s">
        <v>1348</v>
      </c>
      <c r="H272" s="332"/>
    </row>
    <row r="273" spans="1:8" ht="38.25" customHeight="1" thickTop="1" thickBot="1">
      <c r="A273" s="333" t="s">
        <v>124</v>
      </c>
      <c r="B273" s="334" t="s">
        <v>793</v>
      </c>
      <c r="C273" s="335" t="s">
        <v>1349</v>
      </c>
      <c r="D273" s="335" t="s">
        <v>1266</v>
      </c>
      <c r="E273" s="362" t="s">
        <v>1350</v>
      </c>
      <c r="F273" s="363" t="s">
        <v>1351</v>
      </c>
      <c r="G273" s="338" t="s">
        <v>925</v>
      </c>
      <c r="H273" s="339" t="s">
        <v>927</v>
      </c>
    </row>
    <row r="274" spans="1:8" ht="24.75" customHeight="1" thickTop="1">
      <c r="A274" s="391" t="s">
        <v>120</v>
      </c>
      <c r="B274" s="392" t="s">
        <v>122</v>
      </c>
      <c r="C274" s="393" t="s">
        <v>123</v>
      </c>
      <c r="D274" s="393" t="s">
        <v>123</v>
      </c>
      <c r="E274" s="393" t="s">
        <v>123</v>
      </c>
      <c r="F274" s="393" t="s">
        <v>123</v>
      </c>
      <c r="G274" s="393" t="s">
        <v>123</v>
      </c>
      <c r="H274" s="394" t="s">
        <v>123</v>
      </c>
    </row>
    <row r="275" spans="1:8" ht="24.95" customHeight="1">
      <c r="A275" s="395" t="s">
        <v>121</v>
      </c>
      <c r="B275" s="396" t="s">
        <v>122</v>
      </c>
      <c r="C275" s="397" t="s">
        <v>123</v>
      </c>
      <c r="D275" s="397" t="s">
        <v>123</v>
      </c>
      <c r="E275" s="397" t="s">
        <v>123</v>
      </c>
      <c r="F275" s="397" t="s">
        <v>123</v>
      </c>
      <c r="G275" s="397" t="s">
        <v>123</v>
      </c>
      <c r="H275" s="398" t="s">
        <v>123</v>
      </c>
    </row>
    <row r="276" spans="1:8" ht="24.95" customHeight="1">
      <c r="A276" s="373"/>
      <c r="B276" s="347"/>
      <c r="C276" s="349"/>
      <c r="D276" s="349"/>
      <c r="E276" s="349"/>
      <c r="F276" s="349"/>
      <c r="G276" s="349"/>
      <c r="H276" s="350"/>
    </row>
    <row r="277" spans="1:8" ht="24.95" customHeight="1">
      <c r="A277" s="351" t="s">
        <v>125</v>
      </c>
      <c r="B277" s="347"/>
      <c r="C277" s="349"/>
      <c r="D277" s="349"/>
      <c r="E277" s="349"/>
      <c r="F277" s="349"/>
      <c r="G277" s="349"/>
      <c r="H277" s="350"/>
    </row>
    <row r="278" spans="1:8" ht="24.95" customHeight="1">
      <c r="A278" s="353" t="s">
        <v>928</v>
      </c>
      <c r="B278" s="347" t="s">
        <v>5</v>
      </c>
      <c r="C278" s="349">
        <v>1198222</v>
      </c>
      <c r="D278" s="349">
        <v>1198222</v>
      </c>
      <c r="E278" s="349"/>
      <c r="F278" s="349">
        <f>916622-11000</f>
        <v>905622</v>
      </c>
      <c r="G278" s="349">
        <f>911166.16-11000+5455.84</f>
        <v>905622</v>
      </c>
      <c r="H278" s="350">
        <f t="shared" ref="H278:H279" si="69">F278-G278</f>
        <v>0</v>
      </c>
    </row>
    <row r="279" spans="1:8" ht="24.95" customHeight="1">
      <c r="A279" s="346" t="s">
        <v>929</v>
      </c>
      <c r="B279" s="347" t="s">
        <v>6</v>
      </c>
      <c r="C279" s="349">
        <v>110473</v>
      </c>
      <c r="D279" s="349">
        <v>110473</v>
      </c>
      <c r="E279" s="349"/>
      <c r="F279" s="349">
        <f>1097862-987389</f>
        <v>110473</v>
      </c>
      <c r="G279" s="349">
        <v>110473</v>
      </c>
      <c r="H279" s="350">
        <f t="shared" si="69"/>
        <v>0</v>
      </c>
    </row>
    <row r="280" spans="1:8" ht="24.95" customHeight="1">
      <c r="A280" s="373"/>
      <c r="B280" s="347"/>
      <c r="C280" s="349"/>
      <c r="D280" s="349"/>
      <c r="E280" s="349"/>
      <c r="F280" s="349"/>
      <c r="G280" s="349"/>
      <c r="H280" s="350"/>
    </row>
    <row r="281" spans="1:8" ht="24.95" customHeight="1">
      <c r="A281" s="373"/>
      <c r="B281" s="347"/>
      <c r="C281" s="349"/>
      <c r="D281" s="349"/>
      <c r="E281" s="349"/>
      <c r="F281" s="349"/>
      <c r="G281" s="349"/>
      <c r="H281" s="350"/>
    </row>
    <row r="282" spans="1:8" ht="24.95" customHeight="1">
      <c r="A282" s="373"/>
      <c r="B282" s="347"/>
      <c r="C282" s="349"/>
      <c r="D282" s="349"/>
      <c r="E282" s="349"/>
      <c r="F282" s="349"/>
      <c r="G282" s="349"/>
      <c r="H282" s="350"/>
    </row>
    <row r="283" spans="1:8" ht="24.95" customHeight="1">
      <c r="A283" s="373"/>
      <c r="B283" s="347"/>
      <c r="C283" s="349"/>
      <c r="D283" s="349"/>
      <c r="E283" s="349"/>
      <c r="F283" s="349"/>
      <c r="G283" s="349"/>
      <c r="H283" s="350"/>
    </row>
    <row r="284" spans="1:8" ht="24.95" customHeight="1">
      <c r="A284" s="373"/>
      <c r="B284" s="347"/>
      <c r="C284" s="349"/>
      <c r="D284" s="349"/>
      <c r="E284" s="349"/>
      <c r="F284" s="349"/>
      <c r="G284" s="349"/>
      <c r="H284" s="350"/>
    </row>
    <row r="285" spans="1:8" ht="24.95" customHeight="1">
      <c r="A285" s="373"/>
      <c r="B285" s="347"/>
      <c r="C285" s="349"/>
      <c r="D285" s="349"/>
      <c r="E285" s="349"/>
      <c r="F285" s="349"/>
      <c r="G285" s="349"/>
      <c r="H285" s="350"/>
    </row>
    <row r="286" spans="1:8" ht="24.95" customHeight="1">
      <c r="A286" s="373"/>
      <c r="B286" s="347"/>
      <c r="C286" s="349"/>
      <c r="D286" s="349"/>
      <c r="E286" s="349"/>
      <c r="F286" s="349"/>
      <c r="G286" s="349"/>
      <c r="H286" s="350"/>
    </row>
    <row r="287" spans="1:8" ht="24.95" customHeight="1">
      <c r="A287" s="373"/>
      <c r="B287" s="347"/>
      <c r="C287" s="349"/>
      <c r="D287" s="349"/>
      <c r="E287" s="349"/>
      <c r="F287" s="349"/>
      <c r="G287" s="349"/>
      <c r="H287" s="350"/>
    </row>
    <row r="288" spans="1:8" ht="24.95" customHeight="1">
      <c r="A288" s="373"/>
      <c r="B288" s="347"/>
      <c r="C288" s="349"/>
      <c r="D288" s="349"/>
      <c r="E288" s="349"/>
      <c r="F288" s="349"/>
      <c r="G288" s="349"/>
      <c r="H288" s="350"/>
    </row>
    <row r="289" spans="1:8" ht="24.95" customHeight="1">
      <c r="A289" s="383" t="s">
        <v>1275</v>
      </c>
      <c r="B289" s="347"/>
      <c r="C289" s="349">
        <f t="shared" ref="C289:H289" si="70">SUM(C278:C288)</f>
        <v>1308695</v>
      </c>
      <c r="D289" s="349">
        <f t="shared" si="70"/>
        <v>1308695</v>
      </c>
      <c r="E289" s="349">
        <f t="shared" si="70"/>
        <v>0</v>
      </c>
      <c r="F289" s="349">
        <f t="shared" si="70"/>
        <v>1016095</v>
      </c>
      <c r="G289" s="349">
        <f t="shared" si="70"/>
        <v>1016095</v>
      </c>
      <c r="H289" s="350">
        <f t="shared" si="70"/>
        <v>0</v>
      </c>
    </row>
    <row r="290" spans="1:8" ht="24.95" customHeight="1" thickBot="1">
      <c r="A290" s="373"/>
      <c r="B290" s="347"/>
      <c r="C290" s="349"/>
      <c r="D290" s="349"/>
      <c r="E290" s="349"/>
      <c r="F290" s="349"/>
      <c r="G290" s="349"/>
      <c r="H290" s="350"/>
    </row>
    <row r="291" spans="1:8" ht="24.95" customHeight="1" thickTop="1">
      <c r="A291" s="368"/>
      <c r="B291" s="369"/>
      <c r="C291" s="368"/>
      <c r="D291" s="372" t="s">
        <v>439</v>
      </c>
      <c r="E291" s="368"/>
      <c r="F291" s="368"/>
      <c r="G291" s="368"/>
      <c r="H291" s="368"/>
    </row>
    <row r="292" spans="1:8" ht="37.5" customHeight="1" thickBot="1">
      <c r="A292" s="318"/>
      <c r="B292" s="319"/>
      <c r="C292" s="318" t="s">
        <v>922</v>
      </c>
      <c r="D292" s="370"/>
      <c r="E292" s="361"/>
      <c r="F292" s="322"/>
      <c r="G292" s="323"/>
      <c r="H292" s="321" t="s">
        <v>795</v>
      </c>
    </row>
    <row r="293" spans="1:8" ht="20.100000000000001" customHeight="1" thickTop="1" thickBot="1">
      <c r="A293" s="325" t="s">
        <v>923</v>
      </c>
      <c r="B293" s="326"/>
      <c r="C293" s="327"/>
      <c r="D293" s="328" t="s">
        <v>926</v>
      </c>
      <c r="E293" s="329"/>
      <c r="F293" s="330"/>
      <c r="G293" s="331" t="s">
        <v>1348</v>
      </c>
      <c r="H293" s="332"/>
    </row>
    <row r="294" spans="1:8" ht="38.25" customHeight="1" thickTop="1" thickBot="1">
      <c r="A294" s="333" t="s">
        <v>124</v>
      </c>
      <c r="B294" s="334" t="s">
        <v>793</v>
      </c>
      <c r="C294" s="335" t="s">
        <v>1349</v>
      </c>
      <c r="D294" s="335" t="s">
        <v>1266</v>
      </c>
      <c r="E294" s="362" t="s">
        <v>1350</v>
      </c>
      <c r="F294" s="363" t="s">
        <v>1351</v>
      </c>
      <c r="G294" s="338" t="s">
        <v>925</v>
      </c>
      <c r="H294" s="339" t="s">
        <v>927</v>
      </c>
    </row>
    <row r="295" spans="1:8" ht="24.95" customHeight="1" thickTop="1">
      <c r="A295" s="375" t="s">
        <v>126</v>
      </c>
      <c r="B295" s="364"/>
      <c r="C295" s="365"/>
      <c r="D295" s="365"/>
      <c r="E295" s="365"/>
      <c r="F295" s="365"/>
      <c r="G295" s="365"/>
      <c r="H295" s="343"/>
    </row>
    <row r="296" spans="1:8" ht="24.95" customHeight="1">
      <c r="A296" s="346" t="s">
        <v>127</v>
      </c>
      <c r="B296" s="347"/>
      <c r="C296" s="349"/>
      <c r="D296" s="349"/>
      <c r="E296" s="349"/>
      <c r="F296" s="349"/>
      <c r="G296" s="349"/>
      <c r="H296" s="350"/>
    </row>
    <row r="297" spans="1:8" ht="24.95" customHeight="1">
      <c r="A297" s="399" t="s">
        <v>128</v>
      </c>
      <c r="B297" s="347"/>
      <c r="C297" s="349"/>
      <c r="D297" s="349"/>
      <c r="E297" s="349"/>
      <c r="F297" s="349"/>
      <c r="G297" s="349"/>
      <c r="H297" s="350">
        <f t="shared" ref="H297" si="71">F297-G297</f>
        <v>0</v>
      </c>
    </row>
    <row r="298" spans="1:8" ht="24.95" customHeight="1">
      <c r="A298" s="346"/>
      <c r="B298" s="347"/>
      <c r="C298" s="349"/>
      <c r="D298" s="349"/>
      <c r="E298" s="349"/>
      <c r="F298" s="349"/>
      <c r="G298" s="349"/>
      <c r="H298" s="350"/>
    </row>
    <row r="299" spans="1:8" ht="24.95" customHeight="1">
      <c r="A299" s="346" t="s">
        <v>129</v>
      </c>
      <c r="B299" s="347" t="s">
        <v>135</v>
      </c>
      <c r="C299" s="349">
        <v>1115000</v>
      </c>
      <c r="D299" s="349">
        <v>1115000</v>
      </c>
      <c r="E299" s="349"/>
      <c r="F299" s="349">
        <v>1075000</v>
      </c>
      <c r="G299" s="349">
        <f>644476.3+842.7</f>
        <v>645319</v>
      </c>
      <c r="H299" s="350">
        <f t="shared" ref="H299:H305" si="72">F299-G299</f>
        <v>429681</v>
      </c>
    </row>
    <row r="300" spans="1:8" ht="24.95" customHeight="1">
      <c r="A300" s="346" t="s">
        <v>403</v>
      </c>
      <c r="B300" s="347" t="s">
        <v>136</v>
      </c>
      <c r="C300" s="349">
        <v>2722000</v>
      </c>
      <c r="D300" s="349">
        <v>2722000</v>
      </c>
      <c r="E300" s="349"/>
      <c r="F300" s="349">
        <v>2572000</v>
      </c>
      <c r="G300" s="349">
        <f>2503915.9+32.01</f>
        <v>2503947.9099999997</v>
      </c>
      <c r="H300" s="350">
        <f t="shared" si="72"/>
        <v>68052.090000000317</v>
      </c>
    </row>
    <row r="301" spans="1:8" ht="24.95" customHeight="1">
      <c r="A301" s="346" t="s">
        <v>130</v>
      </c>
      <c r="B301" s="347" t="s">
        <v>137</v>
      </c>
      <c r="C301" s="349">
        <v>468100</v>
      </c>
      <c r="D301" s="349">
        <v>468100</v>
      </c>
      <c r="E301" s="349"/>
      <c r="F301" s="349">
        <v>438100</v>
      </c>
      <c r="G301" s="349">
        <f>340342.91+26756.31</f>
        <v>367099.22</v>
      </c>
      <c r="H301" s="350">
        <f t="shared" si="72"/>
        <v>71000.780000000028</v>
      </c>
    </row>
    <row r="302" spans="1:8" ht="24.95" customHeight="1">
      <c r="A302" s="346" t="s">
        <v>29</v>
      </c>
      <c r="B302" s="347" t="s">
        <v>138</v>
      </c>
      <c r="C302" s="349">
        <v>507000</v>
      </c>
      <c r="D302" s="349">
        <v>507000</v>
      </c>
      <c r="E302" s="349"/>
      <c r="F302" s="349">
        <v>357000</v>
      </c>
      <c r="G302" s="349">
        <f>299057.07+671.93</f>
        <v>299729</v>
      </c>
      <c r="H302" s="350">
        <f t="shared" si="72"/>
        <v>57271</v>
      </c>
    </row>
    <row r="303" spans="1:8" ht="24.95" customHeight="1">
      <c r="A303" s="346" t="s">
        <v>131</v>
      </c>
      <c r="B303" s="347" t="s">
        <v>139</v>
      </c>
      <c r="C303" s="349">
        <v>19000</v>
      </c>
      <c r="D303" s="349">
        <v>19000</v>
      </c>
      <c r="E303" s="349"/>
      <c r="F303" s="349">
        <v>9000</v>
      </c>
      <c r="G303" s="349">
        <f>4192.92+1807.08</f>
        <v>6000</v>
      </c>
      <c r="H303" s="350">
        <f t="shared" si="72"/>
        <v>3000</v>
      </c>
    </row>
    <row r="304" spans="1:8" ht="24.95" customHeight="1">
      <c r="A304" s="353" t="s">
        <v>1276</v>
      </c>
      <c r="B304" s="347" t="s">
        <v>140</v>
      </c>
      <c r="C304" s="349">
        <v>1312500</v>
      </c>
      <c r="D304" s="349">
        <v>1312500</v>
      </c>
      <c r="E304" s="349"/>
      <c r="F304" s="349">
        <v>1012500</v>
      </c>
      <c r="G304" s="349">
        <f>878285.5+184.5</f>
        <v>878470</v>
      </c>
      <c r="H304" s="350">
        <f t="shared" si="72"/>
        <v>134030</v>
      </c>
    </row>
    <row r="305" spans="1:8" ht="24.95" customHeight="1">
      <c r="A305" s="353" t="s">
        <v>1175</v>
      </c>
      <c r="B305" s="347" t="s">
        <v>1050</v>
      </c>
      <c r="C305" s="349">
        <v>7505867</v>
      </c>
      <c r="D305" s="349">
        <v>7505867</v>
      </c>
      <c r="E305" s="349"/>
      <c r="F305" s="349">
        <v>7135867</v>
      </c>
      <c r="G305" s="349">
        <f>6891874.41+15170.23</f>
        <v>6907044.6400000006</v>
      </c>
      <c r="H305" s="350">
        <f t="shared" si="72"/>
        <v>228822.3599999994</v>
      </c>
    </row>
    <row r="306" spans="1:8" ht="24.95" customHeight="1">
      <c r="A306" s="373"/>
      <c r="B306" s="347"/>
      <c r="C306" s="349"/>
      <c r="D306" s="349"/>
      <c r="E306" s="349"/>
      <c r="F306" s="349"/>
      <c r="G306" s="349"/>
      <c r="H306" s="350"/>
    </row>
    <row r="307" spans="1:8" ht="24.95" customHeight="1">
      <c r="A307" s="373"/>
      <c r="B307" s="347"/>
      <c r="C307" s="349"/>
      <c r="D307" s="349"/>
      <c r="E307" s="349"/>
      <c r="F307" s="349"/>
      <c r="G307" s="349"/>
      <c r="H307" s="350"/>
    </row>
    <row r="308" spans="1:8" ht="24.95" customHeight="1">
      <c r="A308" s="373"/>
      <c r="B308" s="347"/>
      <c r="C308" s="349"/>
      <c r="D308" s="349"/>
      <c r="E308" s="349"/>
      <c r="F308" s="349"/>
      <c r="G308" s="349"/>
      <c r="H308" s="350"/>
    </row>
    <row r="309" spans="1:8" ht="24.95" customHeight="1">
      <c r="A309" s="373"/>
      <c r="B309" s="347"/>
      <c r="C309" s="349"/>
      <c r="D309" s="349"/>
      <c r="E309" s="349"/>
      <c r="F309" s="349"/>
      <c r="G309" s="349"/>
      <c r="H309" s="350"/>
    </row>
    <row r="310" spans="1:8" ht="24.95" customHeight="1">
      <c r="A310" s="373"/>
      <c r="B310" s="347"/>
      <c r="C310" s="349"/>
      <c r="D310" s="349"/>
      <c r="E310" s="349"/>
      <c r="F310" s="349"/>
      <c r="G310" s="349"/>
      <c r="H310" s="350"/>
    </row>
    <row r="311" spans="1:8" ht="24.95" customHeight="1" thickBot="1">
      <c r="A311" s="400"/>
      <c r="B311" s="355"/>
      <c r="C311" s="356"/>
      <c r="D311" s="356"/>
      <c r="E311" s="356"/>
      <c r="F311" s="356"/>
      <c r="G311" s="356"/>
      <c r="H311" s="357"/>
    </row>
    <row r="312" spans="1:8" ht="24.95" customHeight="1" thickTop="1">
      <c r="B312" s="324"/>
      <c r="D312" s="372" t="s">
        <v>449</v>
      </c>
    </row>
    <row r="313" spans="1:8" ht="37.5" customHeight="1" thickBot="1">
      <c r="A313" s="318"/>
      <c r="B313" s="319"/>
      <c r="C313" s="318" t="s">
        <v>922</v>
      </c>
      <c r="D313" s="370"/>
      <c r="E313" s="361"/>
      <c r="F313" s="322"/>
      <c r="G313" s="323"/>
      <c r="H313" s="321" t="s">
        <v>795</v>
      </c>
    </row>
    <row r="314" spans="1:8" ht="20.100000000000001" customHeight="1" thickTop="1" thickBot="1">
      <c r="A314" s="325" t="s">
        <v>923</v>
      </c>
      <c r="B314" s="326"/>
      <c r="C314" s="327"/>
      <c r="D314" s="328" t="s">
        <v>926</v>
      </c>
      <c r="E314" s="329"/>
      <c r="F314" s="330"/>
      <c r="G314" s="331" t="s">
        <v>1348</v>
      </c>
      <c r="H314" s="332"/>
    </row>
    <row r="315" spans="1:8" ht="38.25" customHeight="1" thickTop="1" thickBot="1">
      <c r="A315" s="333" t="s">
        <v>124</v>
      </c>
      <c r="B315" s="334" t="s">
        <v>793</v>
      </c>
      <c r="C315" s="335" t="s">
        <v>1349</v>
      </c>
      <c r="D315" s="335" t="s">
        <v>1266</v>
      </c>
      <c r="E315" s="362" t="s">
        <v>1350</v>
      </c>
      <c r="F315" s="363" t="s">
        <v>1351</v>
      </c>
      <c r="G315" s="338" t="s">
        <v>925</v>
      </c>
      <c r="H315" s="339" t="s">
        <v>927</v>
      </c>
    </row>
    <row r="316" spans="1:8" ht="24.95" customHeight="1" thickTop="1">
      <c r="A316" s="367" t="s">
        <v>1207</v>
      </c>
      <c r="B316" s="347"/>
      <c r="C316" s="349">
        <f t="shared" ref="C316:H316" si="73">SUM(C296:C311)</f>
        <v>13649467</v>
      </c>
      <c r="D316" s="349">
        <f t="shared" si="73"/>
        <v>13649467</v>
      </c>
      <c r="E316" s="349">
        <f t="shared" si="73"/>
        <v>0</v>
      </c>
      <c r="F316" s="349">
        <f t="shared" si="73"/>
        <v>12599467</v>
      </c>
      <c r="G316" s="349">
        <f t="shared" si="73"/>
        <v>11607609.77</v>
      </c>
      <c r="H316" s="343">
        <f t="shared" si="73"/>
        <v>991857.22999999975</v>
      </c>
    </row>
    <row r="317" spans="1:8" ht="24.95" customHeight="1">
      <c r="A317" s="401" t="s">
        <v>1277</v>
      </c>
      <c r="B317" s="347" t="s">
        <v>55</v>
      </c>
      <c r="C317" s="349">
        <f t="shared" ref="C317:H317" si="74">SUM(C33,C57,C92,C99,C125,C185,C208,C239,C269,C289,C316)</f>
        <v>193823404.852</v>
      </c>
      <c r="D317" s="349">
        <f t="shared" si="74"/>
        <v>175598141</v>
      </c>
      <c r="E317" s="349">
        <f t="shared" si="74"/>
        <v>3955000</v>
      </c>
      <c r="F317" s="349">
        <f t="shared" si="74"/>
        <v>179177380.30000001</v>
      </c>
      <c r="G317" s="349">
        <f t="shared" si="74"/>
        <v>174423374.94</v>
      </c>
      <c r="H317" s="350">
        <f t="shared" si="74"/>
        <v>4715320.359999991</v>
      </c>
    </row>
    <row r="318" spans="1:8" ht="24.95" customHeight="1">
      <c r="A318" s="367" t="s">
        <v>133</v>
      </c>
      <c r="B318" s="347" t="s">
        <v>141</v>
      </c>
      <c r="C318" s="349">
        <v>5000</v>
      </c>
      <c r="D318" s="349">
        <v>5000</v>
      </c>
      <c r="E318" s="402" t="s">
        <v>123</v>
      </c>
      <c r="F318" s="349">
        <v>5000</v>
      </c>
      <c r="G318" s="349">
        <v>2820</v>
      </c>
      <c r="H318" s="350">
        <f t="shared" ref="H318" si="75">F318-G318</f>
        <v>2180</v>
      </c>
    </row>
    <row r="319" spans="1:8" ht="24.95" customHeight="1">
      <c r="A319" s="403" t="s">
        <v>1278</v>
      </c>
      <c r="B319" s="347" t="s">
        <v>56</v>
      </c>
      <c r="C319" s="349">
        <f t="shared" ref="C319:H319" si="76">SUM(C317,C318)</f>
        <v>193828404.852</v>
      </c>
      <c r="D319" s="349">
        <f t="shared" si="76"/>
        <v>175603141</v>
      </c>
      <c r="E319" s="349">
        <f t="shared" si="76"/>
        <v>3955000</v>
      </c>
      <c r="F319" s="349">
        <f t="shared" si="76"/>
        <v>179182380.30000001</v>
      </c>
      <c r="G319" s="349">
        <f t="shared" si="76"/>
        <v>174426194.94</v>
      </c>
      <c r="H319" s="350">
        <f t="shared" si="76"/>
        <v>4717500.359999991</v>
      </c>
    </row>
    <row r="320" spans="1:8" ht="24.95" customHeight="1">
      <c r="A320" s="404" t="s">
        <v>134</v>
      </c>
      <c r="B320" s="347"/>
      <c r="C320" s="349"/>
      <c r="D320" s="349"/>
      <c r="E320" s="349"/>
      <c r="F320" s="349"/>
      <c r="G320" s="349"/>
      <c r="H320" s="350"/>
    </row>
    <row r="321" spans="1:10" ht="24.95" customHeight="1">
      <c r="A321" s="405" t="s">
        <v>949</v>
      </c>
      <c r="B321" s="347" t="s">
        <v>57</v>
      </c>
      <c r="C321" s="349">
        <f t="shared" ref="C321:H321" si="77">SUM(C881,C882)</f>
        <v>108870390</v>
      </c>
      <c r="D321" s="349">
        <f t="shared" si="77"/>
        <v>97990315</v>
      </c>
      <c r="E321" s="349">
        <f t="shared" si="77"/>
        <v>0</v>
      </c>
      <c r="F321" s="349">
        <f t="shared" si="77"/>
        <v>97429708.299999997</v>
      </c>
      <c r="G321" s="349">
        <f t="shared" si="77"/>
        <v>96721134.059999987</v>
      </c>
      <c r="H321" s="350">
        <f t="shared" si="77"/>
        <v>498218.5100000003</v>
      </c>
      <c r="I321" s="324">
        <v>109018326</v>
      </c>
      <c r="J321" s="324">
        <f>I321-C321</f>
        <v>147936</v>
      </c>
    </row>
    <row r="322" spans="1:10" ht="24.95" customHeight="1">
      <c r="A322" s="406" t="s">
        <v>1279</v>
      </c>
      <c r="B322" s="407" t="s">
        <v>58</v>
      </c>
      <c r="C322" s="374">
        <f t="shared" ref="C322:H322" si="78">(C319-C321)</f>
        <v>84958014.851999998</v>
      </c>
      <c r="D322" s="374">
        <f>(D319-D321)</f>
        <v>77612826</v>
      </c>
      <c r="E322" s="374">
        <f t="shared" si="78"/>
        <v>3955000</v>
      </c>
      <c r="F322" s="374">
        <f t="shared" si="78"/>
        <v>81752672.000000015</v>
      </c>
      <c r="G322" s="374">
        <f t="shared" si="78"/>
        <v>77705060.88000001</v>
      </c>
      <c r="H322" s="408">
        <f t="shared" si="78"/>
        <v>4219281.8499999903</v>
      </c>
      <c r="I322" s="324">
        <v>85504857</v>
      </c>
      <c r="J322" s="324">
        <f>I322-C322</f>
        <v>546842.14800000191</v>
      </c>
    </row>
    <row r="323" spans="1:10" ht="24.95" customHeight="1">
      <c r="A323" s="409"/>
      <c r="B323" s="347"/>
      <c r="C323" s="349"/>
      <c r="D323" s="349"/>
      <c r="E323" s="349"/>
      <c r="F323" s="349"/>
      <c r="G323" s="349"/>
      <c r="H323" s="349"/>
    </row>
    <row r="324" spans="1:10" ht="24.95" customHeight="1">
      <c r="A324" s="409"/>
      <c r="B324" s="347"/>
      <c r="C324" s="349"/>
      <c r="D324" s="349"/>
      <c r="E324" s="349"/>
      <c r="F324" s="349"/>
      <c r="G324" s="349"/>
      <c r="H324" s="350"/>
      <c r="I324" s="349">
        <f>C321-111399001</f>
        <v>-2528611</v>
      </c>
    </row>
    <row r="325" spans="1:10" ht="24.95" customHeight="1">
      <c r="A325" s="409"/>
      <c r="B325" s="347"/>
      <c r="D325" s="349"/>
      <c r="E325" s="349"/>
      <c r="F325" s="349"/>
      <c r="G325" s="349"/>
      <c r="H325" s="350"/>
      <c r="I325" s="349">
        <f>C322-83956105</f>
        <v>1001909.8519999981</v>
      </c>
    </row>
    <row r="326" spans="1:10" ht="24.95" customHeight="1">
      <c r="A326" s="409"/>
      <c r="B326" s="347"/>
      <c r="C326" s="349"/>
      <c r="D326" s="349"/>
      <c r="E326" s="349"/>
      <c r="F326" s="349"/>
      <c r="G326" s="349"/>
      <c r="H326" s="350"/>
    </row>
    <row r="327" spans="1:10" ht="24.95" customHeight="1">
      <c r="A327" s="409"/>
      <c r="B327" s="347"/>
      <c r="C327" s="349"/>
      <c r="D327" s="349"/>
      <c r="E327" s="349"/>
      <c r="F327" s="349"/>
      <c r="G327" s="349"/>
      <c r="H327" s="350"/>
    </row>
    <row r="328" spans="1:10" ht="24.95" customHeight="1">
      <c r="A328" s="409"/>
      <c r="B328" s="347"/>
      <c r="C328" s="349"/>
      <c r="D328" s="349"/>
      <c r="E328" s="349"/>
      <c r="F328" s="349"/>
      <c r="G328" s="349"/>
      <c r="H328" s="350"/>
    </row>
    <row r="329" spans="1:10" ht="24.95" customHeight="1">
      <c r="A329" s="409"/>
      <c r="B329" s="347"/>
      <c r="C329" s="349"/>
      <c r="D329" s="349"/>
      <c r="E329" s="349"/>
      <c r="F329" s="349"/>
      <c r="G329" s="349"/>
      <c r="H329" s="350"/>
    </row>
    <row r="330" spans="1:10" ht="24.95" customHeight="1">
      <c r="A330" s="409"/>
      <c r="B330" s="347"/>
      <c r="C330" s="349"/>
      <c r="D330" s="349"/>
      <c r="E330" s="349"/>
      <c r="F330" s="349"/>
      <c r="G330" s="349"/>
      <c r="H330" s="350"/>
    </row>
    <row r="331" spans="1:10" ht="24.95" customHeight="1">
      <c r="A331" s="409"/>
      <c r="B331" s="347"/>
      <c r="C331" s="349"/>
      <c r="D331" s="349"/>
      <c r="E331" s="349"/>
      <c r="F331" s="349"/>
      <c r="G331" s="349"/>
      <c r="H331" s="350"/>
    </row>
    <row r="332" spans="1:10" ht="24.95" customHeight="1" thickBot="1">
      <c r="A332" s="404"/>
      <c r="B332" s="407"/>
      <c r="C332" s="374"/>
      <c r="D332" s="374"/>
      <c r="E332" s="374"/>
      <c r="F332" s="374"/>
      <c r="G332" s="374"/>
      <c r="H332" s="357"/>
    </row>
    <row r="333" spans="1:10" ht="24.95" customHeight="1" thickTop="1">
      <c r="A333" s="410"/>
      <c r="B333" s="369"/>
      <c r="C333" s="368"/>
      <c r="D333" s="372" t="s">
        <v>452</v>
      </c>
      <c r="E333" s="368"/>
      <c r="F333" s="368"/>
      <c r="G333" s="368"/>
      <c r="H333" s="368"/>
    </row>
    <row r="334" spans="1:10" ht="37.5" customHeight="1" thickBot="1">
      <c r="A334" s="318"/>
      <c r="B334" s="319"/>
      <c r="C334" s="318" t="s">
        <v>922</v>
      </c>
      <c r="D334" s="370"/>
      <c r="E334" s="361"/>
      <c r="F334" s="322"/>
      <c r="G334" s="323"/>
      <c r="H334" s="321" t="s">
        <v>795</v>
      </c>
    </row>
    <row r="335" spans="1:10" ht="20.100000000000001" customHeight="1" thickTop="1" thickBot="1">
      <c r="A335" s="325" t="s">
        <v>923</v>
      </c>
      <c r="B335" s="326"/>
      <c r="C335" s="327"/>
      <c r="D335" s="328" t="s">
        <v>926</v>
      </c>
      <c r="E335" s="329"/>
      <c r="F335" s="330"/>
      <c r="G335" s="331" t="s">
        <v>1348</v>
      </c>
      <c r="H335" s="332"/>
    </row>
    <row r="336" spans="1:10" ht="38.25" customHeight="1" thickTop="1" thickBot="1">
      <c r="A336" s="333" t="s">
        <v>124</v>
      </c>
      <c r="B336" s="334" t="s">
        <v>793</v>
      </c>
      <c r="C336" s="335" t="s">
        <v>1349</v>
      </c>
      <c r="D336" s="335" t="s">
        <v>1266</v>
      </c>
      <c r="E336" s="362" t="s">
        <v>1350</v>
      </c>
      <c r="F336" s="363" t="s">
        <v>1351</v>
      </c>
      <c r="G336" s="338" t="s">
        <v>925</v>
      </c>
      <c r="H336" s="339" t="s">
        <v>927</v>
      </c>
    </row>
    <row r="337" spans="1:8" ht="24.95" customHeight="1" thickTop="1">
      <c r="A337" s="411" t="s">
        <v>142</v>
      </c>
      <c r="B337" s="392" t="s">
        <v>122</v>
      </c>
      <c r="C337" s="393" t="s">
        <v>123</v>
      </c>
      <c r="D337" s="393" t="s">
        <v>123</v>
      </c>
      <c r="E337" s="393" t="s">
        <v>123</v>
      </c>
      <c r="F337" s="393" t="s">
        <v>123</v>
      </c>
      <c r="G337" s="393" t="s">
        <v>123</v>
      </c>
      <c r="H337" s="394" t="s">
        <v>123</v>
      </c>
    </row>
    <row r="338" spans="1:8" ht="24.95" customHeight="1">
      <c r="A338" s="412" t="s">
        <v>143</v>
      </c>
      <c r="B338" s="413" t="s">
        <v>122</v>
      </c>
      <c r="C338" s="402" t="s">
        <v>123</v>
      </c>
      <c r="D338" s="402" t="s">
        <v>123</v>
      </c>
      <c r="E338" s="402" t="s">
        <v>123</v>
      </c>
      <c r="F338" s="402" t="s">
        <v>123</v>
      </c>
      <c r="G338" s="402" t="s">
        <v>123</v>
      </c>
      <c r="H338" s="414" t="s">
        <v>123</v>
      </c>
    </row>
    <row r="339" spans="1:8" ht="24.95" customHeight="1">
      <c r="A339" s="346" t="s">
        <v>144</v>
      </c>
      <c r="B339" s="347" t="s">
        <v>145</v>
      </c>
      <c r="C339" s="349"/>
      <c r="D339" s="349"/>
      <c r="E339" s="402" t="s">
        <v>123</v>
      </c>
      <c r="F339" s="349"/>
      <c r="G339" s="349"/>
      <c r="H339" s="414" t="s">
        <v>123</v>
      </c>
    </row>
    <row r="340" spans="1:8" ht="24.95" customHeight="1">
      <c r="A340" s="353" t="s">
        <v>1280</v>
      </c>
      <c r="B340" s="347" t="s">
        <v>146</v>
      </c>
      <c r="C340" s="349">
        <f>26634.68+26695.29+3274.57</f>
        <v>56604.54</v>
      </c>
      <c r="D340" s="349">
        <v>48554.26</v>
      </c>
      <c r="E340" s="402" t="s">
        <v>123</v>
      </c>
      <c r="F340" s="349">
        <v>48554.26</v>
      </c>
      <c r="G340" s="349">
        <v>47979.040000000001</v>
      </c>
      <c r="H340" s="414" t="s">
        <v>123</v>
      </c>
    </row>
    <row r="341" spans="1:8" ht="24.95" customHeight="1">
      <c r="A341" s="415"/>
      <c r="B341" s="347"/>
      <c r="C341" s="349"/>
      <c r="D341" s="349"/>
      <c r="E341" s="402" t="s">
        <v>123</v>
      </c>
      <c r="F341" s="349"/>
      <c r="G341" s="349"/>
      <c r="H341" s="414" t="s">
        <v>123</v>
      </c>
    </row>
    <row r="342" spans="1:8" ht="24.95" customHeight="1">
      <c r="A342" s="415"/>
      <c r="B342" s="347"/>
      <c r="C342" s="349"/>
      <c r="D342" s="349"/>
      <c r="E342" s="402" t="s">
        <v>123</v>
      </c>
      <c r="F342" s="349"/>
      <c r="G342" s="349"/>
      <c r="H342" s="414" t="s">
        <v>123</v>
      </c>
    </row>
    <row r="343" spans="1:8" ht="24.95" customHeight="1">
      <c r="A343" s="415"/>
      <c r="B343" s="347"/>
      <c r="C343" s="349"/>
      <c r="D343" s="349"/>
      <c r="E343" s="402" t="s">
        <v>123</v>
      </c>
      <c r="F343" s="349"/>
      <c r="G343" s="349"/>
      <c r="H343" s="414" t="s">
        <v>123</v>
      </c>
    </row>
    <row r="344" spans="1:8" ht="24.95" customHeight="1">
      <c r="A344" s="416"/>
      <c r="B344" s="347"/>
      <c r="C344" s="349"/>
      <c r="D344" s="349"/>
      <c r="E344" s="402" t="s">
        <v>123</v>
      </c>
      <c r="F344" s="349"/>
      <c r="G344" s="349"/>
      <c r="H344" s="414" t="s">
        <v>123</v>
      </c>
    </row>
    <row r="345" spans="1:8" ht="24.95" customHeight="1">
      <c r="A345" s="417"/>
      <c r="B345" s="347"/>
      <c r="C345" s="349"/>
      <c r="D345" s="349"/>
      <c r="E345" s="402" t="s">
        <v>123</v>
      </c>
      <c r="F345" s="349"/>
      <c r="G345" s="349"/>
      <c r="H345" s="414" t="s">
        <v>123</v>
      </c>
    </row>
    <row r="346" spans="1:8" ht="24.95" customHeight="1">
      <c r="A346" s="418"/>
      <c r="B346" s="347"/>
      <c r="C346" s="349"/>
      <c r="D346" s="349"/>
      <c r="E346" s="402" t="s">
        <v>123</v>
      </c>
      <c r="F346" s="349"/>
      <c r="G346" s="349"/>
      <c r="H346" s="414" t="s">
        <v>123</v>
      </c>
    </row>
    <row r="347" spans="1:8" ht="24.95" customHeight="1">
      <c r="A347" s="419"/>
      <c r="B347" s="347"/>
      <c r="C347" s="349"/>
      <c r="D347" s="349"/>
      <c r="E347" s="402" t="s">
        <v>123</v>
      </c>
      <c r="F347" s="349"/>
      <c r="G347" s="349"/>
      <c r="H347" s="414" t="s">
        <v>123</v>
      </c>
    </row>
    <row r="348" spans="1:8" ht="24.95" customHeight="1">
      <c r="A348" s="420"/>
      <c r="B348" s="347"/>
      <c r="C348" s="349"/>
      <c r="D348" s="349"/>
      <c r="E348" s="402" t="s">
        <v>123</v>
      </c>
      <c r="F348" s="349"/>
      <c r="G348" s="349"/>
      <c r="H348" s="414" t="s">
        <v>123</v>
      </c>
    </row>
    <row r="349" spans="1:8" ht="24.95" customHeight="1">
      <c r="A349" s="373"/>
      <c r="B349" s="347"/>
      <c r="C349" s="349"/>
      <c r="D349" s="349"/>
      <c r="E349" s="402" t="s">
        <v>123</v>
      </c>
      <c r="F349" s="349"/>
      <c r="G349" s="349"/>
      <c r="H349" s="414" t="s">
        <v>123</v>
      </c>
    </row>
    <row r="350" spans="1:8" ht="24.95" customHeight="1">
      <c r="A350" s="373"/>
      <c r="B350" s="347"/>
      <c r="C350" s="349"/>
      <c r="D350" s="349"/>
      <c r="E350" s="402" t="s">
        <v>123</v>
      </c>
      <c r="F350" s="349"/>
      <c r="G350" s="349"/>
      <c r="H350" s="414" t="s">
        <v>123</v>
      </c>
    </row>
    <row r="351" spans="1:8" ht="24.95" customHeight="1">
      <c r="A351" s="373"/>
      <c r="B351" s="347"/>
      <c r="C351" s="349"/>
      <c r="D351" s="349"/>
      <c r="E351" s="402" t="s">
        <v>123</v>
      </c>
      <c r="F351" s="349"/>
      <c r="G351" s="349"/>
      <c r="H351" s="414" t="s">
        <v>123</v>
      </c>
    </row>
    <row r="352" spans="1:8" ht="24.95" customHeight="1">
      <c r="A352" s="373"/>
      <c r="B352" s="347"/>
      <c r="C352" s="349"/>
      <c r="D352" s="349"/>
      <c r="E352" s="402" t="s">
        <v>123</v>
      </c>
      <c r="F352" s="349"/>
      <c r="G352" s="349"/>
      <c r="H352" s="414" t="s">
        <v>123</v>
      </c>
    </row>
    <row r="353" spans="1:8" ht="24.95" customHeight="1" thickBot="1">
      <c r="A353" s="421"/>
      <c r="B353" s="407"/>
      <c r="C353" s="374"/>
      <c r="D353" s="374"/>
      <c r="E353" s="422" t="s">
        <v>123</v>
      </c>
      <c r="F353" s="374"/>
      <c r="G353" s="374"/>
      <c r="H353" s="423" t="s">
        <v>123</v>
      </c>
    </row>
    <row r="354" spans="1:8" ht="24.95" customHeight="1" thickTop="1">
      <c r="A354" s="368"/>
      <c r="B354" s="369"/>
      <c r="C354" s="368"/>
      <c r="D354" s="372" t="s">
        <v>450</v>
      </c>
      <c r="E354" s="424"/>
      <c r="F354" s="368"/>
      <c r="G354" s="368"/>
      <c r="H354" s="424"/>
    </row>
    <row r="355" spans="1:8" ht="37.5" customHeight="1" thickBot="1">
      <c r="A355" s="318"/>
      <c r="B355" s="319"/>
      <c r="C355" s="318" t="s">
        <v>922</v>
      </c>
      <c r="D355" s="370"/>
      <c r="E355" s="361"/>
      <c r="F355" s="322"/>
      <c r="G355" s="323"/>
      <c r="H355" s="321" t="s">
        <v>795</v>
      </c>
    </row>
    <row r="356" spans="1:8" ht="20.100000000000001" customHeight="1" thickTop="1" thickBot="1">
      <c r="A356" s="325" t="s">
        <v>923</v>
      </c>
      <c r="B356" s="326"/>
      <c r="C356" s="327"/>
      <c r="D356" s="328" t="s">
        <v>926</v>
      </c>
      <c r="E356" s="329"/>
      <c r="F356" s="330"/>
      <c r="G356" s="331" t="s">
        <v>1348</v>
      </c>
      <c r="H356" s="332"/>
    </row>
    <row r="357" spans="1:8" ht="38.25" customHeight="1" thickTop="1" thickBot="1">
      <c r="A357" s="333" t="s">
        <v>124</v>
      </c>
      <c r="B357" s="334" t="s">
        <v>793</v>
      </c>
      <c r="C357" s="335" t="s">
        <v>1349</v>
      </c>
      <c r="D357" s="335" t="s">
        <v>1266</v>
      </c>
      <c r="E357" s="362" t="s">
        <v>1350</v>
      </c>
      <c r="F357" s="363" t="s">
        <v>1351</v>
      </c>
      <c r="G357" s="338" t="s">
        <v>925</v>
      </c>
      <c r="H357" s="339" t="s">
        <v>927</v>
      </c>
    </row>
    <row r="358" spans="1:8" ht="24.95" customHeight="1" thickTop="1">
      <c r="A358" s="425" t="s">
        <v>147</v>
      </c>
      <c r="B358" s="392" t="s">
        <v>122</v>
      </c>
      <c r="C358" s="393" t="s">
        <v>123</v>
      </c>
      <c r="D358" s="393" t="s">
        <v>123</v>
      </c>
      <c r="E358" s="393" t="s">
        <v>123</v>
      </c>
      <c r="F358" s="393" t="s">
        <v>123</v>
      </c>
      <c r="G358" s="393" t="s">
        <v>123</v>
      </c>
      <c r="H358" s="394" t="s">
        <v>123</v>
      </c>
    </row>
    <row r="359" spans="1:8" ht="24.95" customHeight="1">
      <c r="A359" s="412" t="s">
        <v>148</v>
      </c>
      <c r="B359" s="413" t="s">
        <v>122</v>
      </c>
      <c r="C359" s="402" t="s">
        <v>123</v>
      </c>
      <c r="D359" s="402" t="s">
        <v>123</v>
      </c>
      <c r="E359" s="402" t="s">
        <v>123</v>
      </c>
      <c r="F359" s="402" t="s">
        <v>123</v>
      </c>
      <c r="G359" s="402" t="s">
        <v>123</v>
      </c>
      <c r="H359" s="414" t="s">
        <v>123</v>
      </c>
    </row>
    <row r="360" spans="1:8" ht="24.95" customHeight="1">
      <c r="A360" s="426" t="s">
        <v>1176</v>
      </c>
      <c r="B360" s="347" t="s">
        <v>154</v>
      </c>
      <c r="C360" s="349">
        <v>2807567</v>
      </c>
      <c r="D360" s="349">
        <v>2807567</v>
      </c>
      <c r="E360" s="349"/>
      <c r="F360" s="349">
        <v>2807567</v>
      </c>
      <c r="G360" s="349">
        <v>2802316.02</v>
      </c>
      <c r="H360" s="350">
        <f t="shared" ref="H360:H372" si="79">F360-G360</f>
        <v>5250.9799999999814</v>
      </c>
    </row>
    <row r="361" spans="1:8" ht="24.95" customHeight="1">
      <c r="A361" s="366" t="s">
        <v>1177</v>
      </c>
      <c r="B361" s="347" t="s">
        <v>154</v>
      </c>
      <c r="C361" s="349">
        <v>17469627</v>
      </c>
      <c r="D361" s="349">
        <v>17469627</v>
      </c>
      <c r="E361" s="349"/>
      <c r="F361" s="349">
        <v>17469627</v>
      </c>
      <c r="G361" s="349">
        <v>17469626.989999998</v>
      </c>
      <c r="H361" s="350">
        <f t="shared" si="79"/>
        <v>1.0000001639127731E-2</v>
      </c>
    </row>
    <row r="362" spans="1:8" ht="24.95" customHeight="1">
      <c r="A362" s="427" t="s">
        <v>149</v>
      </c>
      <c r="B362" s="347" t="s">
        <v>155</v>
      </c>
      <c r="C362" s="349">
        <v>1936244</v>
      </c>
      <c r="D362" s="349">
        <v>1909422</v>
      </c>
      <c r="E362" s="349"/>
      <c r="F362" s="349">
        <v>1909422</v>
      </c>
      <c r="G362" s="349">
        <v>1889595.04</v>
      </c>
      <c r="H362" s="350">
        <f t="shared" si="79"/>
        <v>19826.959999999963</v>
      </c>
    </row>
    <row r="363" spans="1:8" ht="24.95" customHeight="1">
      <c r="A363" s="428" t="s">
        <v>163</v>
      </c>
      <c r="B363" s="347" t="s">
        <v>156</v>
      </c>
      <c r="C363" s="349"/>
      <c r="D363" s="349"/>
      <c r="E363" s="349"/>
      <c r="F363" s="349"/>
      <c r="G363" s="349"/>
      <c r="H363" s="350">
        <f t="shared" si="79"/>
        <v>0</v>
      </c>
    </row>
    <row r="364" spans="1:8" ht="24.95" customHeight="1">
      <c r="A364" s="428" t="s">
        <v>31</v>
      </c>
      <c r="B364" s="347" t="s">
        <v>157</v>
      </c>
      <c r="C364" s="349">
        <v>5000</v>
      </c>
      <c r="D364" s="349">
        <v>5000</v>
      </c>
      <c r="E364" s="349"/>
      <c r="F364" s="349">
        <v>5000</v>
      </c>
      <c r="G364" s="429">
        <v>-57946.95</v>
      </c>
      <c r="H364" s="350">
        <f t="shared" si="79"/>
        <v>62946.95</v>
      </c>
    </row>
    <row r="365" spans="1:8" ht="24.95" customHeight="1">
      <c r="A365" s="428" t="s">
        <v>161</v>
      </c>
      <c r="B365" s="347" t="s">
        <v>157</v>
      </c>
      <c r="C365" s="349">
        <v>121421.4</v>
      </c>
      <c r="D365" s="349">
        <v>80534.62</v>
      </c>
      <c r="E365" s="349"/>
      <c r="F365" s="349">
        <v>80534.62</v>
      </c>
      <c r="G365" s="349">
        <v>80534.62</v>
      </c>
      <c r="H365" s="350">
        <f t="shared" si="79"/>
        <v>0</v>
      </c>
    </row>
    <row r="366" spans="1:8" ht="24.95" customHeight="1">
      <c r="A366" s="428" t="s">
        <v>30</v>
      </c>
      <c r="B366" s="347" t="s">
        <v>492</v>
      </c>
      <c r="C366" s="349">
        <v>45000</v>
      </c>
      <c r="D366" s="349">
        <v>45000</v>
      </c>
      <c r="E366" s="349"/>
      <c r="F366" s="349">
        <v>45000</v>
      </c>
      <c r="G366" s="349">
        <v>28153.32</v>
      </c>
      <c r="H366" s="350">
        <f t="shared" si="79"/>
        <v>16846.68</v>
      </c>
    </row>
    <row r="367" spans="1:8" ht="24.95" customHeight="1">
      <c r="A367" s="427" t="s">
        <v>150</v>
      </c>
      <c r="B367" s="347" t="s">
        <v>158</v>
      </c>
      <c r="C367" s="349">
        <v>1426254</v>
      </c>
      <c r="D367" s="349">
        <v>1420005</v>
      </c>
      <c r="E367" s="349"/>
      <c r="F367" s="349">
        <v>1420005</v>
      </c>
      <c r="G367" s="349">
        <v>1409645.99</v>
      </c>
      <c r="H367" s="350">
        <f t="shared" si="79"/>
        <v>10359.010000000009</v>
      </c>
    </row>
    <row r="368" spans="1:8" ht="24.95" customHeight="1">
      <c r="A368" s="427" t="s">
        <v>151</v>
      </c>
      <c r="B368" s="347" t="s">
        <v>159</v>
      </c>
      <c r="C368" s="349">
        <v>160000</v>
      </c>
      <c r="D368" s="349">
        <v>151000</v>
      </c>
      <c r="E368" s="349"/>
      <c r="F368" s="349">
        <v>151000</v>
      </c>
      <c r="G368" s="349">
        <v>149067.69</v>
      </c>
      <c r="H368" s="350">
        <f t="shared" si="79"/>
        <v>1932.3099999999977</v>
      </c>
    </row>
    <row r="369" spans="1:10" ht="24.95" customHeight="1">
      <c r="A369" s="427" t="s">
        <v>1459</v>
      </c>
      <c r="B369" s="347"/>
      <c r="C369" s="349">
        <v>12000</v>
      </c>
      <c r="D369" s="349">
        <v>45000</v>
      </c>
      <c r="E369" s="349"/>
      <c r="F369" s="349">
        <v>45000</v>
      </c>
      <c r="G369" s="349">
        <v>11204</v>
      </c>
      <c r="H369" s="350">
        <f t="shared" si="79"/>
        <v>33796</v>
      </c>
    </row>
    <row r="370" spans="1:10" ht="24.95" hidden="1" customHeight="1">
      <c r="A370" s="427" t="s">
        <v>152</v>
      </c>
      <c r="B370" s="347" t="s">
        <v>154</v>
      </c>
      <c r="C370" s="349"/>
      <c r="D370" s="349"/>
      <c r="E370" s="349"/>
      <c r="F370" s="349"/>
      <c r="G370" s="349"/>
      <c r="H370" s="350">
        <f t="shared" si="79"/>
        <v>0</v>
      </c>
    </row>
    <row r="371" spans="1:10" ht="24.95" hidden="1" customHeight="1">
      <c r="A371" s="427" t="s">
        <v>153</v>
      </c>
      <c r="B371" s="347" t="s">
        <v>154</v>
      </c>
      <c r="C371" s="349"/>
      <c r="D371" s="349"/>
      <c r="E371" s="349"/>
      <c r="F371" s="349"/>
      <c r="G371" s="349"/>
      <c r="H371" s="350">
        <f t="shared" si="79"/>
        <v>0</v>
      </c>
    </row>
    <row r="372" spans="1:10" ht="24.95" customHeight="1" thickBot="1">
      <c r="A372" s="427" t="s">
        <v>432</v>
      </c>
      <c r="B372" s="347"/>
      <c r="C372" s="374">
        <v>221000</v>
      </c>
      <c r="D372" s="374">
        <v>221000</v>
      </c>
      <c r="E372" s="374"/>
      <c r="F372" s="374">
        <v>221000</v>
      </c>
      <c r="G372" s="374">
        <v>209233.7</v>
      </c>
      <c r="H372" s="350">
        <f t="shared" si="79"/>
        <v>11766.299999999988</v>
      </c>
      <c r="I372" s="324">
        <f>SUM(C360:C372)</f>
        <v>24204113.399999999</v>
      </c>
    </row>
    <row r="373" spans="1:10" ht="24.95" customHeight="1" thickBot="1">
      <c r="A373" s="430" t="s">
        <v>1281</v>
      </c>
      <c r="B373" s="347" t="s">
        <v>59</v>
      </c>
      <c r="C373" s="431">
        <f t="shared" ref="C373:H373" si="80">SUM(C339:C372)</f>
        <v>24260717.939999998</v>
      </c>
      <c r="D373" s="431">
        <f t="shared" si="80"/>
        <v>24202709.879999999</v>
      </c>
      <c r="E373" s="431">
        <f t="shared" si="80"/>
        <v>0</v>
      </c>
      <c r="F373" s="431">
        <f t="shared" si="80"/>
        <v>24202709.879999999</v>
      </c>
      <c r="G373" s="431">
        <f t="shared" si="80"/>
        <v>24039409.459999997</v>
      </c>
      <c r="H373" s="432">
        <f t="shared" si="80"/>
        <v>162725.20000000158</v>
      </c>
      <c r="I373" s="324">
        <v>24204113.399999999</v>
      </c>
      <c r="J373" s="324">
        <f>I373-C373</f>
        <v>-56604.539999999106</v>
      </c>
    </row>
    <row r="374" spans="1:10" ht="24.95" customHeight="1">
      <c r="A374" s="373"/>
      <c r="B374" s="347"/>
      <c r="C374" s="342"/>
      <c r="D374" s="342"/>
      <c r="E374" s="342"/>
      <c r="F374" s="342"/>
      <c r="G374" s="342"/>
      <c r="H374" s="345"/>
    </row>
    <row r="375" spans="1:10" ht="24.95" customHeight="1" thickBot="1">
      <c r="A375" s="646"/>
      <c r="B375" s="347"/>
      <c r="C375" s="349"/>
      <c r="D375" s="349"/>
      <c r="E375" s="349"/>
      <c r="F375" s="349"/>
      <c r="G375" s="349"/>
      <c r="H375" s="350"/>
    </row>
    <row r="376" spans="1:10" ht="24.95" customHeight="1" thickTop="1">
      <c r="A376" s="368"/>
      <c r="B376" s="369"/>
      <c r="C376" s="368"/>
      <c r="D376" s="372" t="s">
        <v>451</v>
      </c>
      <c r="E376" s="424"/>
      <c r="F376" s="368"/>
      <c r="G376" s="368"/>
      <c r="H376" s="424"/>
    </row>
    <row r="377" spans="1:10" ht="37.5" customHeight="1" thickBot="1">
      <c r="A377" s="318"/>
      <c r="B377" s="319"/>
      <c r="C377" s="318" t="s">
        <v>922</v>
      </c>
      <c r="D377" s="370"/>
      <c r="E377" s="361"/>
      <c r="F377" s="322"/>
      <c r="G377" s="323"/>
      <c r="H377" s="321" t="s">
        <v>795</v>
      </c>
    </row>
    <row r="378" spans="1:10" ht="20.100000000000001" customHeight="1" thickTop="1" thickBot="1">
      <c r="A378" s="325" t="s">
        <v>923</v>
      </c>
      <c r="B378" s="326"/>
      <c r="C378" s="327"/>
      <c r="D378" s="328" t="s">
        <v>926</v>
      </c>
      <c r="E378" s="329"/>
      <c r="F378" s="330"/>
      <c r="G378" s="331" t="s">
        <v>1348</v>
      </c>
      <c r="H378" s="332"/>
    </row>
    <row r="379" spans="1:10" ht="38.25" customHeight="1" thickTop="1" thickBot="1">
      <c r="A379" s="333" t="s">
        <v>124</v>
      </c>
      <c r="B379" s="334" t="s">
        <v>793</v>
      </c>
      <c r="C379" s="335" t="s">
        <v>1349</v>
      </c>
      <c r="D379" s="335" t="s">
        <v>1266</v>
      </c>
      <c r="E379" s="362" t="s">
        <v>1350</v>
      </c>
      <c r="F379" s="363" t="s">
        <v>1351</v>
      </c>
      <c r="G379" s="338" t="s">
        <v>925</v>
      </c>
      <c r="H379" s="339" t="s">
        <v>927</v>
      </c>
    </row>
    <row r="380" spans="1:10" ht="24.95" customHeight="1" thickTop="1">
      <c r="A380" s="433"/>
      <c r="B380" s="364"/>
      <c r="C380" s="365"/>
      <c r="D380" s="365"/>
      <c r="E380" s="365"/>
      <c r="F380" s="365"/>
      <c r="G380" s="365"/>
      <c r="H380" s="343"/>
    </row>
    <row r="381" spans="1:10" ht="24.95" customHeight="1">
      <c r="A381" s="373"/>
      <c r="B381" s="347"/>
      <c r="C381" s="349"/>
      <c r="D381" s="349"/>
      <c r="E381" s="349"/>
      <c r="F381" s="349"/>
      <c r="G381" s="349"/>
      <c r="H381" s="350"/>
    </row>
    <row r="382" spans="1:10" ht="24.95" customHeight="1">
      <c r="A382" s="373"/>
      <c r="B382" s="347"/>
      <c r="C382" s="349"/>
      <c r="D382" s="349"/>
      <c r="E382" s="349"/>
      <c r="F382" s="349"/>
      <c r="G382" s="349"/>
      <c r="H382" s="350"/>
    </row>
    <row r="383" spans="1:10" ht="24.95" customHeight="1">
      <c r="A383" s="373"/>
      <c r="B383" s="347"/>
      <c r="C383" s="349"/>
      <c r="D383" s="349"/>
      <c r="E383" s="349"/>
      <c r="F383" s="349"/>
      <c r="G383" s="349"/>
      <c r="H383" s="350"/>
    </row>
    <row r="384" spans="1:10" ht="24.95" customHeight="1">
      <c r="A384" s="373"/>
      <c r="B384" s="347"/>
      <c r="C384" s="349"/>
      <c r="D384" s="349"/>
      <c r="E384" s="349"/>
      <c r="F384" s="349"/>
      <c r="G384" s="349"/>
      <c r="H384" s="350"/>
    </row>
    <row r="385" spans="1:16" ht="24.95" customHeight="1">
      <c r="A385" s="412" t="s">
        <v>1178</v>
      </c>
      <c r="B385" s="347" t="s">
        <v>160</v>
      </c>
      <c r="C385" s="349">
        <v>568496.30000000005</v>
      </c>
      <c r="D385" s="349">
        <v>0</v>
      </c>
      <c r="E385" s="349"/>
      <c r="F385" s="349">
        <v>0</v>
      </c>
      <c r="G385" s="349">
        <v>0</v>
      </c>
      <c r="H385" s="414" t="s">
        <v>123</v>
      </c>
    </row>
    <row r="386" spans="1:16" ht="24.95" customHeight="1">
      <c r="A386" s="373"/>
      <c r="B386" s="347"/>
      <c r="C386" s="349"/>
      <c r="D386" s="349"/>
      <c r="E386" s="349"/>
      <c r="F386" s="349"/>
      <c r="G386" s="349"/>
      <c r="H386" s="350"/>
    </row>
    <row r="387" spans="1:16" ht="24.95" customHeight="1">
      <c r="A387" s="373"/>
      <c r="B387" s="347"/>
      <c r="C387" s="349"/>
      <c r="D387" s="349"/>
      <c r="E387" s="349"/>
      <c r="F387" s="349"/>
      <c r="G387" s="349"/>
      <c r="H387" s="350"/>
    </row>
    <row r="388" spans="1:16" ht="24.95" customHeight="1">
      <c r="A388" s="373"/>
      <c r="B388" s="347"/>
      <c r="C388" s="349"/>
      <c r="D388" s="349"/>
      <c r="E388" s="349"/>
      <c r="F388" s="349"/>
      <c r="G388" s="349"/>
      <c r="H388" s="350"/>
    </row>
    <row r="389" spans="1:16" ht="24.95" customHeight="1">
      <c r="A389" s="373"/>
      <c r="B389" s="347"/>
      <c r="C389" s="349"/>
      <c r="D389" s="349"/>
      <c r="E389" s="349"/>
      <c r="F389" s="349"/>
      <c r="G389" s="349"/>
      <c r="H389" s="350"/>
    </row>
    <row r="390" spans="1:16" ht="24.95" customHeight="1">
      <c r="A390" s="373"/>
      <c r="B390" s="347"/>
      <c r="C390" s="349"/>
      <c r="D390" s="349"/>
      <c r="E390" s="349"/>
      <c r="F390" s="349"/>
      <c r="G390" s="349"/>
      <c r="H390" s="350"/>
    </row>
    <row r="391" spans="1:16" ht="24.95" customHeight="1">
      <c r="A391" s="373"/>
      <c r="B391" s="347"/>
      <c r="C391" s="349"/>
      <c r="D391" s="349"/>
      <c r="E391" s="349"/>
      <c r="F391" s="349"/>
      <c r="G391" s="349"/>
      <c r="H391" s="350"/>
    </row>
    <row r="392" spans="1:16" ht="24.95" customHeight="1">
      <c r="A392" s="373"/>
      <c r="B392" s="347"/>
      <c r="C392" s="349"/>
      <c r="D392" s="349"/>
      <c r="E392" s="349"/>
      <c r="F392" s="349"/>
      <c r="G392" s="349"/>
      <c r="H392" s="350"/>
    </row>
    <row r="393" spans="1:16" ht="24.95" customHeight="1">
      <c r="A393" s="373"/>
      <c r="B393" s="347"/>
      <c r="C393" s="349"/>
      <c r="D393" s="349"/>
      <c r="E393" s="349"/>
      <c r="F393" s="349"/>
      <c r="G393" s="349"/>
      <c r="H393" s="350"/>
    </row>
    <row r="394" spans="1:16" ht="24.95" customHeight="1">
      <c r="A394" s="373"/>
      <c r="B394" s="347"/>
      <c r="C394" s="349"/>
      <c r="D394" s="349"/>
      <c r="E394" s="349"/>
      <c r="F394" s="349"/>
      <c r="G394" s="349"/>
      <c r="H394" s="350"/>
    </row>
    <row r="395" spans="1:16" ht="24.95" customHeight="1" thickBot="1">
      <c r="A395" s="373"/>
      <c r="B395" s="347"/>
      <c r="C395" s="374"/>
      <c r="D395" s="374"/>
      <c r="E395" s="374"/>
      <c r="F395" s="374"/>
      <c r="G395" s="374"/>
      <c r="H395" s="408"/>
    </row>
    <row r="396" spans="1:16" ht="24.95" customHeight="1" thickBot="1">
      <c r="A396" s="434" t="s">
        <v>1282</v>
      </c>
      <c r="B396" s="347" t="s">
        <v>60</v>
      </c>
      <c r="C396" s="435">
        <f t="shared" ref="C396:H396" si="81">SUM(C319,C373,C385)</f>
        <v>218657619.09200001</v>
      </c>
      <c r="D396" s="435">
        <f t="shared" si="81"/>
        <v>199805850.88</v>
      </c>
      <c r="E396" s="435">
        <f t="shared" si="81"/>
        <v>3955000</v>
      </c>
      <c r="F396" s="435">
        <f t="shared" si="81"/>
        <v>203385090.18000001</v>
      </c>
      <c r="G396" s="435">
        <f t="shared" si="81"/>
        <v>198465604.40000001</v>
      </c>
      <c r="H396" s="436">
        <f t="shared" si="81"/>
        <v>4880225.5599999931</v>
      </c>
      <c r="I396" s="324">
        <v>218730570.97</v>
      </c>
      <c r="J396" s="324">
        <f>I396-C396</f>
        <v>72951.877999991179</v>
      </c>
      <c r="K396" s="324">
        <f>C385</f>
        <v>568496.30000000005</v>
      </c>
      <c r="L396" s="324">
        <f>SUM(J396:K396)</f>
        <v>641448.17799999123</v>
      </c>
      <c r="M396" s="324">
        <f>26634.68</f>
        <v>26634.68</v>
      </c>
      <c r="N396" s="324">
        <f>SUM(L396:M396)</f>
        <v>668082.85799999128</v>
      </c>
      <c r="O396" s="324">
        <v>26695.29</v>
      </c>
      <c r="P396" s="324">
        <f>SUM(N396:O396)</f>
        <v>694778.14799999131</v>
      </c>
    </row>
    <row r="397" spans="1:16" ht="24.95" customHeight="1" thickTop="1">
      <c r="A397" s="368"/>
      <c r="B397" s="369"/>
      <c r="C397" s="368"/>
      <c r="D397" s="372" t="s">
        <v>453</v>
      </c>
      <c r="E397" s="424"/>
      <c r="F397" s="368"/>
      <c r="G397" s="368"/>
      <c r="H397" s="424"/>
    </row>
    <row r="398" spans="1:16" ht="37.5" customHeight="1" thickBot="1">
      <c r="A398" s="318"/>
      <c r="B398" s="319"/>
      <c r="C398" s="318" t="s">
        <v>922</v>
      </c>
      <c r="D398" s="370"/>
      <c r="E398" s="361"/>
      <c r="F398" s="322"/>
      <c r="G398" s="323"/>
      <c r="H398" s="321" t="s">
        <v>795</v>
      </c>
      <c r="M398" s="324">
        <f>M396+O396+3274.57</f>
        <v>56604.54</v>
      </c>
    </row>
    <row r="399" spans="1:16" ht="20.100000000000001" customHeight="1" thickTop="1" thickBot="1">
      <c r="A399" s="325" t="s">
        <v>923</v>
      </c>
      <c r="B399" s="326"/>
      <c r="C399" s="327"/>
      <c r="D399" s="328" t="s">
        <v>926</v>
      </c>
      <c r="E399" s="329"/>
      <c r="F399" s="330"/>
      <c r="G399" s="331" t="s">
        <v>1348</v>
      </c>
      <c r="H399" s="332"/>
    </row>
    <row r="400" spans="1:16" ht="38.25" customHeight="1" thickTop="1" thickBot="1">
      <c r="A400" s="333" t="s">
        <v>164</v>
      </c>
      <c r="B400" s="334" t="s">
        <v>793</v>
      </c>
      <c r="C400" s="335" t="s">
        <v>1349</v>
      </c>
      <c r="D400" s="335" t="s">
        <v>1266</v>
      </c>
      <c r="E400" s="362" t="s">
        <v>1350</v>
      </c>
      <c r="F400" s="363" t="s">
        <v>1351</v>
      </c>
      <c r="G400" s="338" t="s">
        <v>925</v>
      </c>
      <c r="H400" s="339" t="s">
        <v>927</v>
      </c>
    </row>
    <row r="401" spans="1:10" ht="24.95" customHeight="1" thickTop="1">
      <c r="A401" s="375"/>
      <c r="B401" s="364"/>
      <c r="C401" s="393" t="s">
        <v>123</v>
      </c>
      <c r="D401" s="393" t="s">
        <v>123</v>
      </c>
      <c r="E401" s="393" t="s">
        <v>123</v>
      </c>
      <c r="F401" s="393" t="s">
        <v>123</v>
      </c>
      <c r="G401" s="393" t="s">
        <v>123</v>
      </c>
      <c r="H401" s="394" t="s">
        <v>123</v>
      </c>
    </row>
    <row r="402" spans="1:10" ht="24.95" customHeight="1">
      <c r="A402" s="351" t="s">
        <v>460</v>
      </c>
      <c r="B402" s="347" t="s">
        <v>633</v>
      </c>
      <c r="C402" s="349">
        <v>694778.14800000004</v>
      </c>
      <c r="D402" s="349"/>
      <c r="E402" s="349"/>
      <c r="F402" s="349"/>
      <c r="G402" s="349"/>
      <c r="H402" s="350">
        <f t="shared" ref="H402" si="82">F402-G402</f>
        <v>0</v>
      </c>
    </row>
    <row r="403" spans="1:10" ht="24.95" customHeight="1">
      <c r="A403" s="346"/>
      <c r="B403" s="347"/>
      <c r="C403" s="349"/>
      <c r="D403" s="349"/>
      <c r="E403" s="349"/>
      <c r="F403" s="349"/>
      <c r="G403" s="349"/>
      <c r="H403" s="350"/>
    </row>
    <row r="404" spans="1:10" ht="24.95" customHeight="1">
      <c r="A404" s="351"/>
      <c r="B404" s="347"/>
      <c r="C404" s="349"/>
      <c r="D404" s="349"/>
      <c r="E404" s="349"/>
      <c r="F404" s="349"/>
      <c r="G404" s="349"/>
      <c r="H404" s="350"/>
    </row>
    <row r="405" spans="1:10" ht="24.95" customHeight="1">
      <c r="A405" s="367"/>
      <c r="B405" s="347"/>
      <c r="C405" s="349"/>
      <c r="D405" s="349"/>
      <c r="E405" s="349"/>
      <c r="F405" s="349"/>
      <c r="G405" s="349"/>
      <c r="H405" s="350"/>
    </row>
    <row r="406" spans="1:10" ht="24.95" customHeight="1">
      <c r="A406" s="346"/>
      <c r="B406" s="347"/>
      <c r="C406" s="349"/>
      <c r="D406" s="349"/>
      <c r="E406" s="349"/>
      <c r="F406" s="349"/>
      <c r="G406" s="349"/>
      <c r="H406" s="350"/>
    </row>
    <row r="407" spans="1:10" ht="24.95" customHeight="1">
      <c r="A407" s="346"/>
      <c r="B407" s="347"/>
      <c r="C407" s="349"/>
      <c r="D407" s="349"/>
      <c r="E407" s="349"/>
      <c r="F407" s="349"/>
      <c r="G407" s="349"/>
      <c r="H407" s="350"/>
    </row>
    <row r="408" spans="1:10" ht="24.95" customHeight="1">
      <c r="A408" s="351"/>
      <c r="B408" s="347"/>
      <c r="C408" s="349"/>
      <c r="D408" s="349"/>
      <c r="E408" s="349"/>
      <c r="F408" s="349"/>
      <c r="G408" s="349"/>
      <c r="H408" s="350"/>
    </row>
    <row r="409" spans="1:10" ht="24.95" customHeight="1">
      <c r="A409" s="366" t="s">
        <v>1283</v>
      </c>
      <c r="B409" s="347" t="s">
        <v>172</v>
      </c>
      <c r="C409" s="349">
        <v>10788148.699999999</v>
      </c>
      <c r="D409" s="349">
        <v>10373703</v>
      </c>
      <c r="E409" s="349"/>
      <c r="F409" s="349">
        <v>10788148.699999999</v>
      </c>
      <c r="G409" s="349">
        <v>10788148.699999999</v>
      </c>
      <c r="H409" s="350">
        <f t="shared" ref="H409:H416" si="83">F409-G409</f>
        <v>0</v>
      </c>
    </row>
    <row r="410" spans="1:10" ht="24.95" customHeight="1">
      <c r="A410" s="386" t="s">
        <v>1284</v>
      </c>
      <c r="B410" s="347" t="s">
        <v>173</v>
      </c>
      <c r="C410" s="349">
        <f>471700+2255724</f>
        <v>2727424</v>
      </c>
      <c r="D410" s="349">
        <f>1934058+484750</f>
        <v>2418808</v>
      </c>
      <c r="E410" s="349"/>
      <c r="F410" s="349">
        <f>1934058+484750</f>
        <v>2418808</v>
      </c>
      <c r="G410" s="349">
        <f>1681869.74+467750.84+12086.62</f>
        <v>2161707.2000000002</v>
      </c>
      <c r="H410" s="350">
        <f t="shared" si="83"/>
        <v>257100.79999999981</v>
      </c>
      <c r="I410" s="324">
        <f>252188.26+4912.54</f>
        <v>257100.80000000002</v>
      </c>
    </row>
    <row r="411" spans="1:10" ht="24.95" customHeight="1">
      <c r="A411" s="351" t="s">
        <v>237</v>
      </c>
      <c r="B411" s="347"/>
      <c r="C411" s="349"/>
      <c r="D411" s="349"/>
      <c r="E411" s="349"/>
      <c r="F411" s="349"/>
      <c r="G411" s="349"/>
      <c r="H411" s="350">
        <f t="shared" si="83"/>
        <v>0</v>
      </c>
    </row>
    <row r="412" spans="1:10" ht="24.95" customHeight="1">
      <c r="A412" s="346" t="s">
        <v>171</v>
      </c>
      <c r="B412" s="347" t="s">
        <v>155</v>
      </c>
      <c r="C412" s="349">
        <v>107169</v>
      </c>
      <c r="D412" s="349">
        <v>107169</v>
      </c>
      <c r="E412" s="349"/>
      <c r="F412" s="349">
        <v>107169</v>
      </c>
      <c r="G412" s="349">
        <v>107169</v>
      </c>
      <c r="H412" s="350">
        <f t="shared" si="83"/>
        <v>0</v>
      </c>
    </row>
    <row r="413" spans="1:10" ht="24.95" customHeight="1">
      <c r="A413" s="346" t="s">
        <v>150</v>
      </c>
      <c r="B413" s="347" t="s">
        <v>158</v>
      </c>
      <c r="C413" s="349">
        <v>25235</v>
      </c>
      <c r="D413" s="349">
        <v>25235</v>
      </c>
      <c r="E413" s="349"/>
      <c r="F413" s="349">
        <v>25235</v>
      </c>
      <c r="G413" s="349">
        <v>25235</v>
      </c>
      <c r="H413" s="350">
        <f t="shared" si="83"/>
        <v>0</v>
      </c>
    </row>
    <row r="414" spans="1:10" ht="24.95" customHeight="1">
      <c r="A414" s="346" t="s">
        <v>933</v>
      </c>
      <c r="B414" s="347" t="s">
        <v>158</v>
      </c>
      <c r="C414" s="349">
        <v>1091368</v>
      </c>
      <c r="D414" s="349">
        <v>1091368</v>
      </c>
      <c r="E414" s="349"/>
      <c r="F414" s="349">
        <v>1091368</v>
      </c>
      <c r="G414" s="349">
        <v>1091368</v>
      </c>
      <c r="H414" s="350">
        <f t="shared" si="83"/>
        <v>0</v>
      </c>
    </row>
    <row r="415" spans="1:10" ht="24.95" customHeight="1">
      <c r="A415" s="386"/>
      <c r="B415" s="347"/>
      <c r="C415" s="349"/>
      <c r="D415" s="349"/>
      <c r="E415" s="349"/>
      <c r="F415" s="349"/>
      <c r="G415" s="349"/>
      <c r="H415" s="350"/>
    </row>
    <row r="416" spans="1:10" ht="24.95" customHeight="1">
      <c r="A416" s="351" t="s">
        <v>1179</v>
      </c>
      <c r="B416" s="347"/>
      <c r="C416" s="349">
        <v>711000</v>
      </c>
      <c r="D416" s="349">
        <v>739218</v>
      </c>
      <c r="E416" s="349"/>
      <c r="F416" s="349">
        <v>739218</v>
      </c>
      <c r="G416" s="349">
        <v>739218</v>
      </c>
      <c r="H416" s="350">
        <f t="shared" si="83"/>
        <v>0</v>
      </c>
      <c r="I416" s="324">
        <f>SUM(C409:C416)</f>
        <v>15450344.699999999</v>
      </c>
      <c r="J416" s="324">
        <f>C416-711000</f>
        <v>0</v>
      </c>
    </row>
    <row r="417" spans="1:8" ht="24.95" customHeight="1" thickBot="1">
      <c r="A417" s="366"/>
      <c r="B417" s="347"/>
      <c r="C417" s="349"/>
      <c r="D417" s="349"/>
      <c r="E417" s="349"/>
      <c r="F417" s="349"/>
      <c r="G417" s="349"/>
      <c r="H417" s="350"/>
    </row>
    <row r="418" spans="1:8" ht="24.95" customHeight="1" thickTop="1">
      <c r="A418" s="368"/>
      <c r="B418" s="369"/>
      <c r="C418" s="368"/>
      <c r="D418" s="372" t="s">
        <v>462</v>
      </c>
      <c r="E418" s="424"/>
      <c r="F418" s="368"/>
      <c r="G418" s="368"/>
      <c r="H418" s="424"/>
    </row>
    <row r="419" spans="1:8" ht="37.5" customHeight="1" thickBot="1">
      <c r="A419" s="318"/>
      <c r="B419" s="319"/>
      <c r="C419" s="318" t="s">
        <v>922</v>
      </c>
      <c r="D419" s="370"/>
      <c r="E419" s="361"/>
      <c r="F419" s="322"/>
      <c r="G419" s="323"/>
      <c r="H419" s="321" t="s">
        <v>795</v>
      </c>
    </row>
    <row r="420" spans="1:8" ht="20.100000000000001" customHeight="1" thickTop="1" thickBot="1">
      <c r="A420" s="325" t="s">
        <v>923</v>
      </c>
      <c r="B420" s="326"/>
      <c r="C420" s="327"/>
      <c r="D420" s="328" t="s">
        <v>926</v>
      </c>
      <c r="E420" s="329"/>
      <c r="F420" s="330"/>
      <c r="G420" s="331" t="s">
        <v>1348</v>
      </c>
      <c r="H420" s="332"/>
    </row>
    <row r="421" spans="1:8" ht="38.25" customHeight="1" thickTop="1" thickBot="1">
      <c r="A421" s="437" t="s">
        <v>188</v>
      </c>
      <c r="B421" s="334" t="s">
        <v>793</v>
      </c>
      <c r="C421" s="335" t="s">
        <v>1349</v>
      </c>
      <c r="D421" s="335" t="s">
        <v>1266</v>
      </c>
      <c r="E421" s="362" t="s">
        <v>1350</v>
      </c>
      <c r="F421" s="363" t="s">
        <v>1351</v>
      </c>
      <c r="G421" s="338" t="s">
        <v>925</v>
      </c>
      <c r="H421" s="339" t="s">
        <v>927</v>
      </c>
    </row>
    <row r="422" spans="1:8" ht="24.95" customHeight="1" thickTop="1">
      <c r="A422" s="438"/>
      <c r="B422" s="341"/>
      <c r="C422" s="349"/>
      <c r="D422" s="349"/>
      <c r="E422" s="349"/>
      <c r="F422" s="349"/>
      <c r="G422" s="349"/>
      <c r="H422" s="350"/>
    </row>
    <row r="423" spans="1:8" ht="24.95" customHeight="1">
      <c r="A423" s="351"/>
      <c r="B423" s="347"/>
      <c r="C423" s="349"/>
      <c r="D423" s="349"/>
      <c r="E423" s="349"/>
      <c r="F423" s="349"/>
      <c r="G423" s="349"/>
      <c r="H423" s="350"/>
    </row>
    <row r="424" spans="1:8" ht="24.95" customHeight="1">
      <c r="A424" s="351"/>
      <c r="B424" s="347"/>
      <c r="C424" s="349"/>
      <c r="D424" s="349"/>
      <c r="E424" s="349"/>
      <c r="F424" s="349"/>
      <c r="G424" s="349"/>
      <c r="H424" s="350"/>
    </row>
    <row r="425" spans="1:8" ht="24.95" customHeight="1">
      <c r="A425" s="386" t="s">
        <v>1180</v>
      </c>
      <c r="B425" s="347" t="s">
        <v>176</v>
      </c>
      <c r="C425" s="349">
        <v>71064</v>
      </c>
      <c r="D425" s="349">
        <v>71064</v>
      </c>
      <c r="E425" s="349"/>
      <c r="F425" s="349"/>
      <c r="G425" s="349"/>
      <c r="H425" s="350">
        <f t="shared" ref="H425:H436" si="84">F425-G425</f>
        <v>0</v>
      </c>
    </row>
    <row r="426" spans="1:8" ht="24.95" customHeight="1">
      <c r="A426" s="351" t="s">
        <v>1127</v>
      </c>
      <c r="B426" s="347" t="s">
        <v>177</v>
      </c>
      <c r="C426" s="349">
        <v>894860</v>
      </c>
      <c r="D426" s="349">
        <v>894860</v>
      </c>
      <c r="E426" s="349"/>
      <c r="F426" s="349">
        <v>894860</v>
      </c>
      <c r="G426" s="349">
        <v>894860</v>
      </c>
      <c r="H426" s="350">
        <f t="shared" si="84"/>
        <v>0</v>
      </c>
    </row>
    <row r="427" spans="1:8" ht="24.95" customHeight="1">
      <c r="A427" s="351" t="s">
        <v>1128</v>
      </c>
      <c r="B427" s="347" t="s">
        <v>1016</v>
      </c>
      <c r="C427" s="349">
        <v>374661</v>
      </c>
      <c r="D427" s="349">
        <v>374661</v>
      </c>
      <c r="E427" s="349"/>
      <c r="F427" s="349">
        <v>374661</v>
      </c>
      <c r="G427" s="349">
        <v>374661</v>
      </c>
      <c r="H427" s="350">
        <f t="shared" si="84"/>
        <v>0</v>
      </c>
    </row>
    <row r="428" spans="1:8" ht="24.95" customHeight="1">
      <c r="A428" s="373"/>
      <c r="B428" s="347"/>
      <c r="C428" s="349"/>
      <c r="D428" s="349"/>
      <c r="E428" s="349"/>
      <c r="F428" s="349"/>
      <c r="G428" s="349"/>
      <c r="H428" s="350"/>
    </row>
    <row r="429" spans="1:8" ht="24.95" customHeight="1">
      <c r="A429" s="351" t="s">
        <v>178</v>
      </c>
      <c r="B429" s="347" t="s">
        <v>179</v>
      </c>
      <c r="C429" s="349"/>
      <c r="D429" s="349"/>
      <c r="E429" s="349"/>
      <c r="F429" s="349"/>
      <c r="G429" s="349"/>
      <c r="H429" s="350">
        <f t="shared" si="84"/>
        <v>0</v>
      </c>
    </row>
    <row r="430" spans="1:8" ht="24.95" customHeight="1">
      <c r="A430" s="366"/>
      <c r="B430" s="347"/>
      <c r="C430" s="349"/>
      <c r="D430" s="349"/>
      <c r="E430" s="349"/>
      <c r="F430" s="349"/>
      <c r="G430" s="349"/>
      <c r="H430" s="350"/>
    </row>
    <row r="431" spans="1:8" ht="24.95" customHeight="1">
      <c r="A431" s="351" t="s">
        <v>21</v>
      </c>
      <c r="B431" s="347"/>
      <c r="C431" s="349">
        <v>219756</v>
      </c>
      <c r="D431" s="349">
        <v>219756</v>
      </c>
      <c r="E431" s="349"/>
      <c r="F431" s="349"/>
      <c r="G431" s="349"/>
      <c r="H431" s="350">
        <f t="shared" si="84"/>
        <v>0</v>
      </c>
    </row>
    <row r="432" spans="1:8" ht="24.95" customHeight="1">
      <c r="A432" s="366"/>
      <c r="B432" s="347"/>
      <c r="C432" s="349"/>
      <c r="D432" s="349"/>
      <c r="E432" s="349"/>
      <c r="F432" s="349"/>
      <c r="G432" s="349"/>
      <c r="H432" s="350"/>
    </row>
    <row r="433" spans="1:11" ht="24.95" customHeight="1">
      <c r="A433" s="386" t="s">
        <v>1479</v>
      </c>
      <c r="B433" s="347"/>
      <c r="C433" s="349">
        <v>15410</v>
      </c>
      <c r="D433" s="349">
        <v>0</v>
      </c>
      <c r="E433" s="349"/>
      <c r="F433" s="349"/>
      <c r="G433" s="349"/>
      <c r="H433" s="350">
        <f t="shared" si="84"/>
        <v>0</v>
      </c>
    </row>
    <row r="434" spans="1:11" ht="24.95" customHeight="1">
      <c r="A434" s="351" t="s">
        <v>1413</v>
      </c>
      <c r="B434" s="347"/>
      <c r="C434" s="349">
        <v>2888</v>
      </c>
      <c r="D434" s="349">
        <v>2888</v>
      </c>
      <c r="E434" s="349"/>
      <c r="F434" s="349"/>
      <c r="G434" s="349"/>
      <c r="H434" s="350">
        <f t="shared" si="84"/>
        <v>0</v>
      </c>
    </row>
    <row r="435" spans="1:11" ht="24.95" customHeight="1">
      <c r="A435" s="351" t="s">
        <v>1138</v>
      </c>
      <c r="B435" s="347"/>
      <c r="C435" s="349">
        <v>439413</v>
      </c>
      <c r="D435" s="349">
        <v>439413</v>
      </c>
      <c r="E435" s="349"/>
      <c r="F435" s="349"/>
      <c r="G435" s="349"/>
      <c r="H435" s="350">
        <f t="shared" si="84"/>
        <v>0</v>
      </c>
    </row>
    <row r="436" spans="1:11" ht="24.95" customHeight="1">
      <c r="A436" s="366" t="s">
        <v>1285</v>
      </c>
      <c r="B436" s="347"/>
      <c r="C436" s="349">
        <v>1288</v>
      </c>
      <c r="D436" s="349">
        <v>1288</v>
      </c>
      <c r="E436" s="349"/>
      <c r="F436" s="349"/>
      <c r="G436" s="349"/>
      <c r="H436" s="350">
        <f t="shared" si="84"/>
        <v>0</v>
      </c>
    </row>
    <row r="437" spans="1:11" ht="24.95" customHeight="1" thickBot="1">
      <c r="A437" s="366"/>
      <c r="B437" s="347"/>
      <c r="C437" s="374"/>
      <c r="D437" s="374"/>
      <c r="E437" s="374"/>
      <c r="F437" s="374"/>
      <c r="G437" s="374"/>
      <c r="H437" s="408"/>
      <c r="I437" s="324">
        <f>SUM(C425:C437)</f>
        <v>2019340</v>
      </c>
    </row>
    <row r="438" spans="1:11" ht="24.95" customHeight="1" thickBot="1">
      <c r="A438" s="434" t="s">
        <v>1286</v>
      </c>
      <c r="B438" s="396" t="s">
        <v>61</v>
      </c>
      <c r="C438" s="435">
        <f t="shared" ref="C438:H438" si="85">SUM(C402:C437)</f>
        <v>18164462.847999997</v>
      </c>
      <c r="D438" s="435">
        <f t="shared" si="85"/>
        <v>16759431</v>
      </c>
      <c r="E438" s="435">
        <f t="shared" si="85"/>
        <v>0</v>
      </c>
      <c r="F438" s="435">
        <f t="shared" si="85"/>
        <v>16439467.699999999</v>
      </c>
      <c r="G438" s="435">
        <f t="shared" si="85"/>
        <v>16182366.899999999</v>
      </c>
      <c r="H438" s="436">
        <f t="shared" si="85"/>
        <v>257100.79999999981</v>
      </c>
      <c r="I438" s="324">
        <f>SUM(I416:I437)</f>
        <v>17469684.699999999</v>
      </c>
      <c r="J438" s="324">
        <f>I438-17469684.7</f>
        <v>0</v>
      </c>
      <c r="K438" s="324">
        <f>J416-J438</f>
        <v>0</v>
      </c>
    </row>
    <row r="439" spans="1:11" ht="24.95" customHeight="1" thickTop="1">
      <c r="A439" s="368"/>
      <c r="B439" s="369"/>
      <c r="C439" s="368"/>
      <c r="D439" s="372" t="s">
        <v>463</v>
      </c>
      <c r="E439" s="424"/>
      <c r="F439" s="368"/>
      <c r="G439" s="368"/>
      <c r="H439" s="424"/>
    </row>
    <row r="440" spans="1:11" ht="37.5" customHeight="1" thickBot="1">
      <c r="A440" s="318"/>
      <c r="B440" s="319"/>
      <c r="C440" s="318" t="s">
        <v>922</v>
      </c>
      <c r="D440" s="370"/>
      <c r="E440" s="361"/>
      <c r="F440" s="322"/>
      <c r="G440" s="323"/>
      <c r="H440" s="321" t="s">
        <v>795</v>
      </c>
    </row>
    <row r="441" spans="1:11" ht="20.100000000000001" customHeight="1" thickTop="1" thickBot="1">
      <c r="A441" s="325" t="s">
        <v>923</v>
      </c>
      <c r="B441" s="326"/>
      <c r="C441" s="327"/>
      <c r="D441" s="328" t="s">
        <v>926</v>
      </c>
      <c r="E441" s="329"/>
      <c r="F441" s="330"/>
      <c r="G441" s="331" t="s">
        <v>1348</v>
      </c>
      <c r="H441" s="332"/>
    </row>
    <row r="442" spans="1:11" ht="38.25" customHeight="1" thickTop="1" thickBot="1">
      <c r="A442" s="437" t="s">
        <v>188</v>
      </c>
      <c r="B442" s="334" t="s">
        <v>793</v>
      </c>
      <c r="C442" s="335" t="s">
        <v>1349</v>
      </c>
      <c r="D442" s="335" t="s">
        <v>1266</v>
      </c>
      <c r="E442" s="362" t="s">
        <v>1350</v>
      </c>
      <c r="F442" s="363" t="s">
        <v>1351</v>
      </c>
      <c r="G442" s="338" t="s">
        <v>925</v>
      </c>
      <c r="H442" s="339" t="s">
        <v>927</v>
      </c>
    </row>
    <row r="443" spans="1:11" ht="24.95" customHeight="1" thickTop="1">
      <c r="A443" s="439" t="s">
        <v>181</v>
      </c>
      <c r="B443" s="413" t="s">
        <v>122</v>
      </c>
      <c r="C443" s="402" t="s">
        <v>123</v>
      </c>
      <c r="D443" s="402" t="s">
        <v>123</v>
      </c>
      <c r="E443" s="402" t="s">
        <v>123</v>
      </c>
      <c r="F443" s="402" t="s">
        <v>123</v>
      </c>
      <c r="G443" s="402" t="s">
        <v>123</v>
      </c>
      <c r="H443" s="414" t="s">
        <v>123</v>
      </c>
    </row>
    <row r="444" spans="1:11" ht="24.95" customHeight="1">
      <c r="A444" s="440" t="s">
        <v>634</v>
      </c>
      <c r="B444" s="396" t="s">
        <v>122</v>
      </c>
      <c r="C444" s="402" t="s">
        <v>123</v>
      </c>
      <c r="D444" s="402" t="s">
        <v>123</v>
      </c>
      <c r="E444" s="402" t="s">
        <v>123</v>
      </c>
      <c r="F444" s="402" t="s">
        <v>123</v>
      </c>
      <c r="G444" s="402" t="s">
        <v>123</v>
      </c>
      <c r="H444" s="414" t="s">
        <v>123</v>
      </c>
    </row>
    <row r="445" spans="1:11" ht="24.95" customHeight="1">
      <c r="A445" s="373"/>
      <c r="B445" s="347"/>
      <c r="C445" s="349"/>
      <c r="D445" s="349"/>
      <c r="E445" s="349"/>
      <c r="F445" s="349"/>
      <c r="G445" s="349"/>
      <c r="H445" s="350"/>
    </row>
    <row r="446" spans="1:11" ht="24.95" customHeight="1">
      <c r="A446" s="373"/>
      <c r="B446" s="347"/>
      <c r="C446" s="349"/>
      <c r="D446" s="349"/>
      <c r="E446" s="349"/>
      <c r="F446" s="349"/>
      <c r="G446" s="349"/>
      <c r="H446" s="350"/>
    </row>
    <row r="447" spans="1:11" ht="24.95" customHeight="1">
      <c r="A447" s="373"/>
      <c r="B447" s="347"/>
      <c r="C447" s="349"/>
      <c r="D447" s="349"/>
      <c r="E447" s="349"/>
      <c r="F447" s="349"/>
      <c r="G447" s="349"/>
      <c r="H447" s="350"/>
    </row>
    <row r="448" spans="1:11" ht="24.95" customHeight="1">
      <c r="A448" s="373"/>
      <c r="B448" s="347"/>
      <c r="C448" s="349"/>
      <c r="D448" s="349"/>
      <c r="E448" s="349"/>
      <c r="F448" s="349"/>
      <c r="G448" s="349"/>
      <c r="H448" s="350"/>
    </row>
    <row r="449" spans="1:8" ht="24.95" customHeight="1">
      <c r="A449" s="373"/>
      <c r="B449" s="347"/>
      <c r="C449" s="349"/>
      <c r="D449" s="349"/>
      <c r="E449" s="349"/>
      <c r="F449" s="349"/>
      <c r="G449" s="349"/>
      <c r="H449" s="350"/>
    </row>
    <row r="450" spans="1:8" ht="24.95" customHeight="1">
      <c r="A450" s="373"/>
      <c r="B450" s="347"/>
      <c r="C450" s="349"/>
      <c r="D450" s="349"/>
      <c r="E450" s="349"/>
      <c r="F450" s="349"/>
      <c r="G450" s="349"/>
      <c r="H450" s="350"/>
    </row>
    <row r="451" spans="1:8" ht="24.95" customHeight="1">
      <c r="A451" s="373"/>
      <c r="B451" s="347"/>
      <c r="C451" s="349"/>
      <c r="D451" s="349"/>
      <c r="E451" s="349"/>
      <c r="F451" s="349"/>
      <c r="G451" s="349"/>
      <c r="H451" s="350"/>
    </row>
    <row r="452" spans="1:8" ht="24.95" customHeight="1">
      <c r="A452" s="373"/>
      <c r="B452" s="347"/>
      <c r="C452" s="349"/>
      <c r="D452" s="349"/>
      <c r="E452" s="349"/>
      <c r="F452" s="349"/>
      <c r="G452" s="349"/>
      <c r="H452" s="350"/>
    </row>
    <row r="453" spans="1:8" ht="24.95" customHeight="1">
      <c r="A453" s="373"/>
      <c r="B453" s="347"/>
      <c r="C453" s="349"/>
      <c r="D453" s="349"/>
      <c r="E453" s="349"/>
      <c r="F453" s="349"/>
      <c r="G453" s="349"/>
      <c r="H453" s="350"/>
    </row>
    <row r="454" spans="1:8" ht="24.95" customHeight="1">
      <c r="A454" s="373"/>
      <c r="B454" s="347"/>
      <c r="C454" s="349"/>
      <c r="D454" s="349"/>
      <c r="E454" s="349"/>
      <c r="F454" s="349"/>
      <c r="G454" s="349"/>
      <c r="H454" s="350"/>
    </row>
    <row r="455" spans="1:8" ht="24.95" customHeight="1">
      <c r="A455" s="373"/>
      <c r="B455" s="347"/>
      <c r="C455" s="349"/>
      <c r="D455" s="349"/>
      <c r="E455" s="349"/>
      <c r="F455" s="349"/>
      <c r="G455" s="349"/>
      <c r="H455" s="350"/>
    </row>
    <row r="456" spans="1:8" ht="24.95" customHeight="1">
      <c r="A456" s="373"/>
      <c r="B456" s="347"/>
      <c r="C456" s="349"/>
      <c r="D456" s="349"/>
      <c r="E456" s="349"/>
      <c r="F456" s="349"/>
      <c r="G456" s="349"/>
      <c r="H456" s="350"/>
    </row>
    <row r="457" spans="1:8" ht="24.95" customHeight="1">
      <c r="A457" s="373"/>
      <c r="B457" s="347"/>
      <c r="C457" s="349"/>
      <c r="D457" s="349"/>
      <c r="E457" s="349"/>
      <c r="F457" s="349"/>
      <c r="G457" s="349"/>
      <c r="H457" s="350"/>
    </row>
    <row r="458" spans="1:8" ht="24.95" customHeight="1">
      <c r="A458" s="373"/>
      <c r="B458" s="347"/>
      <c r="C458" s="349"/>
      <c r="D458" s="349"/>
      <c r="E458" s="349"/>
      <c r="F458" s="349"/>
      <c r="G458" s="349"/>
      <c r="H458" s="350"/>
    </row>
    <row r="459" spans="1:8" ht="24.95" customHeight="1" thickBot="1">
      <c r="A459" s="441" t="s">
        <v>182</v>
      </c>
      <c r="B459" s="442" t="s">
        <v>62</v>
      </c>
      <c r="C459" s="356">
        <f t="shared" ref="C459:H459" si="86">SUM(C445:C458)</f>
        <v>0</v>
      </c>
      <c r="D459" s="356">
        <f t="shared" si="86"/>
        <v>0</v>
      </c>
      <c r="E459" s="356">
        <f t="shared" si="86"/>
        <v>0</v>
      </c>
      <c r="F459" s="356">
        <f t="shared" si="86"/>
        <v>0</v>
      </c>
      <c r="G459" s="356">
        <f t="shared" si="86"/>
        <v>0</v>
      </c>
      <c r="H459" s="357">
        <f t="shared" si="86"/>
        <v>0</v>
      </c>
    </row>
    <row r="460" spans="1:8" ht="24.95" customHeight="1" thickTop="1">
      <c r="B460" s="324"/>
      <c r="D460" s="372" t="s">
        <v>464</v>
      </c>
    </row>
    <row r="461" spans="1:8" ht="37.5" customHeight="1" thickBot="1">
      <c r="A461" s="318"/>
      <c r="B461" s="319"/>
      <c r="C461" s="318" t="s">
        <v>922</v>
      </c>
      <c r="D461" s="370"/>
      <c r="E461" s="361"/>
      <c r="F461" s="322"/>
      <c r="G461" s="323"/>
      <c r="H461" s="321" t="s">
        <v>795</v>
      </c>
    </row>
    <row r="462" spans="1:8" ht="20.100000000000001" customHeight="1" thickTop="1" thickBot="1">
      <c r="A462" s="325" t="s">
        <v>923</v>
      </c>
      <c r="B462" s="326"/>
      <c r="C462" s="327"/>
      <c r="D462" s="328" t="s">
        <v>926</v>
      </c>
      <c r="E462" s="329"/>
      <c r="F462" s="330"/>
      <c r="G462" s="331" t="s">
        <v>1348</v>
      </c>
      <c r="H462" s="332"/>
    </row>
    <row r="463" spans="1:8" ht="38.25" customHeight="1" thickTop="1" thickBot="1">
      <c r="A463" s="437" t="s">
        <v>188</v>
      </c>
      <c r="B463" s="334" t="s">
        <v>793</v>
      </c>
      <c r="C463" s="335" t="s">
        <v>1349</v>
      </c>
      <c r="D463" s="335" t="s">
        <v>1266</v>
      </c>
      <c r="E463" s="362" t="s">
        <v>1350</v>
      </c>
      <c r="F463" s="363" t="s">
        <v>1351</v>
      </c>
      <c r="G463" s="338" t="s">
        <v>925</v>
      </c>
      <c r="H463" s="339" t="s">
        <v>927</v>
      </c>
    </row>
    <row r="464" spans="1:8" ht="24.95" customHeight="1" thickTop="1">
      <c r="A464" s="443" t="s">
        <v>493</v>
      </c>
      <c r="B464" s="413" t="s">
        <v>122</v>
      </c>
      <c r="C464" s="402" t="s">
        <v>123</v>
      </c>
      <c r="D464" s="402" t="s">
        <v>123</v>
      </c>
      <c r="E464" s="402" t="s">
        <v>123</v>
      </c>
      <c r="F464" s="402" t="s">
        <v>123</v>
      </c>
      <c r="G464" s="402" t="s">
        <v>123</v>
      </c>
      <c r="H464" s="414" t="s">
        <v>123</v>
      </c>
    </row>
    <row r="465" spans="1:8" ht="24.95" customHeight="1">
      <c r="A465" s="373"/>
      <c r="B465" s="347"/>
      <c r="C465" s="349"/>
      <c r="D465" s="349"/>
      <c r="E465" s="349"/>
      <c r="F465" s="349"/>
      <c r="G465" s="349"/>
      <c r="H465" s="350"/>
    </row>
    <row r="466" spans="1:8" ht="24.95" customHeight="1">
      <c r="A466" s="593"/>
      <c r="B466" s="347"/>
      <c r="C466" s="349"/>
      <c r="D466" s="349">
        <v>0</v>
      </c>
      <c r="E466" s="349"/>
      <c r="F466" s="349">
        <v>0</v>
      </c>
      <c r="G466" s="349">
        <v>0</v>
      </c>
      <c r="H466" s="350">
        <v>0</v>
      </c>
    </row>
    <row r="467" spans="1:8" ht="24.95" customHeight="1">
      <c r="A467" s="373"/>
      <c r="B467" s="347"/>
      <c r="C467" s="349"/>
      <c r="D467" s="349"/>
      <c r="E467" s="349"/>
      <c r="F467" s="349"/>
      <c r="G467" s="349"/>
      <c r="H467" s="350"/>
    </row>
    <row r="468" spans="1:8" ht="24.95" customHeight="1">
      <c r="A468" s="373"/>
      <c r="B468" s="347"/>
      <c r="C468" s="349"/>
      <c r="D468" s="349"/>
      <c r="E468" s="349"/>
      <c r="F468" s="349"/>
      <c r="G468" s="349"/>
      <c r="H468" s="350"/>
    </row>
    <row r="469" spans="1:8" ht="24.95" customHeight="1">
      <c r="A469" s="373"/>
      <c r="B469" s="347"/>
      <c r="C469" s="349"/>
      <c r="D469" s="349"/>
      <c r="E469" s="349"/>
      <c r="F469" s="349"/>
      <c r="G469" s="349"/>
      <c r="H469" s="350"/>
    </row>
    <row r="470" spans="1:8" ht="24.95" customHeight="1">
      <c r="A470" s="373"/>
      <c r="B470" s="347"/>
      <c r="C470" s="349"/>
      <c r="D470" s="349"/>
      <c r="E470" s="349"/>
      <c r="F470" s="349"/>
      <c r="G470" s="349"/>
      <c r="H470" s="350"/>
    </row>
    <row r="471" spans="1:8" ht="24.95" customHeight="1">
      <c r="A471" s="373"/>
      <c r="B471" s="347"/>
      <c r="C471" s="349"/>
      <c r="D471" s="349"/>
      <c r="E471" s="349"/>
      <c r="F471" s="349"/>
      <c r="G471" s="349"/>
      <c r="H471" s="350"/>
    </row>
    <row r="472" spans="1:8" ht="24.95" customHeight="1">
      <c r="A472" s="373"/>
      <c r="B472" s="347"/>
      <c r="C472" s="349"/>
      <c r="D472" s="349"/>
      <c r="E472" s="349"/>
      <c r="F472" s="349"/>
      <c r="G472" s="349"/>
      <c r="H472" s="350"/>
    </row>
    <row r="473" spans="1:8" ht="24.95" customHeight="1">
      <c r="A473" s="373"/>
      <c r="B473" s="347"/>
      <c r="C473" s="349"/>
      <c r="D473" s="349"/>
      <c r="E473" s="349"/>
      <c r="F473" s="349"/>
      <c r="G473" s="349"/>
      <c r="H473" s="350"/>
    </row>
    <row r="474" spans="1:8" ht="24.95" customHeight="1">
      <c r="A474" s="373"/>
      <c r="B474" s="347"/>
      <c r="C474" s="349"/>
      <c r="D474" s="349"/>
      <c r="E474" s="349"/>
      <c r="F474" s="349"/>
      <c r="G474" s="349"/>
      <c r="H474" s="350"/>
    </row>
    <row r="475" spans="1:8" ht="24.95" customHeight="1">
      <c r="A475" s="373"/>
      <c r="B475" s="347"/>
      <c r="C475" s="349"/>
      <c r="D475" s="349"/>
      <c r="E475" s="349"/>
      <c r="F475" s="349"/>
      <c r="G475" s="349"/>
      <c r="H475" s="350"/>
    </row>
    <row r="476" spans="1:8" ht="24.95" customHeight="1">
      <c r="A476" s="373"/>
      <c r="B476" s="347"/>
      <c r="C476" s="349"/>
      <c r="D476" s="349"/>
      <c r="E476" s="349"/>
      <c r="F476" s="349"/>
      <c r="G476" s="349"/>
      <c r="H476" s="350"/>
    </row>
    <row r="477" spans="1:8" ht="24.95" customHeight="1">
      <c r="A477" s="373"/>
      <c r="B477" s="347"/>
      <c r="C477" s="349"/>
      <c r="D477" s="349"/>
      <c r="E477" s="349"/>
      <c r="F477" s="349"/>
      <c r="G477" s="349"/>
      <c r="H477" s="350"/>
    </row>
    <row r="478" spans="1:8" ht="24.95" customHeight="1">
      <c r="A478" s="373"/>
      <c r="B478" s="347"/>
      <c r="C478" s="349"/>
      <c r="D478" s="349"/>
      <c r="E478" s="349"/>
      <c r="F478" s="349"/>
      <c r="G478" s="349"/>
      <c r="H478" s="350"/>
    </row>
    <row r="479" spans="1:8" ht="24.95" customHeight="1">
      <c r="A479" s="373"/>
      <c r="B479" s="347"/>
      <c r="C479" s="349"/>
      <c r="D479" s="349"/>
      <c r="E479" s="349"/>
      <c r="F479" s="349"/>
      <c r="G479" s="349"/>
      <c r="H479" s="350"/>
    </row>
    <row r="480" spans="1:8" ht="24.95" customHeight="1" thickBot="1">
      <c r="A480" s="444" t="s">
        <v>494</v>
      </c>
      <c r="B480" s="442" t="s">
        <v>63</v>
      </c>
      <c r="C480" s="356">
        <f t="shared" ref="C480:H480" si="87">SUM(C465:C479)</f>
        <v>0</v>
      </c>
      <c r="D480" s="356">
        <f t="shared" si="87"/>
        <v>0</v>
      </c>
      <c r="E480" s="356">
        <f t="shared" si="87"/>
        <v>0</v>
      </c>
      <c r="F480" s="356">
        <f t="shared" si="87"/>
        <v>0</v>
      </c>
      <c r="G480" s="356">
        <f t="shared" si="87"/>
        <v>0</v>
      </c>
      <c r="H480" s="357">
        <f t="shared" si="87"/>
        <v>0</v>
      </c>
    </row>
    <row r="481" spans="1:8" ht="24.95" customHeight="1" thickTop="1">
      <c r="B481" s="324"/>
      <c r="D481" s="372" t="s">
        <v>465</v>
      </c>
    </row>
    <row r="482" spans="1:8" ht="37.5" customHeight="1" thickBot="1">
      <c r="A482" s="318"/>
      <c r="B482" s="319"/>
      <c r="C482" s="318" t="s">
        <v>922</v>
      </c>
      <c r="D482" s="370"/>
      <c r="E482" s="361"/>
      <c r="F482" s="322"/>
      <c r="G482" s="323"/>
      <c r="H482" s="321" t="s">
        <v>795</v>
      </c>
    </row>
    <row r="483" spans="1:8" ht="20.100000000000001" customHeight="1" thickTop="1" thickBot="1">
      <c r="A483" s="325" t="s">
        <v>923</v>
      </c>
      <c r="B483" s="326"/>
      <c r="C483" s="327"/>
      <c r="D483" s="328" t="s">
        <v>926</v>
      </c>
      <c r="E483" s="329"/>
      <c r="F483" s="330"/>
      <c r="G483" s="331" t="s">
        <v>1348</v>
      </c>
      <c r="H483" s="332"/>
    </row>
    <row r="484" spans="1:8" ht="38.25" customHeight="1" thickTop="1" thickBot="1">
      <c r="A484" s="437" t="s">
        <v>188</v>
      </c>
      <c r="B484" s="334" t="s">
        <v>793</v>
      </c>
      <c r="C484" s="335" t="s">
        <v>1349</v>
      </c>
      <c r="D484" s="335" t="s">
        <v>1266</v>
      </c>
      <c r="E484" s="362" t="s">
        <v>1350</v>
      </c>
      <c r="F484" s="363" t="s">
        <v>1351</v>
      </c>
      <c r="G484" s="338" t="s">
        <v>925</v>
      </c>
      <c r="H484" s="339" t="s">
        <v>927</v>
      </c>
    </row>
    <row r="485" spans="1:8" ht="24.95" customHeight="1" thickTop="1">
      <c r="A485" s="445" t="s">
        <v>184</v>
      </c>
      <c r="B485" s="413" t="s">
        <v>122</v>
      </c>
      <c r="C485" s="402" t="s">
        <v>123</v>
      </c>
      <c r="D485" s="402" t="s">
        <v>123</v>
      </c>
      <c r="E485" s="402" t="s">
        <v>123</v>
      </c>
      <c r="F485" s="402" t="s">
        <v>123</v>
      </c>
      <c r="G485" s="402" t="s">
        <v>123</v>
      </c>
      <c r="H485" s="414" t="s">
        <v>123</v>
      </c>
    </row>
    <row r="486" spans="1:8" ht="24.95" customHeight="1">
      <c r="A486" s="373"/>
      <c r="B486" s="347"/>
      <c r="C486" s="349"/>
      <c r="D486" s="349"/>
      <c r="E486" s="349"/>
      <c r="F486" s="349"/>
      <c r="G486" s="349"/>
      <c r="H486" s="350"/>
    </row>
    <row r="487" spans="1:8" ht="24.95" customHeight="1">
      <c r="A487" s="373"/>
      <c r="B487" s="347"/>
      <c r="C487" s="349"/>
      <c r="D487" s="349"/>
      <c r="E487" s="349"/>
      <c r="F487" s="349"/>
      <c r="G487" s="349"/>
      <c r="H487" s="350"/>
    </row>
    <row r="488" spans="1:8" ht="24.95" customHeight="1">
      <c r="A488" s="373"/>
      <c r="B488" s="347"/>
      <c r="C488" s="349"/>
      <c r="D488" s="349"/>
      <c r="E488" s="349"/>
      <c r="F488" s="349"/>
      <c r="G488" s="349"/>
      <c r="H488" s="350"/>
    </row>
    <row r="489" spans="1:8" ht="24.95" customHeight="1">
      <c r="A489" s="373"/>
      <c r="B489" s="347"/>
      <c r="C489" s="349"/>
      <c r="D489" s="349"/>
      <c r="E489" s="349"/>
      <c r="F489" s="349"/>
      <c r="G489" s="349"/>
      <c r="H489" s="350"/>
    </row>
    <row r="490" spans="1:8" ht="24.95" customHeight="1">
      <c r="A490" s="373"/>
      <c r="B490" s="347"/>
      <c r="C490" s="349"/>
      <c r="D490" s="349"/>
      <c r="E490" s="349"/>
      <c r="F490" s="349"/>
      <c r="G490" s="349"/>
      <c r="H490" s="350"/>
    </row>
    <row r="491" spans="1:8" ht="24.95" customHeight="1">
      <c r="A491" s="373"/>
      <c r="B491" s="347"/>
      <c r="C491" s="349"/>
      <c r="D491" s="349"/>
      <c r="E491" s="349"/>
      <c r="F491" s="349"/>
      <c r="G491" s="349"/>
      <c r="H491" s="350"/>
    </row>
    <row r="492" spans="1:8" ht="24.95" customHeight="1">
      <c r="A492" s="373"/>
      <c r="B492" s="347"/>
      <c r="C492" s="349"/>
      <c r="D492" s="349"/>
      <c r="E492" s="349"/>
      <c r="F492" s="349"/>
      <c r="G492" s="349"/>
      <c r="H492" s="350"/>
    </row>
    <row r="493" spans="1:8" ht="24.95" customHeight="1">
      <c r="A493" s="373"/>
      <c r="B493" s="347"/>
      <c r="C493" s="349"/>
      <c r="D493" s="349"/>
      <c r="E493" s="349"/>
      <c r="F493" s="349"/>
      <c r="G493" s="349"/>
      <c r="H493" s="350"/>
    </row>
    <row r="494" spans="1:8" ht="24.95" customHeight="1">
      <c r="A494" s="373"/>
      <c r="B494" s="347"/>
      <c r="C494" s="349"/>
      <c r="D494" s="349"/>
      <c r="E494" s="349"/>
      <c r="F494" s="349"/>
      <c r="G494" s="349"/>
      <c r="H494" s="350"/>
    </row>
    <row r="495" spans="1:8" ht="24.95" customHeight="1">
      <c r="A495" s="373"/>
      <c r="B495" s="347"/>
      <c r="C495" s="349"/>
      <c r="D495" s="349"/>
      <c r="E495" s="349"/>
      <c r="F495" s="349"/>
      <c r="G495" s="349"/>
      <c r="H495" s="350"/>
    </row>
    <row r="496" spans="1:8" ht="24.95" customHeight="1">
      <c r="A496" s="373"/>
      <c r="B496" s="347"/>
      <c r="C496" s="349"/>
      <c r="D496" s="349"/>
      <c r="E496" s="349"/>
      <c r="F496" s="349"/>
      <c r="G496" s="349"/>
      <c r="H496" s="350"/>
    </row>
    <row r="497" spans="1:9" ht="24.95" customHeight="1">
      <c r="A497" s="373"/>
      <c r="B497" s="347"/>
      <c r="C497" s="349"/>
      <c r="D497" s="349"/>
      <c r="E497" s="349"/>
      <c r="F497" s="349"/>
      <c r="G497" s="349"/>
      <c r="H497" s="350"/>
    </row>
    <row r="498" spans="1:9" ht="24.95" customHeight="1">
      <c r="A498" s="373"/>
      <c r="B498" s="347"/>
      <c r="C498" s="349"/>
      <c r="D498" s="349"/>
      <c r="E498" s="349"/>
      <c r="F498" s="349"/>
      <c r="G498" s="349"/>
      <c r="H498" s="350"/>
    </row>
    <row r="499" spans="1:9" ht="24.95" customHeight="1">
      <c r="A499" s="373"/>
      <c r="B499" s="347"/>
      <c r="C499" s="349"/>
      <c r="D499" s="349"/>
      <c r="E499" s="349"/>
      <c r="F499" s="349"/>
      <c r="G499" s="349"/>
      <c r="H499" s="350"/>
    </row>
    <row r="500" spans="1:9" ht="24.95" customHeight="1" thickBot="1">
      <c r="A500" s="373"/>
      <c r="B500" s="407"/>
      <c r="C500" s="374"/>
      <c r="D500" s="374"/>
      <c r="E500" s="374"/>
      <c r="F500" s="374"/>
      <c r="G500" s="374"/>
      <c r="H500" s="408"/>
    </row>
    <row r="501" spans="1:9" ht="24.95" customHeight="1" thickBot="1">
      <c r="A501" s="446" t="s">
        <v>185</v>
      </c>
      <c r="B501" s="447" t="s">
        <v>64</v>
      </c>
      <c r="C501" s="435">
        <f t="shared" ref="C501:H501" si="88">SUM(C486:C500)</f>
        <v>0</v>
      </c>
      <c r="D501" s="435">
        <f t="shared" si="88"/>
        <v>0</v>
      </c>
      <c r="E501" s="435">
        <f t="shared" si="88"/>
        <v>0</v>
      </c>
      <c r="F501" s="435">
        <f t="shared" si="88"/>
        <v>0</v>
      </c>
      <c r="G501" s="435">
        <f t="shared" si="88"/>
        <v>0</v>
      </c>
      <c r="H501" s="435">
        <f t="shared" si="88"/>
        <v>0</v>
      </c>
    </row>
    <row r="502" spans="1:9" ht="24.95" customHeight="1" thickTop="1">
      <c r="B502" s="324"/>
      <c r="D502" s="372" t="s">
        <v>466</v>
      </c>
      <c r="I502" s="448" t="s">
        <v>1353</v>
      </c>
    </row>
    <row r="503" spans="1:9" ht="37.5" customHeight="1" thickBot="1">
      <c r="A503" s="318"/>
      <c r="B503" s="319"/>
      <c r="C503" s="318" t="s">
        <v>922</v>
      </c>
      <c r="D503" s="370"/>
      <c r="E503" s="361"/>
      <c r="F503" s="322"/>
      <c r="G503" s="323"/>
      <c r="H503" s="321" t="s">
        <v>795</v>
      </c>
      <c r="I503" s="448" t="s">
        <v>1354</v>
      </c>
    </row>
    <row r="504" spans="1:9" ht="20.100000000000001" customHeight="1" thickTop="1" thickBot="1">
      <c r="A504" s="325" t="s">
        <v>923</v>
      </c>
      <c r="B504" s="326"/>
      <c r="C504" s="327"/>
      <c r="D504" s="328" t="s">
        <v>926</v>
      </c>
      <c r="E504" s="329"/>
      <c r="F504" s="330"/>
      <c r="G504" s="331" t="s">
        <v>1348</v>
      </c>
      <c r="H504" s="332"/>
    </row>
    <row r="505" spans="1:9" ht="38.25" customHeight="1" thickTop="1" thickBot="1">
      <c r="A505" s="437" t="s">
        <v>188</v>
      </c>
      <c r="B505" s="334" t="s">
        <v>793</v>
      </c>
      <c r="C505" s="335" t="s">
        <v>1349</v>
      </c>
      <c r="D505" s="335" t="s">
        <v>1266</v>
      </c>
      <c r="E505" s="362" t="s">
        <v>1350</v>
      </c>
      <c r="F505" s="363" t="s">
        <v>1351</v>
      </c>
      <c r="G505" s="338" t="s">
        <v>925</v>
      </c>
      <c r="H505" s="339" t="s">
        <v>927</v>
      </c>
    </row>
    <row r="506" spans="1:9" ht="24.95" customHeight="1" thickTop="1">
      <c r="A506" s="449" t="s">
        <v>186</v>
      </c>
      <c r="B506" s="413" t="s">
        <v>122</v>
      </c>
      <c r="C506" s="402" t="s">
        <v>123</v>
      </c>
      <c r="D506" s="402" t="s">
        <v>123</v>
      </c>
      <c r="E506" s="402" t="s">
        <v>123</v>
      </c>
      <c r="F506" s="402" t="s">
        <v>123</v>
      </c>
      <c r="G506" s="402" t="s">
        <v>123</v>
      </c>
      <c r="H506" s="414" t="s">
        <v>123</v>
      </c>
    </row>
    <row r="507" spans="1:9" ht="24.95" customHeight="1">
      <c r="A507" s="412"/>
      <c r="B507" s="347"/>
      <c r="C507" s="349"/>
      <c r="D507" s="349"/>
      <c r="E507" s="349"/>
      <c r="F507" s="349"/>
      <c r="G507" s="349"/>
      <c r="H507" s="350"/>
    </row>
    <row r="508" spans="1:9" ht="24.95" customHeight="1">
      <c r="A508" s="412" t="s">
        <v>1014</v>
      </c>
      <c r="B508" s="347"/>
      <c r="C508" s="349"/>
      <c r="D508" s="349"/>
      <c r="E508" s="349"/>
      <c r="F508" s="349"/>
      <c r="G508" s="349"/>
      <c r="H508" s="349"/>
    </row>
    <row r="509" spans="1:9" ht="24.95" customHeight="1">
      <c r="A509" s="450" t="s">
        <v>1403</v>
      </c>
      <c r="B509" s="347"/>
      <c r="C509" s="349">
        <v>127000</v>
      </c>
      <c r="D509" s="349">
        <v>0</v>
      </c>
      <c r="E509" s="349"/>
      <c r="F509" s="349"/>
      <c r="G509" s="349"/>
      <c r="H509" s="350">
        <f t="shared" ref="H509" si="89">F509-G509</f>
        <v>0</v>
      </c>
    </row>
    <row r="510" spans="1:9" ht="24.95" customHeight="1">
      <c r="A510" s="412"/>
      <c r="B510" s="347"/>
      <c r="C510" s="349"/>
      <c r="D510" s="349"/>
      <c r="E510" s="349"/>
      <c r="F510" s="349"/>
      <c r="G510" s="349"/>
      <c r="H510" s="350"/>
    </row>
    <row r="511" spans="1:9" ht="24.95" customHeight="1">
      <c r="A511" s="450"/>
      <c r="B511" s="347"/>
      <c r="C511" s="349"/>
      <c r="D511" s="349"/>
      <c r="E511" s="349"/>
      <c r="F511" s="349"/>
      <c r="G511" s="349"/>
      <c r="H511" s="350"/>
    </row>
    <row r="512" spans="1:9" s="455" customFormat="1" ht="24.95" customHeight="1">
      <c r="A512" s="451"/>
      <c r="B512" s="452"/>
      <c r="C512" s="453"/>
      <c r="D512" s="453"/>
      <c r="E512" s="453"/>
      <c r="F512" s="453"/>
      <c r="G512" s="453"/>
      <c r="H512" s="454"/>
    </row>
    <row r="513" spans="1:9" s="455" customFormat="1" ht="24.95" customHeight="1">
      <c r="A513" s="412" t="s">
        <v>189</v>
      </c>
      <c r="B513" s="452"/>
      <c r="C513" s="453"/>
      <c r="D513" s="453"/>
      <c r="E513" s="453"/>
      <c r="F513" s="453"/>
      <c r="G513" s="453"/>
      <c r="H513" s="454"/>
    </row>
    <row r="514" spans="1:9" ht="24.95" customHeight="1">
      <c r="A514" s="456" t="s">
        <v>1244</v>
      </c>
      <c r="B514" s="407" t="s">
        <v>1202</v>
      </c>
      <c r="C514" s="349">
        <v>0</v>
      </c>
      <c r="D514" s="349">
        <v>0</v>
      </c>
      <c r="E514" s="349"/>
      <c r="F514" s="349"/>
      <c r="G514" s="349"/>
      <c r="H514" s="350">
        <f t="shared" ref="H514:H515" si="90">F514-G514</f>
        <v>0</v>
      </c>
    </row>
    <row r="515" spans="1:9" ht="24.95" customHeight="1">
      <c r="A515" s="456" t="s">
        <v>1245</v>
      </c>
      <c r="B515" s="347" t="s">
        <v>1203</v>
      </c>
      <c r="C515" s="349">
        <v>0</v>
      </c>
      <c r="D515" s="349">
        <v>0</v>
      </c>
      <c r="E515" s="349"/>
      <c r="F515" s="349"/>
      <c r="G515" s="349"/>
      <c r="H515" s="350">
        <f t="shared" si="90"/>
        <v>0</v>
      </c>
    </row>
    <row r="516" spans="1:9" ht="24.95" customHeight="1">
      <c r="A516" s="456"/>
      <c r="B516" s="407"/>
      <c r="C516" s="349"/>
      <c r="D516" s="349"/>
      <c r="E516" s="349"/>
      <c r="F516" s="349"/>
      <c r="G516" s="349"/>
      <c r="H516" s="350"/>
    </row>
    <row r="517" spans="1:9" ht="24.95" customHeight="1">
      <c r="A517" s="456"/>
      <c r="B517" s="347"/>
      <c r="C517" s="348"/>
      <c r="D517" s="348"/>
      <c r="E517" s="349"/>
      <c r="F517" s="349"/>
      <c r="G517" s="349"/>
      <c r="H517" s="350"/>
    </row>
    <row r="518" spans="1:9" ht="24.95" customHeight="1">
      <c r="A518" s="457"/>
      <c r="B518" s="407"/>
      <c r="C518" s="374"/>
      <c r="D518" s="374"/>
      <c r="E518" s="374"/>
      <c r="F518" s="374"/>
      <c r="G518" s="374"/>
      <c r="H518" s="408"/>
    </row>
    <row r="519" spans="1:9" ht="24.95" customHeight="1">
      <c r="A519" s="428"/>
      <c r="B519" s="347"/>
      <c r="C519" s="349"/>
      <c r="D519" s="349"/>
      <c r="E519" s="349"/>
      <c r="F519" s="349"/>
      <c r="G519" s="349"/>
      <c r="H519" s="349"/>
    </row>
    <row r="520" spans="1:9" ht="24.95" customHeight="1">
      <c r="A520" s="427"/>
      <c r="B520" s="347"/>
      <c r="C520" s="349"/>
      <c r="D520" s="349"/>
      <c r="E520" s="349"/>
      <c r="F520" s="349"/>
      <c r="G520" s="349"/>
      <c r="H520" s="350"/>
    </row>
    <row r="521" spans="1:9" ht="24.95" customHeight="1">
      <c r="A521" s="427"/>
      <c r="B521" s="347"/>
      <c r="C521" s="349"/>
      <c r="D521" s="349"/>
      <c r="E521" s="349"/>
      <c r="F521" s="349"/>
      <c r="G521" s="349"/>
      <c r="H521" s="350"/>
    </row>
    <row r="522" spans="1:9" ht="24.95" customHeight="1" thickBot="1">
      <c r="A522" s="457"/>
      <c r="B522" s="407"/>
      <c r="C522" s="374"/>
      <c r="D522" s="374"/>
      <c r="E522" s="374"/>
      <c r="F522" s="374"/>
      <c r="G522" s="374"/>
      <c r="H522" s="408"/>
    </row>
    <row r="523" spans="1:9" ht="24.95" customHeight="1" thickTop="1">
      <c r="A523" s="368"/>
      <c r="B523" s="369"/>
      <c r="C523" s="368"/>
      <c r="D523" s="372" t="s">
        <v>467</v>
      </c>
      <c r="E523" s="368"/>
      <c r="F523" s="368"/>
      <c r="G523" s="368"/>
      <c r="H523" s="368"/>
      <c r="I523" s="448" t="s">
        <v>1352</v>
      </c>
    </row>
    <row r="524" spans="1:9" ht="37.5" customHeight="1" thickBot="1">
      <c r="A524" s="318"/>
      <c r="B524" s="319"/>
      <c r="C524" s="318" t="s">
        <v>922</v>
      </c>
      <c r="D524" s="370"/>
      <c r="E524" s="361"/>
      <c r="F524" s="322"/>
      <c r="G524" s="323"/>
      <c r="H524" s="321" t="s">
        <v>795</v>
      </c>
    </row>
    <row r="525" spans="1:9" ht="20.100000000000001" customHeight="1" thickTop="1" thickBot="1">
      <c r="A525" s="325" t="s">
        <v>923</v>
      </c>
      <c r="B525" s="326"/>
      <c r="C525" s="327"/>
      <c r="D525" s="328" t="s">
        <v>926</v>
      </c>
      <c r="E525" s="329"/>
      <c r="F525" s="330"/>
      <c r="G525" s="331" t="s">
        <v>1348</v>
      </c>
      <c r="H525" s="332"/>
    </row>
    <row r="526" spans="1:9" ht="38.25" customHeight="1" thickTop="1" thickBot="1">
      <c r="A526" s="437" t="s">
        <v>188</v>
      </c>
      <c r="B526" s="334" t="s">
        <v>793</v>
      </c>
      <c r="C526" s="335" t="s">
        <v>1349</v>
      </c>
      <c r="D526" s="335" t="s">
        <v>1266</v>
      </c>
      <c r="E526" s="362" t="s">
        <v>1350</v>
      </c>
      <c r="F526" s="363" t="s">
        <v>1351</v>
      </c>
      <c r="G526" s="338" t="s">
        <v>925</v>
      </c>
      <c r="H526" s="339" t="s">
        <v>927</v>
      </c>
    </row>
    <row r="527" spans="1:9" ht="24.95" customHeight="1" thickTop="1">
      <c r="A527" s="458" t="s">
        <v>187</v>
      </c>
      <c r="B527" s="413" t="s">
        <v>122</v>
      </c>
      <c r="C527" s="402" t="s">
        <v>123</v>
      </c>
      <c r="D527" s="402" t="s">
        <v>123</v>
      </c>
      <c r="E527" s="402" t="s">
        <v>123</v>
      </c>
      <c r="F527" s="402" t="s">
        <v>123</v>
      </c>
      <c r="G527" s="402" t="s">
        <v>123</v>
      </c>
      <c r="H527" s="414" t="s">
        <v>123</v>
      </c>
    </row>
    <row r="528" spans="1:9" ht="24.95" customHeight="1">
      <c r="A528" s="412" t="s">
        <v>190</v>
      </c>
      <c r="B528" s="347"/>
      <c r="C528" s="349"/>
      <c r="D528" s="349"/>
      <c r="E528" s="349"/>
      <c r="F528" s="349"/>
      <c r="G528" s="349"/>
      <c r="H528" s="350"/>
    </row>
    <row r="529" spans="1:8" ht="24.95" customHeight="1">
      <c r="A529" s="427"/>
      <c r="B529" s="347"/>
      <c r="C529" s="349"/>
      <c r="D529" s="349"/>
      <c r="E529" s="349"/>
      <c r="F529" s="349"/>
      <c r="G529" s="349"/>
      <c r="H529" s="350"/>
    </row>
    <row r="530" spans="1:8" ht="24.95" customHeight="1">
      <c r="A530" s="373"/>
      <c r="B530" s="347"/>
      <c r="C530" s="349"/>
      <c r="D530" s="349"/>
      <c r="E530" s="349"/>
      <c r="F530" s="349"/>
      <c r="G530" s="349"/>
      <c r="H530" s="350"/>
    </row>
    <row r="531" spans="1:8" ht="24.95" customHeight="1">
      <c r="A531" s="412" t="s">
        <v>191</v>
      </c>
      <c r="B531" s="347"/>
      <c r="C531" s="349"/>
      <c r="D531" s="349"/>
      <c r="E531" s="349"/>
      <c r="F531" s="349"/>
      <c r="G531" s="349"/>
      <c r="H531" s="350"/>
    </row>
    <row r="532" spans="1:8" ht="24.95" customHeight="1">
      <c r="A532" s="373"/>
      <c r="B532" s="347"/>
      <c r="C532" s="349"/>
      <c r="D532" s="349"/>
      <c r="E532" s="349"/>
      <c r="F532" s="349"/>
      <c r="G532" s="349"/>
      <c r="H532" s="350"/>
    </row>
    <row r="533" spans="1:8" ht="24.95" customHeight="1">
      <c r="B533" s="347"/>
      <c r="C533" s="349"/>
      <c r="D533" s="349"/>
      <c r="E533" s="349"/>
      <c r="F533" s="349"/>
      <c r="G533" s="349"/>
      <c r="H533" s="350"/>
    </row>
    <row r="534" spans="1:8" ht="24.95" customHeight="1">
      <c r="A534" s="412" t="s">
        <v>192</v>
      </c>
      <c r="B534" s="347"/>
      <c r="C534" s="349"/>
      <c r="D534" s="349"/>
      <c r="E534" s="349"/>
      <c r="F534" s="349"/>
      <c r="G534" s="349"/>
      <c r="H534" s="350"/>
    </row>
    <row r="535" spans="1:8" ht="24.95" customHeight="1">
      <c r="A535" s="450" t="s">
        <v>1401</v>
      </c>
      <c r="B535" s="396" t="s">
        <v>1152</v>
      </c>
      <c r="C535" s="349">
        <v>500000</v>
      </c>
      <c r="D535" s="349">
        <v>500000</v>
      </c>
      <c r="E535" s="349"/>
      <c r="F535" s="349"/>
      <c r="G535" s="349"/>
      <c r="H535" s="350">
        <f t="shared" ref="H535:H540" si="91">F535-G535</f>
        <v>0</v>
      </c>
    </row>
    <row r="536" spans="1:8" ht="24.95" customHeight="1">
      <c r="A536" s="459" t="s">
        <v>1460</v>
      </c>
      <c r="B536" s="396" t="s">
        <v>1159</v>
      </c>
      <c r="C536" s="349">
        <v>866097</v>
      </c>
      <c r="D536" s="349">
        <v>0</v>
      </c>
      <c r="E536" s="349"/>
      <c r="F536" s="349">
        <v>0</v>
      </c>
      <c r="G536" s="349">
        <v>0</v>
      </c>
      <c r="H536" s="350">
        <f t="shared" si="91"/>
        <v>0</v>
      </c>
    </row>
    <row r="537" spans="1:8" ht="24.95" customHeight="1">
      <c r="A537" s="459" t="s">
        <v>1287</v>
      </c>
      <c r="B537" s="396" t="s">
        <v>1209</v>
      </c>
      <c r="C537" s="349">
        <v>0</v>
      </c>
      <c r="D537" s="349">
        <v>3097922</v>
      </c>
      <c r="E537" s="349"/>
      <c r="F537" s="349">
        <v>3097922</v>
      </c>
      <c r="G537" s="349">
        <v>3097922</v>
      </c>
      <c r="H537" s="350">
        <f t="shared" si="91"/>
        <v>0</v>
      </c>
    </row>
    <row r="538" spans="1:8" ht="24.95" customHeight="1">
      <c r="A538" s="450" t="s">
        <v>1402</v>
      </c>
      <c r="B538" s="347"/>
      <c r="C538" s="349">
        <v>0</v>
      </c>
      <c r="D538" s="349">
        <v>3500</v>
      </c>
      <c r="E538" s="349"/>
      <c r="F538" s="349">
        <v>3500</v>
      </c>
      <c r="G538" s="349">
        <v>3500</v>
      </c>
      <c r="H538" s="350">
        <f t="shared" si="91"/>
        <v>0</v>
      </c>
    </row>
    <row r="539" spans="1:8" ht="24.95" customHeight="1">
      <c r="A539" s="450" t="s">
        <v>1455</v>
      </c>
      <c r="B539" s="396"/>
      <c r="C539" s="349"/>
      <c r="D539" s="301">
        <v>12000</v>
      </c>
      <c r="E539" s="349"/>
      <c r="F539" s="349">
        <v>12000</v>
      </c>
      <c r="G539" s="349">
        <v>12000</v>
      </c>
      <c r="H539" s="350">
        <f t="shared" si="91"/>
        <v>0</v>
      </c>
    </row>
    <row r="540" spans="1:8" ht="24.95" customHeight="1">
      <c r="A540" s="450" t="s">
        <v>1456</v>
      </c>
      <c r="B540" s="396"/>
      <c r="C540" s="349"/>
      <c r="D540" s="301">
        <v>3295222</v>
      </c>
      <c r="E540" s="349"/>
      <c r="F540" s="349">
        <v>3295222</v>
      </c>
      <c r="G540" s="349">
        <v>3295222</v>
      </c>
      <c r="H540" s="350">
        <f t="shared" si="91"/>
        <v>0</v>
      </c>
    </row>
    <row r="541" spans="1:8" ht="24.95" customHeight="1">
      <c r="A541" s="460"/>
      <c r="B541" s="347"/>
      <c r="C541" s="349"/>
      <c r="D541" s="349"/>
      <c r="E541" s="349"/>
      <c r="F541" s="349"/>
      <c r="G541" s="349"/>
      <c r="H541" s="349"/>
    </row>
    <row r="542" spans="1:8" ht="24.95" customHeight="1">
      <c r="A542" s="460"/>
      <c r="B542" s="347"/>
      <c r="C542" s="349"/>
      <c r="D542" s="349"/>
      <c r="E542" s="349"/>
      <c r="F542" s="349"/>
      <c r="G542" s="349"/>
      <c r="H542" s="350"/>
    </row>
    <row r="543" spans="1:8" ht="24.95" customHeight="1" thickBot="1">
      <c r="A543" s="460"/>
      <c r="B543" s="347"/>
      <c r="C543" s="349"/>
      <c r="D543" s="349"/>
      <c r="E543" s="349"/>
      <c r="F543" s="349"/>
      <c r="G543" s="349"/>
      <c r="H543" s="350"/>
    </row>
    <row r="544" spans="1:8" ht="24.95" customHeight="1" thickTop="1">
      <c r="A544" s="368"/>
      <c r="B544" s="369"/>
      <c r="C544" s="368"/>
      <c r="D544" s="372" t="s">
        <v>468</v>
      </c>
      <c r="E544" s="368"/>
      <c r="F544" s="368"/>
      <c r="G544" s="368"/>
      <c r="H544" s="368"/>
    </row>
    <row r="545" spans="1:8" ht="37.5" customHeight="1" thickBot="1">
      <c r="A545" s="318"/>
      <c r="B545" s="319"/>
      <c r="C545" s="318" t="s">
        <v>922</v>
      </c>
      <c r="D545" s="370"/>
      <c r="E545" s="361"/>
      <c r="F545" s="322"/>
      <c r="G545" s="323"/>
      <c r="H545" s="321" t="s">
        <v>795</v>
      </c>
    </row>
    <row r="546" spans="1:8" ht="20.100000000000001" customHeight="1" thickTop="1" thickBot="1">
      <c r="A546" s="325" t="s">
        <v>923</v>
      </c>
      <c r="B546" s="326"/>
      <c r="C546" s="327"/>
      <c r="D546" s="328" t="s">
        <v>926</v>
      </c>
      <c r="E546" s="329"/>
      <c r="F546" s="330"/>
      <c r="G546" s="331" t="s">
        <v>1348</v>
      </c>
      <c r="H546" s="332"/>
    </row>
    <row r="547" spans="1:8" ht="38.25" customHeight="1" thickTop="1" thickBot="1">
      <c r="A547" s="437" t="s">
        <v>188</v>
      </c>
      <c r="B547" s="334" t="s">
        <v>793</v>
      </c>
      <c r="C547" s="335" t="s">
        <v>1349</v>
      </c>
      <c r="D547" s="335" t="s">
        <v>1266</v>
      </c>
      <c r="E547" s="362" t="s">
        <v>1350</v>
      </c>
      <c r="F547" s="363" t="s">
        <v>1351</v>
      </c>
      <c r="G547" s="338" t="s">
        <v>925</v>
      </c>
      <c r="H547" s="339" t="s">
        <v>927</v>
      </c>
    </row>
    <row r="548" spans="1:8" ht="24.95" customHeight="1" thickTop="1">
      <c r="A548" s="458" t="s">
        <v>187</v>
      </c>
      <c r="B548" s="413" t="s">
        <v>122</v>
      </c>
      <c r="C548" s="402" t="s">
        <v>123</v>
      </c>
      <c r="D548" s="402" t="s">
        <v>123</v>
      </c>
      <c r="E548" s="402" t="s">
        <v>123</v>
      </c>
      <c r="F548" s="402" t="s">
        <v>123</v>
      </c>
      <c r="G548" s="402" t="s">
        <v>123</v>
      </c>
      <c r="H548" s="414" t="s">
        <v>123</v>
      </c>
    </row>
    <row r="549" spans="1:8" ht="24.95" customHeight="1">
      <c r="A549" s="412" t="s">
        <v>193</v>
      </c>
      <c r="B549" s="347"/>
      <c r="C549" s="349"/>
      <c r="D549" s="349"/>
      <c r="E549" s="349"/>
      <c r="F549" s="349"/>
      <c r="G549" s="349"/>
      <c r="H549" s="350"/>
    </row>
    <row r="550" spans="1:8" ht="24.95" customHeight="1">
      <c r="A550" s="459" t="s">
        <v>1461</v>
      </c>
      <c r="B550" s="396" t="s">
        <v>1153</v>
      </c>
      <c r="C550" s="349">
        <v>0</v>
      </c>
      <c r="D550" s="349">
        <v>639576</v>
      </c>
      <c r="E550" s="349"/>
      <c r="F550" s="349">
        <v>639576</v>
      </c>
      <c r="G550" s="349">
        <v>639576</v>
      </c>
      <c r="H550" s="350">
        <f t="shared" ref="H550:H551" si="92">F550-G550</f>
        <v>0</v>
      </c>
    </row>
    <row r="551" spans="1:8" ht="24.95" customHeight="1">
      <c r="A551" s="461" t="s">
        <v>1413</v>
      </c>
      <c r="B551" s="396" t="s">
        <v>1155</v>
      </c>
      <c r="C551" s="349">
        <v>0</v>
      </c>
      <c r="D551" s="349">
        <v>54878</v>
      </c>
      <c r="E551" s="349"/>
      <c r="F551" s="349">
        <v>54878</v>
      </c>
      <c r="G551" s="349">
        <v>54878</v>
      </c>
      <c r="H551" s="350">
        <f t="shared" si="92"/>
        <v>0</v>
      </c>
    </row>
    <row r="552" spans="1:8" ht="24.95" customHeight="1">
      <c r="A552" s="462" t="s">
        <v>1486</v>
      </c>
      <c r="B552" s="347" t="s">
        <v>1158</v>
      </c>
      <c r="C552" s="349">
        <v>7498372</v>
      </c>
      <c r="D552" s="349">
        <v>0</v>
      </c>
      <c r="E552" s="349"/>
      <c r="F552" s="349">
        <v>0</v>
      </c>
      <c r="G552" s="349">
        <v>0</v>
      </c>
      <c r="H552" s="350">
        <v>0</v>
      </c>
    </row>
    <row r="553" spans="1:8" ht="24.95" customHeight="1">
      <c r="A553" s="456"/>
      <c r="B553" s="396"/>
      <c r="C553" s="349"/>
      <c r="D553" s="349"/>
      <c r="E553" s="349"/>
      <c r="F553" s="349"/>
      <c r="G553" s="349"/>
      <c r="H553" s="350"/>
    </row>
    <row r="554" spans="1:8" ht="24.95" customHeight="1">
      <c r="A554" s="462"/>
      <c r="B554" s="347"/>
      <c r="C554" s="349"/>
      <c r="D554" s="349"/>
      <c r="E554" s="349"/>
      <c r="F554" s="349"/>
      <c r="G554" s="349"/>
      <c r="H554" s="350"/>
    </row>
    <row r="555" spans="1:8" ht="24.95" customHeight="1">
      <c r="A555" s="412" t="s">
        <v>428</v>
      </c>
      <c r="B555" s="347"/>
      <c r="C555" s="349"/>
      <c r="D555" s="349"/>
      <c r="E555" s="349"/>
      <c r="F555" s="349"/>
      <c r="G555" s="349"/>
      <c r="H555" s="350"/>
    </row>
    <row r="556" spans="1:8" ht="24.95" customHeight="1">
      <c r="A556" s="460" t="s">
        <v>1192</v>
      </c>
      <c r="B556" s="347" t="s">
        <v>1194</v>
      </c>
      <c r="C556" s="349">
        <v>0</v>
      </c>
      <c r="D556" s="349">
        <v>0</v>
      </c>
      <c r="E556" s="349"/>
      <c r="F556" s="349">
        <v>0</v>
      </c>
      <c r="G556" s="349">
        <v>0</v>
      </c>
      <c r="H556" s="350"/>
    </row>
    <row r="557" spans="1:8" ht="24.95" customHeight="1">
      <c r="A557" s="373"/>
      <c r="B557" s="347"/>
      <c r="C557" s="349"/>
      <c r="D557" s="349"/>
      <c r="E557" s="349"/>
      <c r="F557" s="349"/>
      <c r="G557" s="349"/>
      <c r="H557" s="350"/>
    </row>
    <row r="558" spans="1:8" ht="24.95" customHeight="1">
      <c r="A558" s="373"/>
      <c r="B558" s="347"/>
      <c r="C558" s="349"/>
      <c r="D558" s="349"/>
      <c r="E558" s="349"/>
      <c r="F558" s="349"/>
      <c r="G558" s="349"/>
      <c r="H558" s="350"/>
    </row>
    <row r="559" spans="1:8" ht="24.95" customHeight="1">
      <c r="A559" s="412"/>
      <c r="B559" s="347"/>
      <c r="C559" s="349"/>
      <c r="D559" s="349"/>
      <c r="E559" s="349"/>
      <c r="F559" s="349"/>
      <c r="G559" s="349"/>
      <c r="H559" s="350"/>
    </row>
    <row r="560" spans="1:8" ht="24.95" customHeight="1">
      <c r="A560" s="460"/>
      <c r="B560" s="347"/>
      <c r="C560" s="349"/>
      <c r="D560" s="349"/>
      <c r="E560" s="349"/>
      <c r="F560" s="349"/>
      <c r="G560" s="349"/>
      <c r="H560" s="350"/>
    </row>
    <row r="561" spans="1:8" ht="24.95" customHeight="1">
      <c r="A561" s="460"/>
      <c r="B561" s="347"/>
      <c r="C561" s="349"/>
      <c r="D561" s="349"/>
      <c r="E561" s="349"/>
      <c r="F561" s="349"/>
      <c r="G561" s="349"/>
      <c r="H561" s="350"/>
    </row>
    <row r="562" spans="1:8" ht="24.95" customHeight="1">
      <c r="A562" s="460"/>
      <c r="B562" s="347"/>
      <c r="C562" s="349"/>
      <c r="D562" s="349"/>
      <c r="E562" s="349"/>
      <c r="F562" s="349"/>
      <c r="G562" s="349"/>
      <c r="H562" s="350"/>
    </row>
    <row r="563" spans="1:8" ht="24.95" customHeight="1">
      <c r="A563" s="373"/>
      <c r="B563" s="347"/>
      <c r="C563" s="349"/>
      <c r="D563" s="349"/>
      <c r="E563" s="349"/>
      <c r="F563" s="349"/>
      <c r="G563" s="349"/>
      <c r="H563" s="350"/>
    </row>
    <row r="564" spans="1:8" ht="24.95" customHeight="1" thickBot="1">
      <c r="A564" s="373"/>
      <c r="B564" s="347"/>
      <c r="C564" s="349"/>
      <c r="D564" s="349"/>
      <c r="E564" s="349"/>
      <c r="F564" s="349"/>
      <c r="G564" s="349"/>
      <c r="H564" s="350"/>
    </row>
    <row r="565" spans="1:8" ht="24.95" customHeight="1" thickTop="1">
      <c r="A565" s="368"/>
      <c r="B565" s="369"/>
      <c r="C565" s="368"/>
      <c r="D565" s="372" t="s">
        <v>469</v>
      </c>
      <c r="E565" s="368"/>
      <c r="F565" s="368"/>
      <c r="G565" s="368"/>
      <c r="H565" s="368"/>
    </row>
    <row r="566" spans="1:8" ht="37.5" customHeight="1" thickBot="1">
      <c r="A566" s="318"/>
      <c r="B566" s="319"/>
      <c r="C566" s="318" t="s">
        <v>922</v>
      </c>
      <c r="D566" s="370"/>
      <c r="E566" s="361"/>
      <c r="F566" s="322"/>
      <c r="G566" s="323"/>
      <c r="H566" s="321" t="s">
        <v>795</v>
      </c>
    </row>
    <row r="567" spans="1:8" ht="20.100000000000001" customHeight="1" thickTop="1" thickBot="1">
      <c r="A567" s="325" t="s">
        <v>923</v>
      </c>
      <c r="B567" s="326"/>
      <c r="C567" s="327"/>
      <c r="D567" s="328" t="s">
        <v>926</v>
      </c>
      <c r="E567" s="329"/>
      <c r="F567" s="330"/>
      <c r="G567" s="331" t="s">
        <v>1348</v>
      </c>
      <c r="H567" s="332"/>
    </row>
    <row r="568" spans="1:8" ht="38.25" customHeight="1" thickTop="1" thickBot="1">
      <c r="A568" s="437" t="s">
        <v>188</v>
      </c>
      <c r="B568" s="334" t="s">
        <v>793</v>
      </c>
      <c r="C568" s="335" t="s">
        <v>1349</v>
      </c>
      <c r="D568" s="335" t="s">
        <v>1266</v>
      </c>
      <c r="E568" s="362" t="s">
        <v>1350</v>
      </c>
      <c r="F568" s="363" t="s">
        <v>1351</v>
      </c>
      <c r="G568" s="338" t="s">
        <v>925</v>
      </c>
      <c r="H568" s="339" t="s">
        <v>927</v>
      </c>
    </row>
    <row r="569" spans="1:8" ht="24.95" customHeight="1" thickTop="1">
      <c r="A569" s="458" t="s">
        <v>187</v>
      </c>
      <c r="B569" s="413" t="s">
        <v>122</v>
      </c>
      <c r="C569" s="402" t="s">
        <v>123</v>
      </c>
      <c r="D569" s="402" t="s">
        <v>123</v>
      </c>
      <c r="E569" s="402" t="s">
        <v>123</v>
      </c>
      <c r="F569" s="402" t="s">
        <v>123</v>
      </c>
      <c r="G569" s="402" t="s">
        <v>123</v>
      </c>
      <c r="H569" s="414" t="s">
        <v>123</v>
      </c>
    </row>
    <row r="570" spans="1:8" ht="24.95" customHeight="1">
      <c r="A570" s="463" t="s">
        <v>195</v>
      </c>
      <c r="B570" s="347"/>
      <c r="C570" s="349"/>
      <c r="D570" s="349"/>
      <c r="E570" s="349"/>
      <c r="F570" s="349"/>
      <c r="G570" s="349"/>
      <c r="H570" s="350"/>
    </row>
    <row r="571" spans="1:8" ht="24.95" customHeight="1">
      <c r="A571" s="428" t="s">
        <v>490</v>
      </c>
      <c r="B571" s="347" t="s">
        <v>194</v>
      </c>
      <c r="C571" s="349">
        <v>88535</v>
      </c>
      <c r="D571" s="349">
        <v>88535</v>
      </c>
      <c r="E571" s="349"/>
      <c r="F571" s="349">
        <v>88535</v>
      </c>
      <c r="G571" s="349">
        <v>88535</v>
      </c>
      <c r="H571" s="350">
        <f t="shared" ref="H571:H576" si="93">F571-G571</f>
        <v>0</v>
      </c>
    </row>
    <row r="572" spans="1:8" ht="24.95" customHeight="1">
      <c r="A572" s="456" t="s">
        <v>1462</v>
      </c>
      <c r="B572" s="347" t="s">
        <v>2</v>
      </c>
      <c r="C572" s="349">
        <v>243400</v>
      </c>
      <c r="D572" s="349">
        <v>243400</v>
      </c>
      <c r="E572" s="349"/>
      <c r="F572" s="349">
        <v>243400</v>
      </c>
      <c r="G572" s="349">
        <v>243400</v>
      </c>
      <c r="H572" s="350">
        <f t="shared" si="93"/>
        <v>0</v>
      </c>
    </row>
    <row r="573" spans="1:8" ht="24.95" customHeight="1">
      <c r="A573" s="460" t="s">
        <v>1463</v>
      </c>
      <c r="B573" s="347" t="s">
        <v>865</v>
      </c>
      <c r="C573" s="349">
        <v>230846</v>
      </c>
      <c r="D573" s="349">
        <v>230846</v>
      </c>
      <c r="E573" s="349"/>
      <c r="F573" s="349">
        <v>230846</v>
      </c>
      <c r="G573" s="349">
        <v>230846</v>
      </c>
      <c r="H573" s="350">
        <f t="shared" si="93"/>
        <v>0</v>
      </c>
    </row>
    <row r="574" spans="1:8" ht="24.95" customHeight="1">
      <c r="A574" s="456" t="s">
        <v>1464</v>
      </c>
      <c r="B574" s="396" t="s">
        <v>1204</v>
      </c>
      <c r="C574" s="349">
        <v>18000</v>
      </c>
      <c r="D574" s="349">
        <v>97254</v>
      </c>
      <c r="E574" s="349"/>
      <c r="F574" s="349">
        <v>97254</v>
      </c>
      <c r="G574" s="349">
        <v>97254</v>
      </c>
      <c r="H574" s="350">
        <f t="shared" si="93"/>
        <v>0</v>
      </c>
    </row>
    <row r="575" spans="1:8" ht="24.95" customHeight="1">
      <c r="A575" s="464" t="s">
        <v>1465</v>
      </c>
      <c r="B575" s="347" t="s">
        <v>1</v>
      </c>
      <c r="C575" s="349">
        <v>226525</v>
      </c>
      <c r="D575" s="349">
        <v>226525</v>
      </c>
      <c r="E575" s="349"/>
      <c r="F575" s="349">
        <v>226525</v>
      </c>
      <c r="G575" s="349">
        <v>226525</v>
      </c>
      <c r="H575" s="350">
        <f t="shared" si="93"/>
        <v>0</v>
      </c>
    </row>
    <row r="576" spans="1:8" ht="24.95" customHeight="1">
      <c r="A576" s="456" t="s">
        <v>1466</v>
      </c>
      <c r="B576" s="396"/>
      <c r="C576" s="349">
        <v>208700</v>
      </c>
      <c r="D576" s="349">
        <v>208700</v>
      </c>
      <c r="E576" s="349"/>
      <c r="F576" s="349">
        <v>208700</v>
      </c>
      <c r="G576" s="349">
        <v>208700</v>
      </c>
      <c r="H576" s="350">
        <f t="shared" si="93"/>
        <v>0</v>
      </c>
    </row>
    <row r="577" spans="1:8" ht="24.95" customHeight="1">
      <c r="A577" s="456"/>
      <c r="B577" s="347"/>
      <c r="C577" s="349"/>
      <c r="D577" s="349"/>
      <c r="E577" s="349"/>
      <c r="F577" s="349"/>
      <c r="G577" s="349"/>
      <c r="H577" s="350"/>
    </row>
    <row r="578" spans="1:8" ht="24.95" customHeight="1">
      <c r="A578" s="427"/>
      <c r="B578" s="347"/>
      <c r="C578" s="349"/>
      <c r="D578" s="349"/>
      <c r="E578" s="349"/>
      <c r="F578" s="349"/>
      <c r="G578" s="349"/>
      <c r="H578" s="350"/>
    </row>
    <row r="579" spans="1:8" ht="24.95" customHeight="1">
      <c r="A579" s="427"/>
      <c r="B579" s="347"/>
      <c r="C579" s="349"/>
      <c r="D579" s="349"/>
      <c r="E579" s="349"/>
      <c r="F579" s="349"/>
      <c r="G579" s="349"/>
      <c r="H579" s="350"/>
    </row>
    <row r="580" spans="1:8" ht="24.95" customHeight="1">
      <c r="A580" s="427"/>
      <c r="B580" s="347"/>
      <c r="C580" s="349"/>
      <c r="D580" s="349"/>
      <c r="E580" s="349"/>
      <c r="F580" s="349"/>
      <c r="G580" s="349"/>
      <c r="H580" s="350"/>
    </row>
    <row r="581" spans="1:8" ht="24.95" customHeight="1">
      <c r="A581" s="427"/>
      <c r="B581" s="347"/>
      <c r="C581" s="349"/>
      <c r="D581" s="349"/>
      <c r="E581" s="349"/>
      <c r="F581" s="349"/>
      <c r="G581" s="349"/>
      <c r="H581" s="350"/>
    </row>
    <row r="582" spans="1:8" ht="24.95" customHeight="1">
      <c r="A582" s="427"/>
      <c r="B582" s="347"/>
      <c r="C582" s="349"/>
      <c r="D582" s="349"/>
      <c r="E582" s="349"/>
      <c r="F582" s="349"/>
      <c r="G582" s="349"/>
      <c r="H582" s="350"/>
    </row>
    <row r="583" spans="1:8" ht="24.95" customHeight="1">
      <c r="A583" s="428"/>
      <c r="B583" s="347"/>
      <c r="C583" s="349"/>
      <c r="D583" s="349"/>
      <c r="E583" s="349"/>
      <c r="F583" s="349"/>
      <c r="G583" s="349"/>
      <c r="H583" s="350"/>
    </row>
    <row r="584" spans="1:8" ht="24.95" customHeight="1">
      <c r="A584" s="427"/>
      <c r="B584" s="347"/>
      <c r="C584" s="349"/>
      <c r="D584" s="349"/>
      <c r="E584" s="349"/>
      <c r="F584" s="349"/>
      <c r="G584" s="349"/>
      <c r="H584" s="350"/>
    </row>
    <row r="585" spans="1:8" ht="24.95" customHeight="1" thickBot="1">
      <c r="A585" s="427"/>
      <c r="B585" s="347"/>
      <c r="C585" s="349"/>
      <c r="D585" s="349"/>
      <c r="E585" s="349"/>
      <c r="F585" s="349"/>
      <c r="G585" s="349"/>
      <c r="H585" s="350"/>
    </row>
    <row r="586" spans="1:8" ht="24.95" customHeight="1" thickTop="1">
      <c r="A586" s="368"/>
      <c r="B586" s="369"/>
      <c r="C586" s="368"/>
      <c r="D586" s="372" t="s">
        <v>470</v>
      </c>
      <c r="E586" s="368"/>
      <c r="F586" s="368"/>
      <c r="G586" s="368"/>
      <c r="H586" s="368"/>
    </row>
    <row r="587" spans="1:8" ht="37.5" customHeight="1" thickBot="1">
      <c r="A587" s="318"/>
      <c r="B587" s="319"/>
      <c r="C587" s="318" t="s">
        <v>922</v>
      </c>
      <c r="D587" s="370"/>
      <c r="E587" s="361"/>
      <c r="F587" s="322"/>
      <c r="G587" s="323"/>
      <c r="H587" s="321" t="s">
        <v>795</v>
      </c>
    </row>
    <row r="588" spans="1:8" ht="20.100000000000001" customHeight="1" thickTop="1" thickBot="1">
      <c r="A588" s="325" t="s">
        <v>923</v>
      </c>
      <c r="B588" s="326"/>
      <c r="C588" s="327"/>
      <c r="D588" s="328" t="s">
        <v>926</v>
      </c>
      <c r="E588" s="329"/>
      <c r="F588" s="330"/>
      <c r="G588" s="331" t="s">
        <v>1348</v>
      </c>
      <c r="H588" s="332"/>
    </row>
    <row r="589" spans="1:8" ht="38.25" customHeight="1" thickTop="1" thickBot="1">
      <c r="A589" s="437" t="s">
        <v>188</v>
      </c>
      <c r="B589" s="334" t="s">
        <v>793</v>
      </c>
      <c r="C589" s="335" t="s">
        <v>1349</v>
      </c>
      <c r="D589" s="335" t="s">
        <v>1266</v>
      </c>
      <c r="E589" s="362" t="s">
        <v>1350</v>
      </c>
      <c r="F589" s="363" t="s">
        <v>1351</v>
      </c>
      <c r="G589" s="338" t="s">
        <v>925</v>
      </c>
      <c r="H589" s="339" t="s">
        <v>927</v>
      </c>
    </row>
    <row r="590" spans="1:8" ht="24.95" customHeight="1" thickTop="1">
      <c r="A590" s="458" t="s">
        <v>187</v>
      </c>
      <c r="B590" s="413" t="s">
        <v>122</v>
      </c>
      <c r="C590" s="402" t="s">
        <v>123</v>
      </c>
      <c r="D590" s="402" t="s">
        <v>123</v>
      </c>
      <c r="E590" s="402" t="s">
        <v>123</v>
      </c>
      <c r="F590" s="402" t="s">
        <v>123</v>
      </c>
      <c r="G590" s="402" t="s">
        <v>123</v>
      </c>
      <c r="H590" s="414" t="s">
        <v>123</v>
      </c>
    </row>
    <row r="591" spans="1:8" ht="24.95" customHeight="1">
      <c r="A591" s="465" t="s">
        <v>1467</v>
      </c>
      <c r="B591" s="347"/>
      <c r="C591" s="349"/>
      <c r="D591" s="349"/>
      <c r="E591" s="349"/>
      <c r="F591" s="349"/>
      <c r="G591" s="349"/>
      <c r="H591" s="350"/>
    </row>
    <row r="592" spans="1:8" ht="24.95" customHeight="1">
      <c r="A592" s="464" t="s">
        <v>1181</v>
      </c>
      <c r="B592" s="347" t="s">
        <v>3</v>
      </c>
      <c r="C592" s="349">
        <v>199563</v>
      </c>
      <c r="D592" s="349">
        <v>199563</v>
      </c>
      <c r="E592" s="349"/>
      <c r="F592" s="349">
        <v>199563</v>
      </c>
      <c r="G592" s="349">
        <v>199563</v>
      </c>
      <c r="H592" s="350">
        <f t="shared" ref="H592:H598" si="94">F592-G592</f>
        <v>0</v>
      </c>
    </row>
    <row r="593" spans="1:8" ht="24.95" customHeight="1">
      <c r="A593" s="464" t="s">
        <v>1249</v>
      </c>
      <c r="B593" s="347" t="s">
        <v>1195</v>
      </c>
      <c r="C593" s="349">
        <v>0</v>
      </c>
      <c r="D593" s="349">
        <v>0</v>
      </c>
      <c r="E593" s="349"/>
      <c r="F593" s="349">
        <v>0</v>
      </c>
      <c r="G593" s="349">
        <v>0</v>
      </c>
      <c r="H593" s="350">
        <f t="shared" si="94"/>
        <v>0</v>
      </c>
    </row>
    <row r="594" spans="1:8" ht="24.95" customHeight="1">
      <c r="A594" s="456" t="s">
        <v>1245</v>
      </c>
      <c r="B594" s="347" t="s">
        <v>198</v>
      </c>
      <c r="C594" s="349">
        <v>34598.629999999997</v>
      </c>
      <c r="D594" s="349">
        <v>34409.24</v>
      </c>
      <c r="E594" s="349"/>
      <c r="F594" s="349">
        <v>34409.24</v>
      </c>
      <c r="G594" s="349">
        <v>34409.24</v>
      </c>
      <c r="H594" s="350">
        <f t="shared" si="94"/>
        <v>0</v>
      </c>
    </row>
    <row r="595" spans="1:8" ht="24.95" customHeight="1">
      <c r="A595" s="466" t="s">
        <v>1468</v>
      </c>
      <c r="B595" s="396" t="s">
        <v>1112</v>
      </c>
      <c r="C595" s="302">
        <v>5000</v>
      </c>
      <c r="D595" s="302">
        <v>0</v>
      </c>
      <c r="E595" s="349"/>
      <c r="F595" s="349">
        <v>0</v>
      </c>
      <c r="G595" s="349">
        <v>0</v>
      </c>
      <c r="H595" s="350">
        <f t="shared" si="94"/>
        <v>0</v>
      </c>
    </row>
    <row r="596" spans="1:8" ht="24.95" customHeight="1">
      <c r="A596" s="459" t="s">
        <v>1410</v>
      </c>
      <c r="B596" s="396" t="s">
        <v>1069</v>
      </c>
      <c r="C596" s="301">
        <v>0</v>
      </c>
      <c r="D596" s="301">
        <v>11448.36</v>
      </c>
      <c r="E596" s="349"/>
      <c r="F596" s="302">
        <v>11448.36</v>
      </c>
      <c r="G596" s="302">
        <v>11448.36</v>
      </c>
      <c r="H596" s="350">
        <f t="shared" si="94"/>
        <v>0</v>
      </c>
    </row>
    <row r="597" spans="1:8" ht="24.95" customHeight="1">
      <c r="A597" s="466" t="s">
        <v>1469</v>
      </c>
      <c r="B597" s="396" t="s">
        <v>1134</v>
      </c>
      <c r="C597" s="302">
        <v>0</v>
      </c>
      <c r="D597" s="302">
        <v>16000</v>
      </c>
      <c r="E597" s="349"/>
      <c r="F597" s="301">
        <v>16000</v>
      </c>
      <c r="G597" s="301">
        <v>16000</v>
      </c>
      <c r="H597" s="350">
        <f t="shared" si="94"/>
        <v>0</v>
      </c>
    </row>
    <row r="598" spans="1:8" ht="24.95" customHeight="1">
      <c r="A598" s="450" t="s">
        <v>1457</v>
      </c>
      <c r="B598" s="396"/>
      <c r="C598" s="302"/>
      <c r="D598" s="301">
        <v>10897.16</v>
      </c>
      <c r="E598" s="349"/>
      <c r="F598" s="302">
        <v>10897.16</v>
      </c>
      <c r="G598" s="302">
        <v>10897.16</v>
      </c>
      <c r="H598" s="350">
        <f t="shared" si="94"/>
        <v>0</v>
      </c>
    </row>
    <row r="599" spans="1:8" ht="24.95" customHeight="1">
      <c r="B599" s="324"/>
      <c r="E599" s="349"/>
      <c r="F599" s="302"/>
      <c r="G599" s="302"/>
      <c r="H599" s="350"/>
    </row>
    <row r="600" spans="1:8" ht="24.95" customHeight="1">
      <c r="A600" s="467"/>
      <c r="B600" s="347"/>
      <c r="C600" s="349"/>
      <c r="D600" s="349"/>
      <c r="E600" s="349"/>
      <c r="F600" s="349"/>
      <c r="G600" s="349"/>
      <c r="H600" s="350"/>
    </row>
    <row r="601" spans="1:8" ht="24.95" customHeight="1">
      <c r="A601" s="427"/>
      <c r="B601" s="347"/>
      <c r="C601" s="349"/>
      <c r="D601" s="349"/>
      <c r="E601" s="349"/>
      <c r="F601" s="349"/>
      <c r="G601" s="349"/>
      <c r="H601" s="350"/>
    </row>
    <row r="602" spans="1:8" ht="24.95" customHeight="1">
      <c r="A602" s="468"/>
      <c r="B602" s="347"/>
      <c r="C602" s="349"/>
      <c r="D602" s="349"/>
      <c r="E602" s="349"/>
      <c r="F602" s="349"/>
      <c r="G602" s="349"/>
      <c r="H602" s="350"/>
    </row>
    <row r="603" spans="1:8" ht="24.95" customHeight="1">
      <c r="A603" s="428"/>
      <c r="B603" s="347"/>
      <c r="C603" s="349"/>
      <c r="D603" s="349"/>
      <c r="E603" s="349"/>
      <c r="F603" s="349"/>
      <c r="G603" s="349"/>
      <c r="H603" s="350"/>
    </row>
    <row r="604" spans="1:8" ht="24.95" customHeight="1">
      <c r="A604" s="427"/>
      <c r="B604" s="347"/>
      <c r="C604" s="349"/>
      <c r="D604" s="349"/>
      <c r="E604" s="349"/>
      <c r="F604" s="349"/>
      <c r="G604" s="349"/>
      <c r="H604" s="350"/>
    </row>
    <row r="605" spans="1:8" ht="24.95" customHeight="1">
      <c r="A605" s="428"/>
      <c r="B605" s="347"/>
      <c r="C605" s="349"/>
      <c r="D605" s="349"/>
      <c r="E605" s="349"/>
      <c r="F605" s="349"/>
      <c r="G605" s="349"/>
      <c r="H605" s="350"/>
    </row>
    <row r="606" spans="1:8" ht="24.95" customHeight="1" thickBot="1">
      <c r="A606" s="468"/>
      <c r="B606" s="347"/>
      <c r="C606" s="349"/>
      <c r="D606" s="349"/>
      <c r="E606" s="349"/>
      <c r="F606" s="349"/>
      <c r="G606" s="349"/>
      <c r="H606" s="350"/>
    </row>
    <row r="607" spans="1:8" ht="24.95" customHeight="1" thickTop="1">
      <c r="A607" s="368"/>
      <c r="B607" s="369"/>
      <c r="C607" s="368"/>
      <c r="D607" s="372" t="s">
        <v>471</v>
      </c>
      <c r="E607" s="368"/>
      <c r="F607" s="368"/>
      <c r="G607" s="368"/>
      <c r="H607" s="368"/>
    </row>
    <row r="608" spans="1:8" ht="37.5" customHeight="1" thickBot="1">
      <c r="A608" s="318"/>
      <c r="B608" s="319"/>
      <c r="C608" s="318" t="s">
        <v>922</v>
      </c>
      <c r="D608" s="370"/>
      <c r="E608" s="361"/>
      <c r="F608" s="322"/>
      <c r="G608" s="323"/>
      <c r="H608" s="321" t="s">
        <v>795</v>
      </c>
    </row>
    <row r="609" spans="1:8" ht="20.100000000000001" customHeight="1" thickTop="1" thickBot="1">
      <c r="A609" s="325" t="s">
        <v>923</v>
      </c>
      <c r="B609" s="326"/>
      <c r="C609" s="327"/>
      <c r="D609" s="328" t="s">
        <v>926</v>
      </c>
      <c r="E609" s="329"/>
      <c r="F609" s="330"/>
      <c r="G609" s="331" t="s">
        <v>1348</v>
      </c>
      <c r="H609" s="332"/>
    </row>
    <row r="610" spans="1:8" ht="38.25" customHeight="1" thickTop="1" thickBot="1">
      <c r="A610" s="437" t="s">
        <v>188</v>
      </c>
      <c r="B610" s="334" t="s">
        <v>793</v>
      </c>
      <c r="C610" s="335" t="s">
        <v>1349</v>
      </c>
      <c r="D610" s="335" t="s">
        <v>1266</v>
      </c>
      <c r="E610" s="362" t="s">
        <v>1350</v>
      </c>
      <c r="F610" s="363" t="s">
        <v>1351</v>
      </c>
      <c r="G610" s="338" t="s">
        <v>925</v>
      </c>
      <c r="H610" s="339" t="s">
        <v>927</v>
      </c>
    </row>
    <row r="611" spans="1:8" ht="24.95" customHeight="1" thickTop="1">
      <c r="A611" s="458" t="s">
        <v>187</v>
      </c>
      <c r="B611" s="413" t="s">
        <v>122</v>
      </c>
      <c r="C611" s="402" t="s">
        <v>123</v>
      </c>
      <c r="D611" s="402" t="s">
        <v>123</v>
      </c>
      <c r="E611" s="402" t="s">
        <v>123</v>
      </c>
      <c r="F611" s="402" t="s">
        <v>123</v>
      </c>
      <c r="G611" s="402" t="s">
        <v>123</v>
      </c>
      <c r="H611" s="414" t="s">
        <v>123</v>
      </c>
    </row>
    <row r="612" spans="1:8" ht="24.95" customHeight="1">
      <c r="A612" s="465" t="s">
        <v>229</v>
      </c>
      <c r="B612" s="347"/>
      <c r="C612" s="349"/>
      <c r="D612" s="349"/>
      <c r="E612" s="349"/>
      <c r="F612" s="349"/>
      <c r="G612" s="349"/>
      <c r="H612" s="350"/>
    </row>
    <row r="613" spans="1:8" ht="24.95" customHeight="1">
      <c r="A613" s="427"/>
      <c r="B613" s="396"/>
      <c r="C613" s="349"/>
      <c r="D613" s="349"/>
      <c r="E613" s="349"/>
      <c r="F613" s="349"/>
      <c r="G613" s="349"/>
      <c r="H613" s="350"/>
    </row>
    <row r="614" spans="1:8" ht="24.95" customHeight="1">
      <c r="A614" s="450" t="s">
        <v>1454</v>
      </c>
      <c r="B614" s="347" t="s">
        <v>861</v>
      </c>
      <c r="C614" s="349">
        <v>0</v>
      </c>
      <c r="D614" s="301">
        <v>221874</v>
      </c>
      <c r="E614" s="349"/>
      <c r="F614" s="349">
        <v>221874</v>
      </c>
      <c r="G614" s="349">
        <v>221874</v>
      </c>
      <c r="H614" s="350">
        <f t="shared" ref="H614:H616" si="95">F614-G614</f>
        <v>0</v>
      </c>
    </row>
    <row r="615" spans="1:8" ht="24.95" customHeight="1">
      <c r="A615" s="427" t="s">
        <v>1414</v>
      </c>
      <c r="B615" s="347"/>
      <c r="C615" s="349">
        <v>0</v>
      </c>
      <c r="D615" s="349">
        <v>23835</v>
      </c>
      <c r="E615" s="349"/>
      <c r="F615" s="349">
        <v>23835</v>
      </c>
      <c r="G615" s="349">
        <v>23835</v>
      </c>
      <c r="H615" s="350">
        <f t="shared" si="95"/>
        <v>0</v>
      </c>
    </row>
    <row r="616" spans="1:8" ht="24.95" customHeight="1">
      <c r="A616" s="469" t="s">
        <v>1458</v>
      </c>
      <c r="B616" s="396"/>
      <c r="C616" s="349"/>
      <c r="D616" s="301">
        <v>193565.48</v>
      </c>
      <c r="E616" s="349"/>
      <c r="F616" s="349">
        <v>193565.48</v>
      </c>
      <c r="G616" s="349">
        <v>193565.48</v>
      </c>
      <c r="H616" s="350">
        <f t="shared" si="95"/>
        <v>0</v>
      </c>
    </row>
    <row r="617" spans="1:8" ht="24.95" customHeight="1">
      <c r="A617" s="465"/>
      <c r="B617" s="347"/>
      <c r="C617" s="349"/>
      <c r="D617" s="349"/>
      <c r="E617" s="349"/>
      <c r="F617" s="349"/>
      <c r="G617" s="349"/>
      <c r="H617" s="350"/>
    </row>
    <row r="618" spans="1:8" ht="24.95" customHeight="1">
      <c r="A618" s="465" t="s">
        <v>230</v>
      </c>
      <c r="B618" s="347"/>
      <c r="C618" s="349"/>
      <c r="D618" s="349"/>
      <c r="E618" s="349"/>
      <c r="F618" s="349"/>
      <c r="G618" s="349"/>
      <c r="H618" s="350"/>
    </row>
    <row r="619" spans="1:8" ht="24.95" customHeight="1">
      <c r="A619" s="428"/>
      <c r="B619" s="347"/>
      <c r="C619" s="349"/>
      <c r="D619" s="349"/>
      <c r="E619" s="349"/>
      <c r="F619" s="349"/>
      <c r="G619" s="349"/>
      <c r="H619" s="350"/>
    </row>
    <row r="620" spans="1:8" ht="24.95" customHeight="1">
      <c r="A620" s="427" t="s">
        <v>231</v>
      </c>
      <c r="B620" s="347" t="s">
        <v>233</v>
      </c>
      <c r="C620" s="349">
        <v>236400</v>
      </c>
      <c r="D620" s="349">
        <v>242031</v>
      </c>
      <c r="E620" s="349"/>
      <c r="F620" s="349">
        <v>242031</v>
      </c>
      <c r="G620" s="349">
        <v>242031</v>
      </c>
      <c r="H620" s="350">
        <f t="shared" ref="H620:H621" si="96">F620-G620</f>
        <v>0</v>
      </c>
    </row>
    <row r="621" spans="1:8" ht="24.95" customHeight="1">
      <c r="A621" s="428" t="s">
        <v>1190</v>
      </c>
      <c r="B621" s="347" t="s">
        <v>1191</v>
      </c>
      <c r="C621" s="349">
        <v>0</v>
      </c>
      <c r="D621" s="349">
        <v>50000</v>
      </c>
      <c r="E621" s="349"/>
      <c r="F621" s="349">
        <v>50000</v>
      </c>
      <c r="G621" s="349">
        <v>50000</v>
      </c>
      <c r="H621" s="350">
        <f t="shared" si="96"/>
        <v>0</v>
      </c>
    </row>
    <row r="622" spans="1:8" ht="24.95" customHeight="1">
      <c r="A622" s="428"/>
      <c r="B622" s="347"/>
      <c r="C622" s="349"/>
      <c r="D622" s="349"/>
      <c r="E622" s="349"/>
      <c r="F622" s="349"/>
      <c r="G622" s="349"/>
      <c r="H622" s="350"/>
    </row>
    <row r="623" spans="1:8" ht="24.95" customHeight="1">
      <c r="A623" s="428"/>
      <c r="B623" s="347"/>
      <c r="C623" s="349"/>
      <c r="D623" s="349"/>
      <c r="E623" s="349"/>
      <c r="F623" s="349"/>
      <c r="G623" s="349"/>
      <c r="H623" s="350"/>
    </row>
    <row r="624" spans="1:8" ht="24.95" customHeight="1">
      <c r="A624" s="464"/>
      <c r="B624" s="396"/>
      <c r="C624" s="349"/>
      <c r="D624" s="349"/>
      <c r="E624" s="349"/>
      <c r="F624" s="349"/>
      <c r="G624" s="349"/>
      <c r="H624" s="350"/>
    </row>
    <row r="625" spans="1:8" ht="24.95" customHeight="1">
      <c r="A625" s="460"/>
      <c r="B625" s="396"/>
      <c r="C625" s="349"/>
      <c r="D625" s="349"/>
      <c r="E625" s="349"/>
      <c r="F625" s="349"/>
      <c r="G625" s="349"/>
      <c r="H625" s="350"/>
    </row>
    <row r="626" spans="1:8" ht="24.95" customHeight="1">
      <c r="A626" s="464"/>
      <c r="B626" s="396"/>
      <c r="C626" s="349"/>
      <c r="D626" s="349"/>
      <c r="E626" s="349"/>
      <c r="F626" s="349"/>
      <c r="G626" s="349"/>
      <c r="H626" s="350"/>
    </row>
    <row r="627" spans="1:8" ht="24.95" customHeight="1" thickBot="1">
      <c r="A627" s="459"/>
      <c r="B627" s="396"/>
      <c r="C627" s="349"/>
      <c r="D627" s="349"/>
      <c r="E627" s="349"/>
      <c r="F627" s="349"/>
      <c r="G627" s="349"/>
      <c r="H627" s="350"/>
    </row>
    <row r="628" spans="1:8" ht="24.95" customHeight="1" thickTop="1">
      <c r="A628" s="368"/>
      <c r="B628" s="369"/>
      <c r="C628" s="368"/>
      <c r="D628" s="372" t="s">
        <v>472</v>
      </c>
      <c r="E628" s="368"/>
      <c r="F628" s="368"/>
      <c r="G628" s="368"/>
      <c r="H628" s="368"/>
    </row>
    <row r="629" spans="1:8" ht="37.5" customHeight="1" thickBot="1">
      <c r="A629" s="318"/>
      <c r="B629" s="319"/>
      <c r="C629" s="318" t="s">
        <v>922</v>
      </c>
      <c r="D629" s="370"/>
      <c r="E629" s="361"/>
      <c r="F629" s="322"/>
      <c r="G629" s="323"/>
      <c r="H629" s="321" t="s">
        <v>795</v>
      </c>
    </row>
    <row r="630" spans="1:8" ht="20.100000000000001" customHeight="1" thickTop="1" thickBot="1">
      <c r="A630" s="325" t="s">
        <v>923</v>
      </c>
      <c r="B630" s="326"/>
      <c r="C630" s="327"/>
      <c r="D630" s="328" t="s">
        <v>926</v>
      </c>
      <c r="E630" s="329"/>
      <c r="F630" s="330"/>
      <c r="G630" s="331" t="s">
        <v>1348</v>
      </c>
      <c r="H630" s="332"/>
    </row>
    <row r="631" spans="1:8" ht="38.25" customHeight="1" thickTop="1" thickBot="1">
      <c r="A631" s="437" t="s">
        <v>188</v>
      </c>
      <c r="B631" s="334" t="s">
        <v>793</v>
      </c>
      <c r="C631" s="335" t="s">
        <v>1349</v>
      </c>
      <c r="D631" s="335" t="s">
        <v>1266</v>
      </c>
      <c r="E631" s="362" t="s">
        <v>1350</v>
      </c>
      <c r="F631" s="363" t="s">
        <v>1351</v>
      </c>
      <c r="G631" s="338" t="s">
        <v>925</v>
      </c>
      <c r="H631" s="339" t="s">
        <v>927</v>
      </c>
    </row>
    <row r="632" spans="1:8" ht="24.95" customHeight="1" thickTop="1">
      <c r="A632" s="458" t="s">
        <v>187</v>
      </c>
      <c r="B632" s="413" t="s">
        <v>122</v>
      </c>
      <c r="C632" s="402" t="s">
        <v>123</v>
      </c>
      <c r="D632" s="402" t="s">
        <v>123</v>
      </c>
      <c r="E632" s="402" t="s">
        <v>123</v>
      </c>
      <c r="F632" s="402" t="s">
        <v>123</v>
      </c>
      <c r="G632" s="402" t="s">
        <v>123</v>
      </c>
      <c r="H632" s="414" t="s">
        <v>123</v>
      </c>
    </row>
    <row r="633" spans="1:8" ht="24.95" customHeight="1">
      <c r="A633" s="412" t="s">
        <v>235</v>
      </c>
      <c r="B633" s="347"/>
      <c r="C633" s="349"/>
      <c r="D633" s="349"/>
      <c r="E633" s="349"/>
      <c r="F633" s="349"/>
      <c r="G633" s="349"/>
      <c r="H633" s="350"/>
    </row>
    <row r="634" spans="1:8" ht="24.95" customHeight="1">
      <c r="A634" s="456" t="s">
        <v>1182</v>
      </c>
      <c r="B634" s="347" t="s">
        <v>980</v>
      </c>
      <c r="C634" s="349">
        <v>304690</v>
      </c>
      <c r="D634" s="349">
        <v>310190</v>
      </c>
      <c r="E634" s="349"/>
      <c r="F634" s="349">
        <v>310190</v>
      </c>
      <c r="G634" s="349">
        <v>310190</v>
      </c>
      <c r="H634" s="350">
        <f t="shared" ref="H634:H636" si="97">F634-G634</f>
        <v>0</v>
      </c>
    </row>
    <row r="635" spans="1:8" ht="24.95" customHeight="1">
      <c r="A635" s="460" t="s">
        <v>1251</v>
      </c>
      <c r="B635" s="347" t="s">
        <v>232</v>
      </c>
      <c r="C635" s="349">
        <v>149897</v>
      </c>
      <c r="D635" s="349">
        <v>149897</v>
      </c>
      <c r="E635" s="349"/>
      <c r="F635" s="349">
        <v>149897</v>
      </c>
      <c r="G635" s="349">
        <v>149897</v>
      </c>
      <c r="H635" s="350">
        <f t="shared" si="97"/>
        <v>0</v>
      </c>
    </row>
    <row r="636" spans="1:8" ht="24.95" customHeight="1">
      <c r="A636" s="467" t="s">
        <v>1477</v>
      </c>
      <c r="B636" s="347"/>
      <c r="C636" s="349">
        <v>49111</v>
      </c>
      <c r="D636" s="349">
        <v>0</v>
      </c>
      <c r="E636" s="349"/>
      <c r="F636" s="349">
        <v>0</v>
      </c>
      <c r="G636" s="349">
        <v>0</v>
      </c>
      <c r="H636" s="350">
        <f t="shared" si="97"/>
        <v>0</v>
      </c>
    </row>
    <row r="637" spans="1:8" ht="24.95" customHeight="1">
      <c r="A637" s="467"/>
      <c r="B637" s="347"/>
      <c r="C637" s="349"/>
      <c r="D637" s="349"/>
      <c r="E637" s="349"/>
      <c r="F637" s="349"/>
      <c r="G637" s="349"/>
      <c r="H637" s="350"/>
    </row>
    <row r="638" spans="1:8" ht="24.95" customHeight="1">
      <c r="A638" s="412"/>
      <c r="B638" s="347"/>
      <c r="C638" s="349"/>
      <c r="D638" s="349"/>
      <c r="E638" s="349"/>
      <c r="F638" s="349"/>
      <c r="G638" s="349"/>
      <c r="H638" s="350"/>
    </row>
    <row r="639" spans="1:8" ht="24.95" customHeight="1">
      <c r="A639" s="467"/>
      <c r="B639" s="347"/>
      <c r="C639" s="349"/>
      <c r="D639" s="349"/>
      <c r="E639" s="349"/>
      <c r="F639" s="349"/>
      <c r="G639" s="349"/>
      <c r="H639" s="350"/>
    </row>
    <row r="640" spans="1:8" ht="24.95" customHeight="1">
      <c r="A640" s="412" t="s">
        <v>236</v>
      </c>
      <c r="B640" s="347"/>
      <c r="C640" s="349"/>
      <c r="D640" s="349"/>
      <c r="E640" s="349"/>
      <c r="F640" s="349"/>
      <c r="G640" s="349"/>
      <c r="H640" s="350"/>
    </row>
    <row r="641" spans="1:8" ht="24.95" customHeight="1">
      <c r="A641" s="456" t="s">
        <v>1471</v>
      </c>
      <c r="B641" s="396" t="s">
        <v>1156</v>
      </c>
      <c r="C641" s="349">
        <v>0</v>
      </c>
      <c r="D641" s="349">
        <v>15410</v>
      </c>
      <c r="E641" s="349"/>
      <c r="F641" s="349">
        <v>15410</v>
      </c>
      <c r="G641" s="349">
        <v>15410</v>
      </c>
      <c r="H641" s="350">
        <f t="shared" ref="H641:H647" si="98">F641-G641</f>
        <v>0</v>
      </c>
    </row>
    <row r="642" spans="1:8" ht="24.95" customHeight="1">
      <c r="A642" s="459" t="s">
        <v>1470</v>
      </c>
      <c r="B642" s="396" t="s">
        <v>1205</v>
      </c>
      <c r="C642" s="349">
        <v>61641</v>
      </c>
      <c r="D642" s="349">
        <v>0</v>
      </c>
      <c r="E642" s="349"/>
      <c r="F642" s="349">
        <v>0</v>
      </c>
      <c r="G642" s="349">
        <v>0</v>
      </c>
      <c r="H642" s="350">
        <f t="shared" si="98"/>
        <v>0</v>
      </c>
    </row>
    <row r="643" spans="1:8" ht="24.95" customHeight="1">
      <c r="A643" s="428" t="s">
        <v>1129</v>
      </c>
      <c r="B643" s="347" t="s">
        <v>1114</v>
      </c>
      <c r="C643" s="349">
        <v>18492</v>
      </c>
      <c r="D643" s="349">
        <v>0</v>
      </c>
      <c r="E643" s="349"/>
      <c r="F643" s="349">
        <v>0</v>
      </c>
      <c r="G643" s="349">
        <v>0</v>
      </c>
      <c r="H643" s="350">
        <f t="shared" si="98"/>
        <v>0</v>
      </c>
    </row>
    <row r="644" spans="1:8" ht="24.95" customHeight="1">
      <c r="A644" s="428" t="s">
        <v>1476</v>
      </c>
      <c r="B644" s="347"/>
      <c r="C644" s="349">
        <v>0</v>
      </c>
      <c r="D644" s="349">
        <v>202000</v>
      </c>
      <c r="E644" s="349"/>
      <c r="F644" s="349">
        <v>202000</v>
      </c>
      <c r="G644" s="349">
        <v>202000</v>
      </c>
      <c r="H644" s="350">
        <f t="shared" si="98"/>
        <v>0</v>
      </c>
    </row>
    <row r="645" spans="1:8" ht="24.95" customHeight="1">
      <c r="A645" s="469" t="s">
        <v>1451</v>
      </c>
      <c r="B645" s="347"/>
      <c r="C645" s="349"/>
      <c r="D645" s="301">
        <v>46231</v>
      </c>
      <c r="E645" s="349"/>
      <c r="F645" s="349">
        <v>46231</v>
      </c>
      <c r="G645" s="349">
        <v>46231</v>
      </c>
      <c r="H645" s="350">
        <f t="shared" si="98"/>
        <v>0</v>
      </c>
    </row>
    <row r="646" spans="1:8" ht="24.95" customHeight="1">
      <c r="A646" s="469" t="s">
        <v>1452</v>
      </c>
      <c r="B646" s="407"/>
      <c r="C646" s="349"/>
      <c r="D646" s="302">
        <v>103855</v>
      </c>
      <c r="E646" s="374"/>
      <c r="F646" s="349">
        <v>103855</v>
      </c>
      <c r="G646" s="349">
        <v>103855</v>
      </c>
      <c r="H646" s="350">
        <f t="shared" si="98"/>
        <v>0</v>
      </c>
    </row>
    <row r="647" spans="1:8" ht="24.95" customHeight="1">
      <c r="A647" s="469" t="s">
        <v>1453</v>
      </c>
      <c r="B647" s="347"/>
      <c r="C647" s="349"/>
      <c r="D647" s="301">
        <v>86980</v>
      </c>
      <c r="E647" s="349"/>
      <c r="F647" s="349">
        <v>86980</v>
      </c>
      <c r="G647" s="349">
        <v>86980</v>
      </c>
      <c r="H647" s="350">
        <f t="shared" si="98"/>
        <v>0</v>
      </c>
    </row>
    <row r="648" spans="1:8" ht="24.95" customHeight="1" thickBot="1">
      <c r="A648" s="457"/>
      <c r="B648" s="407"/>
      <c r="C648" s="349"/>
      <c r="D648" s="349"/>
      <c r="E648" s="374"/>
      <c r="F648" s="349"/>
      <c r="G648" s="349"/>
      <c r="H648" s="350"/>
    </row>
    <row r="649" spans="1:8" ht="24.95" customHeight="1" thickTop="1">
      <c r="A649" s="368"/>
      <c r="B649" s="368"/>
      <c r="C649" s="368"/>
      <c r="D649" s="372" t="s">
        <v>473</v>
      </c>
      <c r="E649" s="368"/>
      <c r="F649" s="368"/>
      <c r="G649" s="368"/>
      <c r="H649" s="368"/>
    </row>
    <row r="650" spans="1:8" ht="37.5" customHeight="1" thickBot="1">
      <c r="A650" s="318"/>
      <c r="B650" s="319"/>
      <c r="C650" s="318" t="s">
        <v>922</v>
      </c>
      <c r="D650" s="370"/>
      <c r="E650" s="361"/>
      <c r="F650" s="322"/>
      <c r="G650" s="323"/>
      <c r="H650" s="321" t="s">
        <v>795</v>
      </c>
    </row>
    <row r="651" spans="1:8" ht="20.100000000000001" customHeight="1" thickTop="1" thickBot="1">
      <c r="A651" s="325" t="s">
        <v>923</v>
      </c>
      <c r="B651" s="326"/>
      <c r="C651" s="327"/>
      <c r="D651" s="328" t="s">
        <v>926</v>
      </c>
      <c r="E651" s="329"/>
      <c r="F651" s="330"/>
      <c r="G651" s="331" t="s">
        <v>1348</v>
      </c>
      <c r="H651" s="332"/>
    </row>
    <row r="652" spans="1:8" ht="38.25" customHeight="1" thickTop="1" thickBot="1">
      <c r="A652" s="437" t="s">
        <v>188</v>
      </c>
      <c r="B652" s="334" t="s">
        <v>793</v>
      </c>
      <c r="C652" s="335" t="s">
        <v>1349</v>
      </c>
      <c r="D652" s="335" t="s">
        <v>1266</v>
      </c>
      <c r="E652" s="362" t="s">
        <v>1350</v>
      </c>
      <c r="F652" s="363" t="s">
        <v>1351</v>
      </c>
      <c r="G652" s="338" t="s">
        <v>925</v>
      </c>
      <c r="H652" s="339" t="s">
        <v>927</v>
      </c>
    </row>
    <row r="653" spans="1:8" ht="24.95" customHeight="1" thickTop="1">
      <c r="A653" s="458" t="s">
        <v>187</v>
      </c>
      <c r="B653" s="413" t="s">
        <v>122</v>
      </c>
      <c r="C653" s="402" t="s">
        <v>123</v>
      </c>
      <c r="D653" s="402" t="s">
        <v>123</v>
      </c>
      <c r="E653" s="402" t="s">
        <v>123</v>
      </c>
      <c r="F653" s="402" t="s">
        <v>123</v>
      </c>
      <c r="G653" s="402" t="s">
        <v>123</v>
      </c>
      <c r="H653" s="414" t="s">
        <v>123</v>
      </c>
    </row>
    <row r="654" spans="1:8" ht="24.95" customHeight="1">
      <c r="A654" s="412" t="s">
        <v>238</v>
      </c>
      <c r="B654" s="347"/>
      <c r="C654" s="349"/>
      <c r="D654" s="349"/>
      <c r="E654" s="349"/>
      <c r="F654" s="349"/>
      <c r="G654" s="349"/>
      <c r="H654" s="350"/>
    </row>
    <row r="655" spans="1:8" ht="24.95" customHeight="1">
      <c r="A655" s="459" t="s">
        <v>1472</v>
      </c>
      <c r="B655" s="347"/>
      <c r="C655" s="349">
        <v>0</v>
      </c>
      <c r="D655" s="349">
        <v>20000</v>
      </c>
      <c r="E655" s="349"/>
      <c r="F655" s="349">
        <v>20000</v>
      </c>
      <c r="G655" s="349">
        <v>20000</v>
      </c>
      <c r="H655" s="350">
        <f t="shared" ref="H655:H661" si="99">F655-G655</f>
        <v>0</v>
      </c>
    </row>
    <row r="656" spans="1:8" ht="24.95" customHeight="1">
      <c r="A656" s="459" t="s">
        <v>1288</v>
      </c>
      <c r="B656" s="347" t="s">
        <v>1060</v>
      </c>
      <c r="C656" s="349">
        <v>0</v>
      </c>
      <c r="D656" s="349">
        <v>147422.70000000001</v>
      </c>
      <c r="E656" s="349"/>
      <c r="F656" s="349">
        <v>147422.70000000001</v>
      </c>
      <c r="G656" s="349">
        <v>147422.70000000001</v>
      </c>
      <c r="H656" s="350">
        <f t="shared" si="99"/>
        <v>0</v>
      </c>
    </row>
    <row r="657" spans="1:8" ht="24.95" customHeight="1">
      <c r="A657" s="460" t="s">
        <v>1473</v>
      </c>
      <c r="B657" s="347"/>
      <c r="C657" s="349">
        <v>0</v>
      </c>
      <c r="D657" s="349">
        <v>10000</v>
      </c>
      <c r="E657" s="349"/>
      <c r="F657" s="349">
        <v>10000</v>
      </c>
      <c r="G657" s="349">
        <v>10000</v>
      </c>
      <c r="H657" s="350">
        <f t="shared" si="99"/>
        <v>0</v>
      </c>
    </row>
    <row r="658" spans="1:8" ht="24.95" customHeight="1">
      <c r="A658" s="459" t="s">
        <v>1421</v>
      </c>
      <c r="B658" s="347"/>
      <c r="C658" s="349">
        <v>0</v>
      </c>
      <c r="D658" s="349">
        <v>5000</v>
      </c>
      <c r="E658" s="349"/>
      <c r="F658" s="349">
        <v>5000</v>
      </c>
      <c r="G658" s="349">
        <v>5000</v>
      </c>
      <c r="H658" s="350">
        <f t="shared" si="99"/>
        <v>0</v>
      </c>
    </row>
    <row r="659" spans="1:8" ht="24.95" customHeight="1">
      <c r="A659" s="470" t="s">
        <v>1422</v>
      </c>
      <c r="B659" s="347"/>
      <c r="C659" s="349">
        <v>0</v>
      </c>
      <c r="D659" s="349">
        <v>500</v>
      </c>
      <c r="E659" s="349"/>
      <c r="F659" s="349">
        <v>500</v>
      </c>
      <c r="G659" s="349">
        <v>500</v>
      </c>
      <c r="H659" s="350">
        <f t="shared" si="99"/>
        <v>0</v>
      </c>
    </row>
    <row r="660" spans="1:8" ht="24.95" customHeight="1">
      <c r="A660" s="464" t="s">
        <v>1474</v>
      </c>
      <c r="B660" s="396"/>
      <c r="C660" s="349">
        <v>20430</v>
      </c>
      <c r="D660" s="349">
        <v>0</v>
      </c>
      <c r="E660" s="349"/>
      <c r="F660" s="349">
        <v>0</v>
      </c>
      <c r="G660" s="349">
        <v>0</v>
      </c>
      <c r="H660" s="350">
        <f t="shared" si="99"/>
        <v>0</v>
      </c>
    </row>
    <row r="661" spans="1:8" ht="24.95" customHeight="1">
      <c r="A661" s="428" t="s">
        <v>1475</v>
      </c>
      <c r="B661" s="347"/>
      <c r="C661" s="349">
        <v>0</v>
      </c>
      <c r="D661" s="349">
        <v>711</v>
      </c>
      <c r="E661" s="349"/>
      <c r="F661" s="349">
        <v>711</v>
      </c>
      <c r="G661" s="349">
        <v>711</v>
      </c>
      <c r="H661" s="350">
        <f t="shared" si="99"/>
        <v>0</v>
      </c>
    </row>
    <row r="662" spans="1:8" ht="24.95" customHeight="1">
      <c r="A662" s="460"/>
      <c r="B662" s="347"/>
      <c r="C662" s="349"/>
      <c r="D662" s="349"/>
      <c r="E662" s="349"/>
      <c r="F662" s="349"/>
      <c r="G662" s="349"/>
      <c r="H662" s="350"/>
    </row>
    <row r="663" spans="1:8" ht="24.95" customHeight="1">
      <c r="A663" s="460"/>
      <c r="B663" s="347"/>
      <c r="C663" s="349"/>
      <c r="D663" s="349"/>
      <c r="E663" s="349"/>
      <c r="F663" s="349"/>
      <c r="G663" s="349"/>
      <c r="H663" s="350"/>
    </row>
    <row r="664" spans="1:8" ht="24.95" customHeight="1">
      <c r="A664" s="459"/>
      <c r="B664" s="347"/>
      <c r="C664" s="349"/>
      <c r="D664" s="349"/>
      <c r="E664" s="349"/>
      <c r="F664" s="349"/>
      <c r="G664" s="349"/>
      <c r="H664" s="350"/>
    </row>
    <row r="665" spans="1:8" ht="24.95" customHeight="1">
      <c r="A665" s="460"/>
      <c r="B665" s="396"/>
      <c r="C665" s="349"/>
      <c r="D665" s="349"/>
      <c r="E665" s="349"/>
      <c r="F665" s="349"/>
      <c r="G665" s="349"/>
      <c r="H665" s="350"/>
    </row>
    <row r="666" spans="1:8" ht="24.95" customHeight="1">
      <c r="A666" s="464"/>
      <c r="B666" s="396"/>
      <c r="C666" s="349"/>
      <c r="D666" s="349"/>
      <c r="E666" s="349"/>
      <c r="F666" s="349"/>
      <c r="G666" s="349"/>
      <c r="H666" s="350"/>
    </row>
    <row r="667" spans="1:8" ht="24.95" customHeight="1">
      <c r="A667" s="464"/>
      <c r="B667" s="396"/>
      <c r="C667" s="349"/>
      <c r="D667" s="349"/>
      <c r="E667" s="349"/>
      <c r="F667" s="349"/>
      <c r="G667" s="349"/>
      <c r="H667" s="350"/>
    </row>
    <row r="668" spans="1:8" ht="24.95" customHeight="1">
      <c r="A668" s="373"/>
      <c r="B668" s="347"/>
      <c r="C668" s="349"/>
      <c r="D668" s="349"/>
      <c r="E668" s="349"/>
      <c r="F668" s="349"/>
      <c r="G668" s="349"/>
      <c r="H668" s="350"/>
    </row>
    <row r="669" spans="1:8" ht="24.95" customHeight="1" thickBot="1">
      <c r="A669" s="373"/>
      <c r="B669" s="347"/>
      <c r="C669" s="349"/>
      <c r="D669" s="349"/>
      <c r="E669" s="349"/>
      <c r="F669" s="349"/>
      <c r="G669" s="349"/>
      <c r="H669" s="350"/>
    </row>
    <row r="670" spans="1:8" ht="24.95" customHeight="1" thickTop="1">
      <c r="A670" s="368"/>
      <c r="B670" s="369"/>
      <c r="C670" s="368"/>
      <c r="D670" s="372" t="s">
        <v>474</v>
      </c>
      <c r="E670" s="368"/>
      <c r="F670" s="368"/>
      <c r="G670" s="368"/>
      <c r="H670" s="368"/>
    </row>
    <row r="671" spans="1:8" ht="37.5" customHeight="1" thickBot="1">
      <c r="A671" s="318"/>
      <c r="B671" s="319"/>
      <c r="C671" s="318" t="s">
        <v>922</v>
      </c>
      <c r="D671" s="370"/>
      <c r="E671" s="361"/>
      <c r="F671" s="322"/>
      <c r="G671" s="323"/>
      <c r="H671" s="321" t="s">
        <v>795</v>
      </c>
    </row>
    <row r="672" spans="1:8" ht="20.100000000000001" customHeight="1" thickTop="1" thickBot="1">
      <c r="A672" s="325" t="s">
        <v>923</v>
      </c>
      <c r="B672" s="326"/>
      <c r="C672" s="327"/>
      <c r="D672" s="328" t="s">
        <v>926</v>
      </c>
      <c r="E672" s="329"/>
      <c r="F672" s="330"/>
      <c r="G672" s="331" t="s">
        <v>1348</v>
      </c>
      <c r="H672" s="332"/>
    </row>
    <row r="673" spans="1:11" ht="38.25" customHeight="1" thickTop="1" thickBot="1">
      <c r="A673" s="437" t="s">
        <v>188</v>
      </c>
      <c r="B673" s="334" t="s">
        <v>793</v>
      </c>
      <c r="C673" s="335" t="s">
        <v>1349</v>
      </c>
      <c r="D673" s="335" t="s">
        <v>1266</v>
      </c>
      <c r="E673" s="362" t="s">
        <v>1350</v>
      </c>
      <c r="F673" s="363" t="s">
        <v>1351</v>
      </c>
      <c r="G673" s="338" t="s">
        <v>925</v>
      </c>
      <c r="H673" s="339" t="s">
        <v>927</v>
      </c>
    </row>
    <row r="674" spans="1:11" ht="24.95" customHeight="1" thickTop="1">
      <c r="A674" s="458" t="s">
        <v>187</v>
      </c>
      <c r="B674" s="413" t="s">
        <v>122</v>
      </c>
      <c r="C674" s="402" t="s">
        <v>123</v>
      </c>
      <c r="D674" s="402" t="s">
        <v>123</v>
      </c>
      <c r="E674" s="402" t="s">
        <v>123</v>
      </c>
      <c r="F674" s="402" t="s">
        <v>123</v>
      </c>
      <c r="G674" s="402" t="s">
        <v>123</v>
      </c>
      <c r="H674" s="414" t="s">
        <v>123</v>
      </c>
    </row>
    <row r="675" spans="1:11" ht="24.95" customHeight="1">
      <c r="A675" s="373"/>
      <c r="B675" s="347"/>
      <c r="C675" s="349"/>
      <c r="D675" s="349"/>
      <c r="E675" s="349"/>
      <c r="F675" s="349"/>
      <c r="G675" s="349"/>
      <c r="H675" s="350"/>
    </row>
    <row r="676" spans="1:11" ht="24.95" customHeight="1">
      <c r="A676" s="373"/>
      <c r="B676" s="347"/>
      <c r="C676" s="349"/>
      <c r="D676" s="349"/>
      <c r="E676" s="349"/>
      <c r="F676" s="349"/>
      <c r="G676" s="349"/>
      <c r="H676" s="350"/>
    </row>
    <row r="677" spans="1:11" ht="24.95" customHeight="1">
      <c r="A677" s="373"/>
      <c r="B677" s="347"/>
      <c r="C677" s="349"/>
      <c r="D677" s="349"/>
      <c r="E677" s="349"/>
      <c r="F677" s="349"/>
      <c r="G677" s="349"/>
      <c r="H677" s="350"/>
    </row>
    <row r="678" spans="1:11" ht="24.95" customHeight="1">
      <c r="A678" s="373"/>
      <c r="B678" s="347"/>
      <c r="C678" s="349"/>
      <c r="D678" s="349"/>
      <c r="E678" s="349"/>
      <c r="F678" s="349"/>
      <c r="G678" s="349"/>
      <c r="H678" s="350"/>
    </row>
    <row r="679" spans="1:11" ht="24.95" customHeight="1">
      <c r="A679" s="373"/>
      <c r="B679" s="347"/>
      <c r="C679" s="349"/>
      <c r="D679" s="349"/>
      <c r="E679" s="349"/>
      <c r="F679" s="349"/>
      <c r="G679" s="349"/>
      <c r="H679" s="350"/>
    </row>
    <row r="680" spans="1:11" ht="24.95" customHeight="1">
      <c r="A680" s="373"/>
      <c r="B680" s="347"/>
      <c r="C680" s="349"/>
      <c r="D680" s="349"/>
      <c r="E680" s="349"/>
      <c r="F680" s="349"/>
      <c r="G680" s="349"/>
      <c r="H680" s="350"/>
    </row>
    <row r="681" spans="1:11" ht="24.95" customHeight="1">
      <c r="A681" s="373"/>
      <c r="B681" s="347"/>
      <c r="C681" s="349"/>
      <c r="D681" s="349"/>
      <c r="E681" s="349"/>
      <c r="F681" s="349"/>
      <c r="G681" s="349"/>
      <c r="H681" s="350"/>
    </row>
    <row r="682" spans="1:11" ht="24.95" customHeight="1">
      <c r="A682" s="373"/>
      <c r="B682" s="347"/>
      <c r="C682" s="349"/>
      <c r="D682" s="349"/>
      <c r="E682" s="349"/>
      <c r="F682" s="349"/>
      <c r="G682" s="349"/>
      <c r="H682" s="350"/>
    </row>
    <row r="683" spans="1:11" ht="24.95" customHeight="1">
      <c r="A683" s="373"/>
      <c r="B683" s="347"/>
      <c r="C683" s="349"/>
      <c r="D683" s="349"/>
      <c r="E683" s="349"/>
      <c r="F683" s="349"/>
      <c r="G683" s="349"/>
      <c r="H683" s="350"/>
    </row>
    <row r="684" spans="1:11" ht="24.95" customHeight="1">
      <c r="A684" s="373"/>
      <c r="B684" s="347"/>
      <c r="C684" s="348" t="s">
        <v>1066</v>
      </c>
      <c r="D684" s="349"/>
      <c r="E684" s="349"/>
      <c r="F684" s="349"/>
      <c r="G684" s="349"/>
      <c r="H684" s="350"/>
    </row>
    <row r="685" spans="1:11" ht="24.95" customHeight="1">
      <c r="A685" s="373"/>
      <c r="B685" s="347"/>
      <c r="C685" s="349"/>
      <c r="D685" s="349"/>
      <c r="E685" s="349"/>
      <c r="F685" s="349"/>
      <c r="G685" s="349"/>
      <c r="H685" s="350"/>
    </row>
    <row r="686" spans="1:11" ht="24.95" customHeight="1" thickBot="1">
      <c r="A686" s="373"/>
      <c r="B686" s="347"/>
      <c r="C686" s="349"/>
      <c r="D686" s="349"/>
      <c r="E686" s="349"/>
      <c r="F686" s="349"/>
      <c r="G686" s="349"/>
      <c r="H686" s="350"/>
    </row>
    <row r="687" spans="1:11" ht="24.95" customHeight="1" thickBot="1">
      <c r="A687" s="434" t="s">
        <v>1289</v>
      </c>
      <c r="B687" s="396" t="s">
        <v>65</v>
      </c>
      <c r="C687" s="431">
        <f t="shared" ref="C687:H687" si="100">SUM(C508:C686)</f>
        <v>11087297.630000001</v>
      </c>
      <c r="D687" s="431">
        <f t="shared" si="100"/>
        <v>10800177.939999999</v>
      </c>
      <c r="E687" s="431">
        <f t="shared" si="100"/>
        <v>0</v>
      </c>
      <c r="F687" s="431">
        <f t="shared" si="100"/>
        <v>10300177.939999999</v>
      </c>
      <c r="G687" s="431">
        <f t="shared" si="100"/>
        <v>10300177.939999999</v>
      </c>
      <c r="H687" s="432">
        <f t="shared" si="100"/>
        <v>0</v>
      </c>
      <c r="I687" s="324">
        <f>C687-2799500</f>
        <v>8287797.6300000008</v>
      </c>
      <c r="J687" s="324">
        <f>304690+149897+61641+18000</f>
        <v>534228</v>
      </c>
      <c r="K687" s="324">
        <f>J687-I687</f>
        <v>-7753569.6300000008</v>
      </c>
    </row>
    <row r="688" spans="1:11" ht="24.95" customHeight="1">
      <c r="A688" s="471" t="s">
        <v>1290</v>
      </c>
      <c r="B688" s="347" t="s">
        <v>66</v>
      </c>
      <c r="C688" s="342">
        <f t="shared" ref="C688:H688" si="101">SUM(C438+C459+C480+C501+C687)</f>
        <v>29251760.478</v>
      </c>
      <c r="D688" s="342">
        <f t="shared" si="101"/>
        <v>27559608.939999998</v>
      </c>
      <c r="E688" s="342">
        <f t="shared" si="101"/>
        <v>0</v>
      </c>
      <c r="F688" s="342">
        <f t="shared" si="101"/>
        <v>26739645.640000001</v>
      </c>
      <c r="G688" s="342">
        <f t="shared" si="101"/>
        <v>26482544.839999996</v>
      </c>
      <c r="H688" s="345">
        <f t="shared" si="101"/>
        <v>257100.79999999981</v>
      </c>
    </row>
    <row r="689" spans="1:8" ht="24.95" customHeight="1">
      <c r="A689" s="465" t="s">
        <v>1291</v>
      </c>
      <c r="B689" s="347" t="s">
        <v>67</v>
      </c>
      <c r="C689" s="349">
        <f t="shared" ref="C689:H689" si="102">SUM(C885+C425+C426+C427)</f>
        <v>1340585</v>
      </c>
      <c r="D689" s="349">
        <f t="shared" si="102"/>
        <v>1340585</v>
      </c>
      <c r="E689" s="349">
        <f t="shared" si="102"/>
        <v>0</v>
      </c>
      <c r="F689" s="349">
        <f t="shared" si="102"/>
        <v>1269521</v>
      </c>
      <c r="G689" s="349">
        <f t="shared" si="102"/>
        <v>1269521</v>
      </c>
      <c r="H689" s="349">
        <f t="shared" si="102"/>
        <v>0</v>
      </c>
    </row>
    <row r="690" spans="1:8" ht="24.95" customHeight="1" thickBot="1">
      <c r="A690" s="441" t="s">
        <v>41</v>
      </c>
      <c r="B690" s="355" t="s">
        <v>68</v>
      </c>
      <c r="C690" s="356">
        <f t="shared" ref="C690:H690" si="103">C688-C689</f>
        <v>27911175.478</v>
      </c>
      <c r="D690" s="356">
        <f t="shared" si="103"/>
        <v>26219023.939999998</v>
      </c>
      <c r="E690" s="356">
        <f t="shared" si="103"/>
        <v>0</v>
      </c>
      <c r="F690" s="356">
        <f t="shared" si="103"/>
        <v>25470124.640000001</v>
      </c>
      <c r="G690" s="356">
        <f t="shared" si="103"/>
        <v>25213023.839999996</v>
      </c>
      <c r="H690" s="357">
        <f t="shared" si="103"/>
        <v>257100.79999999981</v>
      </c>
    </row>
    <row r="691" spans="1:8" ht="24.95" customHeight="1" thickTop="1">
      <c r="B691" s="324"/>
      <c r="D691" s="372" t="s">
        <v>475</v>
      </c>
    </row>
    <row r="692" spans="1:8" ht="37.5" customHeight="1" thickBot="1">
      <c r="A692" s="318"/>
      <c r="B692" s="319"/>
      <c r="C692" s="318" t="s">
        <v>922</v>
      </c>
      <c r="D692" s="370"/>
      <c r="E692" s="361"/>
      <c r="F692" s="322"/>
      <c r="G692" s="323"/>
      <c r="H692" s="321" t="s">
        <v>795</v>
      </c>
    </row>
    <row r="693" spans="1:8" ht="20.100000000000001" customHeight="1" thickTop="1" thickBot="1">
      <c r="A693" s="325" t="s">
        <v>923</v>
      </c>
      <c r="B693" s="326"/>
      <c r="C693" s="327"/>
      <c r="D693" s="328" t="s">
        <v>926</v>
      </c>
      <c r="E693" s="329"/>
      <c r="F693" s="330"/>
      <c r="G693" s="331" t="s">
        <v>1348</v>
      </c>
      <c r="H693" s="332"/>
    </row>
    <row r="694" spans="1:8" ht="38.25" customHeight="1" thickTop="1" thickBot="1">
      <c r="A694" s="437" t="s">
        <v>240</v>
      </c>
      <c r="B694" s="334" t="s">
        <v>793</v>
      </c>
      <c r="C694" s="335" t="s">
        <v>1349</v>
      </c>
      <c r="D694" s="335" t="s">
        <v>1266</v>
      </c>
      <c r="E694" s="362" t="s">
        <v>1350</v>
      </c>
      <c r="F694" s="363" t="s">
        <v>1351</v>
      </c>
      <c r="G694" s="338" t="s">
        <v>925</v>
      </c>
      <c r="H694" s="339" t="s">
        <v>927</v>
      </c>
    </row>
    <row r="695" spans="1:8" ht="24.95" customHeight="1" thickTop="1">
      <c r="A695" s="449" t="s">
        <v>1355</v>
      </c>
      <c r="B695" s="341" t="s">
        <v>242</v>
      </c>
      <c r="C695" s="349"/>
      <c r="D695" s="349"/>
      <c r="E695" s="349"/>
      <c r="F695" s="349"/>
      <c r="G695" s="349"/>
      <c r="H695" s="350"/>
    </row>
    <row r="696" spans="1:8" ht="24.95" customHeight="1">
      <c r="A696" s="472" t="s">
        <v>1292</v>
      </c>
      <c r="B696" s="347" t="s">
        <v>243</v>
      </c>
      <c r="C696" s="349">
        <v>350000</v>
      </c>
      <c r="D696" s="349">
        <v>291300</v>
      </c>
      <c r="E696" s="473" t="s">
        <v>123</v>
      </c>
      <c r="F696" s="349">
        <v>291300</v>
      </c>
      <c r="G696" s="349">
        <v>291300</v>
      </c>
      <c r="H696" s="350">
        <f t="shared" ref="H696:H697" si="104">F696-G696</f>
        <v>0</v>
      </c>
    </row>
    <row r="697" spans="1:8" ht="24.95" customHeight="1">
      <c r="A697" s="474" t="s">
        <v>1478</v>
      </c>
      <c r="B697" s="347" t="s">
        <v>461</v>
      </c>
      <c r="C697" s="349">
        <v>0</v>
      </c>
      <c r="D697" s="349">
        <v>48700</v>
      </c>
      <c r="E697" s="349"/>
      <c r="F697" s="349">
        <v>48700</v>
      </c>
      <c r="G697" s="349">
        <v>48700</v>
      </c>
      <c r="H697" s="350">
        <f t="shared" si="104"/>
        <v>0</v>
      </c>
    </row>
    <row r="698" spans="1:8" ht="24.95" customHeight="1">
      <c r="A698" s="475"/>
      <c r="B698" s="347"/>
      <c r="C698" s="349"/>
      <c r="D698" s="349"/>
      <c r="E698" s="349"/>
      <c r="F698" s="349"/>
      <c r="G698" s="349"/>
      <c r="H698" s="350"/>
    </row>
    <row r="699" spans="1:8" ht="24.95" customHeight="1">
      <c r="A699" s="475"/>
      <c r="B699" s="347"/>
      <c r="C699" s="349"/>
      <c r="D699" s="349"/>
      <c r="E699" s="349"/>
      <c r="F699" s="349"/>
      <c r="G699" s="349"/>
      <c r="H699" s="350"/>
    </row>
    <row r="700" spans="1:8" ht="24.95" customHeight="1">
      <c r="A700" s="475"/>
      <c r="B700" s="347"/>
      <c r="C700" s="349"/>
      <c r="D700" s="349"/>
      <c r="E700" s="349"/>
      <c r="F700" s="349"/>
      <c r="G700" s="349"/>
      <c r="H700" s="350"/>
    </row>
    <row r="701" spans="1:8" ht="24.95" customHeight="1">
      <c r="A701" s="475"/>
      <c r="B701" s="347"/>
      <c r="C701" s="349"/>
      <c r="D701" s="349"/>
      <c r="E701" s="349"/>
      <c r="F701" s="349"/>
      <c r="G701" s="349"/>
      <c r="H701" s="350"/>
    </row>
    <row r="702" spans="1:8" ht="24.95" customHeight="1">
      <c r="A702" s="475"/>
      <c r="B702" s="347"/>
      <c r="C702" s="349"/>
      <c r="D702" s="349"/>
      <c r="E702" s="349"/>
      <c r="F702" s="349"/>
      <c r="G702" s="349"/>
      <c r="H702" s="350"/>
    </row>
    <row r="703" spans="1:8" ht="24.95" customHeight="1">
      <c r="A703" s="373"/>
      <c r="B703" s="347"/>
      <c r="C703" s="349"/>
      <c r="D703" s="349"/>
      <c r="E703" s="349"/>
      <c r="F703" s="349"/>
      <c r="G703" s="349"/>
      <c r="H703" s="350"/>
    </row>
    <row r="704" spans="1:8" ht="24.95" customHeight="1">
      <c r="A704" s="373"/>
      <c r="B704" s="347"/>
      <c r="C704" s="349"/>
      <c r="D704" s="349"/>
      <c r="E704" s="349"/>
      <c r="F704" s="349"/>
      <c r="G704" s="349"/>
      <c r="H704" s="350"/>
    </row>
    <row r="705" spans="1:8" ht="24.95" customHeight="1">
      <c r="A705" s="373"/>
      <c r="B705" s="347"/>
      <c r="C705" s="349"/>
      <c r="D705" s="349"/>
      <c r="E705" s="349"/>
      <c r="F705" s="349"/>
      <c r="G705" s="349"/>
      <c r="H705" s="350"/>
    </row>
    <row r="706" spans="1:8" ht="24.95" customHeight="1">
      <c r="A706" s="373"/>
      <c r="B706" s="347"/>
      <c r="C706" s="349"/>
      <c r="D706" s="349"/>
      <c r="E706" s="349"/>
      <c r="F706" s="349"/>
      <c r="G706" s="349"/>
      <c r="H706" s="350"/>
    </row>
    <row r="707" spans="1:8" ht="24.95" customHeight="1">
      <c r="A707" s="373"/>
      <c r="B707" s="347"/>
      <c r="C707" s="349"/>
      <c r="D707" s="349"/>
      <c r="E707" s="349"/>
      <c r="F707" s="349"/>
      <c r="G707" s="349"/>
      <c r="H707" s="350"/>
    </row>
    <row r="708" spans="1:8" ht="24.95" customHeight="1">
      <c r="A708" s="373"/>
      <c r="B708" s="347"/>
      <c r="C708" s="349"/>
      <c r="D708" s="349"/>
      <c r="E708" s="349"/>
      <c r="F708" s="349"/>
      <c r="G708" s="349"/>
      <c r="H708" s="350"/>
    </row>
    <row r="709" spans="1:8" ht="24.95" customHeight="1">
      <c r="A709" s="373"/>
      <c r="B709" s="347"/>
      <c r="C709" s="349"/>
      <c r="D709" s="349"/>
      <c r="E709" s="349"/>
      <c r="F709" s="349"/>
      <c r="G709" s="349"/>
      <c r="H709" s="350"/>
    </row>
    <row r="710" spans="1:8" ht="24.95" customHeight="1">
      <c r="A710" s="373"/>
      <c r="B710" s="347"/>
      <c r="C710" s="349"/>
      <c r="D710" s="349"/>
      <c r="E710" s="349"/>
      <c r="F710" s="349"/>
      <c r="G710" s="349"/>
      <c r="H710" s="350"/>
    </row>
    <row r="711" spans="1:8" ht="24.95" customHeight="1" thickBot="1">
      <c r="A711" s="421"/>
      <c r="B711" s="407"/>
      <c r="C711" s="374"/>
      <c r="D711" s="374"/>
      <c r="E711" s="374"/>
      <c r="F711" s="374"/>
      <c r="G711" s="374"/>
      <c r="H711" s="408"/>
    </row>
    <row r="712" spans="1:8" ht="24.95" customHeight="1" thickTop="1">
      <c r="A712" s="368"/>
      <c r="B712" s="369"/>
      <c r="C712" s="368"/>
      <c r="D712" s="372" t="s">
        <v>476</v>
      </c>
      <c r="E712" s="368"/>
      <c r="F712" s="368"/>
      <c r="G712" s="368"/>
      <c r="H712" s="368"/>
    </row>
    <row r="713" spans="1:8" ht="37.5" customHeight="1" thickBot="1">
      <c r="A713" s="318"/>
      <c r="B713" s="319"/>
      <c r="C713" s="318" t="s">
        <v>922</v>
      </c>
      <c r="D713" s="370"/>
      <c r="E713" s="361"/>
      <c r="F713" s="322"/>
      <c r="G713" s="323"/>
      <c r="H713" s="321" t="s">
        <v>795</v>
      </c>
    </row>
    <row r="714" spans="1:8" ht="20.100000000000001" customHeight="1" thickTop="1" thickBot="1">
      <c r="A714" s="325" t="s">
        <v>923</v>
      </c>
      <c r="B714" s="326"/>
      <c r="C714" s="327"/>
      <c r="D714" s="328" t="s">
        <v>926</v>
      </c>
      <c r="E714" s="329"/>
      <c r="F714" s="330"/>
      <c r="G714" s="331" t="s">
        <v>1348</v>
      </c>
      <c r="H714" s="332"/>
    </row>
    <row r="715" spans="1:8" ht="38.25" customHeight="1" thickTop="1" thickBot="1">
      <c r="A715" s="437" t="s">
        <v>240</v>
      </c>
      <c r="B715" s="334" t="s">
        <v>793</v>
      </c>
      <c r="C715" s="335" t="s">
        <v>1349</v>
      </c>
      <c r="D715" s="335" t="s">
        <v>1266</v>
      </c>
      <c r="E715" s="362" t="s">
        <v>1350</v>
      </c>
      <c r="F715" s="363" t="s">
        <v>1351</v>
      </c>
      <c r="G715" s="338" t="s">
        <v>925</v>
      </c>
      <c r="H715" s="339" t="s">
        <v>927</v>
      </c>
    </row>
    <row r="716" spans="1:8" ht="24.95" customHeight="1" thickTop="1">
      <c r="A716" s="438"/>
      <c r="B716" s="341"/>
      <c r="C716" s="349"/>
      <c r="D716" s="349"/>
      <c r="E716" s="349"/>
      <c r="F716" s="349"/>
      <c r="G716" s="349"/>
      <c r="H716" s="350"/>
    </row>
    <row r="717" spans="1:8" ht="24.95" customHeight="1">
      <c r="A717" s="373"/>
      <c r="B717" s="347"/>
      <c r="C717" s="349"/>
      <c r="D717" s="349"/>
      <c r="E717" s="349"/>
      <c r="F717" s="349"/>
      <c r="G717" s="349"/>
      <c r="H717" s="350"/>
    </row>
    <row r="718" spans="1:8" ht="24.95" customHeight="1">
      <c r="A718" s="373"/>
      <c r="B718" s="347"/>
      <c r="C718" s="349"/>
      <c r="D718" s="349"/>
      <c r="E718" s="349"/>
      <c r="F718" s="349"/>
      <c r="G718" s="349"/>
      <c r="H718" s="350"/>
    </row>
    <row r="719" spans="1:8" ht="24.95" customHeight="1" thickBot="1">
      <c r="A719" s="476" t="s">
        <v>244</v>
      </c>
      <c r="B719" s="396" t="s">
        <v>122</v>
      </c>
      <c r="C719" s="402" t="s">
        <v>123</v>
      </c>
      <c r="D719" s="402" t="s">
        <v>123</v>
      </c>
      <c r="E719" s="402" t="s">
        <v>123</v>
      </c>
      <c r="F719" s="402" t="s">
        <v>123</v>
      </c>
      <c r="G719" s="402" t="s">
        <v>123</v>
      </c>
      <c r="H719" s="414" t="s">
        <v>123</v>
      </c>
    </row>
    <row r="720" spans="1:8" ht="24.95" customHeight="1">
      <c r="A720" s="443" t="s">
        <v>495</v>
      </c>
      <c r="B720" s="347"/>
      <c r="C720" s="349"/>
      <c r="D720" s="349"/>
      <c r="E720" s="349"/>
      <c r="F720" s="349"/>
      <c r="G720" s="349"/>
      <c r="H720" s="350"/>
    </row>
    <row r="721" spans="1:8" ht="24.95" customHeight="1">
      <c r="A721" s="373"/>
      <c r="B721" s="347"/>
      <c r="C721" s="349"/>
      <c r="D721" s="349"/>
      <c r="E721" s="349"/>
      <c r="F721" s="349"/>
      <c r="G721" s="349"/>
      <c r="H721" s="350"/>
    </row>
    <row r="722" spans="1:8" ht="24.95" customHeight="1">
      <c r="A722" s="373"/>
      <c r="B722" s="347"/>
      <c r="C722" s="349"/>
      <c r="D722" s="349"/>
      <c r="E722" s="349"/>
      <c r="F722" s="349"/>
      <c r="G722" s="349"/>
      <c r="H722" s="350"/>
    </row>
    <row r="723" spans="1:8" ht="24.95" customHeight="1">
      <c r="A723" s="373"/>
      <c r="B723" s="347"/>
      <c r="C723" s="349"/>
      <c r="D723" s="349"/>
      <c r="E723" s="349"/>
      <c r="F723" s="349"/>
      <c r="G723" s="349"/>
      <c r="H723" s="350"/>
    </row>
    <row r="724" spans="1:8" ht="24.95" customHeight="1">
      <c r="A724" s="373"/>
      <c r="B724" s="347"/>
      <c r="C724" s="349"/>
      <c r="D724" s="349"/>
      <c r="E724" s="349"/>
      <c r="F724" s="349"/>
      <c r="G724" s="349"/>
      <c r="H724" s="350"/>
    </row>
    <row r="725" spans="1:8" ht="24.95" customHeight="1">
      <c r="A725" s="373"/>
      <c r="B725" s="347"/>
      <c r="C725" s="349"/>
      <c r="D725" s="349"/>
      <c r="E725" s="349"/>
      <c r="F725" s="349"/>
      <c r="G725" s="349"/>
      <c r="H725" s="350"/>
    </row>
    <row r="726" spans="1:8" ht="24.95" customHeight="1">
      <c r="A726" s="373"/>
      <c r="B726" s="347"/>
      <c r="C726" s="349"/>
      <c r="D726" s="349"/>
      <c r="E726" s="349"/>
      <c r="F726" s="349"/>
      <c r="G726" s="349"/>
      <c r="H726" s="350"/>
    </row>
    <row r="727" spans="1:8" ht="24.95" customHeight="1">
      <c r="A727" s="373"/>
      <c r="B727" s="347"/>
      <c r="C727" s="349"/>
      <c r="D727" s="349"/>
      <c r="E727" s="349"/>
      <c r="F727" s="349"/>
      <c r="G727" s="349"/>
      <c r="H727" s="350"/>
    </row>
    <row r="728" spans="1:8" ht="24.95" customHeight="1">
      <c r="A728" s="373"/>
      <c r="B728" s="347"/>
      <c r="C728" s="349"/>
      <c r="D728" s="349"/>
      <c r="E728" s="349"/>
      <c r="F728" s="349"/>
      <c r="G728" s="349"/>
      <c r="H728" s="350"/>
    </row>
    <row r="729" spans="1:8" ht="24.95" customHeight="1">
      <c r="A729" s="373"/>
      <c r="B729" s="347"/>
      <c r="C729" s="349"/>
      <c r="D729" s="349"/>
      <c r="E729" s="349"/>
      <c r="F729" s="349"/>
      <c r="G729" s="349"/>
      <c r="H729" s="350"/>
    </row>
    <row r="730" spans="1:8" ht="24.95" customHeight="1">
      <c r="A730" s="373"/>
      <c r="B730" s="347"/>
      <c r="C730" s="349"/>
      <c r="D730" s="349"/>
      <c r="E730" s="349"/>
      <c r="F730" s="349"/>
      <c r="G730" s="349"/>
      <c r="H730" s="350"/>
    </row>
    <row r="731" spans="1:8" ht="24.95" customHeight="1">
      <c r="A731" s="373"/>
      <c r="B731" s="347"/>
      <c r="C731" s="349"/>
      <c r="D731" s="349"/>
      <c r="E731" s="349"/>
      <c r="F731" s="349"/>
      <c r="G731" s="349"/>
      <c r="H731" s="350"/>
    </row>
    <row r="732" spans="1:8" ht="24.95" customHeight="1" thickBot="1">
      <c r="A732" s="477" t="s">
        <v>23</v>
      </c>
      <c r="B732" s="355" t="s">
        <v>69</v>
      </c>
      <c r="C732" s="356">
        <f t="shared" ref="C732:H732" si="105">SUM(C695:C731)</f>
        <v>350000</v>
      </c>
      <c r="D732" s="356">
        <f t="shared" si="105"/>
        <v>340000</v>
      </c>
      <c r="E732" s="356">
        <f t="shared" si="105"/>
        <v>0</v>
      </c>
      <c r="F732" s="356">
        <f t="shared" si="105"/>
        <v>340000</v>
      </c>
      <c r="G732" s="356">
        <f t="shared" si="105"/>
        <v>340000</v>
      </c>
      <c r="H732" s="357">
        <f t="shared" si="105"/>
        <v>0</v>
      </c>
    </row>
    <row r="733" spans="1:8" ht="24.95" customHeight="1" thickTop="1">
      <c r="B733" s="324"/>
      <c r="D733" s="372" t="s">
        <v>477</v>
      </c>
    </row>
    <row r="734" spans="1:8" ht="37.5" customHeight="1" thickBot="1">
      <c r="A734" s="318"/>
      <c r="B734" s="319"/>
      <c r="C734" s="318" t="s">
        <v>922</v>
      </c>
      <c r="D734" s="370"/>
      <c r="E734" s="361"/>
      <c r="F734" s="322"/>
      <c r="G734" s="323"/>
      <c r="H734" s="321" t="s">
        <v>795</v>
      </c>
    </row>
    <row r="735" spans="1:8" ht="20.100000000000001" customHeight="1" thickTop="1" thickBot="1">
      <c r="A735" s="325" t="s">
        <v>923</v>
      </c>
      <c r="B735" s="326"/>
      <c r="C735" s="327"/>
      <c r="D735" s="328" t="s">
        <v>926</v>
      </c>
      <c r="E735" s="329"/>
      <c r="F735" s="330"/>
      <c r="G735" s="331" t="s">
        <v>1348</v>
      </c>
      <c r="H735" s="332"/>
    </row>
    <row r="736" spans="1:8" ht="38.25" customHeight="1" thickTop="1" thickBot="1">
      <c r="A736" s="437" t="s">
        <v>245</v>
      </c>
      <c r="B736" s="334" t="s">
        <v>793</v>
      </c>
      <c r="C736" s="335" t="s">
        <v>1349</v>
      </c>
      <c r="D736" s="335" t="s">
        <v>1266</v>
      </c>
      <c r="E736" s="362" t="s">
        <v>1350</v>
      </c>
      <c r="F736" s="363" t="s">
        <v>1351</v>
      </c>
      <c r="G736" s="338" t="s">
        <v>925</v>
      </c>
      <c r="H736" s="339" t="s">
        <v>927</v>
      </c>
    </row>
    <row r="737" spans="1:8" ht="24.95" customHeight="1" thickTop="1">
      <c r="A737" s="449" t="s">
        <v>1078</v>
      </c>
      <c r="B737" s="341" t="s">
        <v>254</v>
      </c>
      <c r="C737" s="349">
        <v>5471640.4500000002</v>
      </c>
      <c r="D737" s="349">
        <v>3917144.75</v>
      </c>
      <c r="E737" s="349"/>
      <c r="F737" s="349">
        <v>3917144.75</v>
      </c>
      <c r="G737" s="349">
        <v>3917144.75</v>
      </c>
      <c r="H737" s="414" t="s">
        <v>123</v>
      </c>
    </row>
    <row r="738" spans="1:8" ht="24.95" customHeight="1">
      <c r="A738" s="472" t="s">
        <v>247</v>
      </c>
      <c r="B738" s="347" t="s">
        <v>255</v>
      </c>
      <c r="C738" s="349">
        <f>2876000+1231000</f>
        <v>4107000</v>
      </c>
      <c r="D738" s="349">
        <f>2437000</f>
        <v>2437000</v>
      </c>
      <c r="E738" s="349">
        <v>440000</v>
      </c>
      <c r="F738" s="349">
        <v>2877000</v>
      </c>
      <c r="G738" s="349">
        <v>2877000</v>
      </c>
      <c r="H738" s="414" t="s">
        <v>123</v>
      </c>
    </row>
    <row r="739" spans="1:8" ht="24.95" customHeight="1">
      <c r="A739" s="472" t="s">
        <v>1079</v>
      </c>
      <c r="B739" s="347" t="s">
        <v>264</v>
      </c>
      <c r="C739" s="349">
        <v>3601694.55</v>
      </c>
      <c r="D739" s="349">
        <v>3656314</v>
      </c>
      <c r="E739" s="349"/>
      <c r="F739" s="349">
        <v>3656314</v>
      </c>
      <c r="G739" s="349">
        <v>3332995.25</v>
      </c>
      <c r="H739" s="414" t="s">
        <v>123</v>
      </c>
    </row>
    <row r="740" spans="1:8" ht="24.95" customHeight="1">
      <c r="A740" s="475" t="s">
        <v>249</v>
      </c>
      <c r="B740" s="347" t="s">
        <v>265</v>
      </c>
      <c r="C740" s="349">
        <f>342752.58+435434.67</f>
        <v>778187.25</v>
      </c>
      <c r="D740" s="349">
        <f>187600+126930</f>
        <v>314530</v>
      </c>
      <c r="E740" s="349"/>
      <c r="F740" s="349">
        <f>126930+187600</f>
        <v>314530</v>
      </c>
      <c r="G740" s="349">
        <f>126930+184964.56</f>
        <v>311894.56</v>
      </c>
      <c r="H740" s="414" t="s">
        <v>123</v>
      </c>
    </row>
    <row r="741" spans="1:8" ht="24.95" customHeight="1">
      <c r="A741" s="412" t="s">
        <v>1356</v>
      </c>
      <c r="B741" s="347"/>
      <c r="C741" s="349"/>
      <c r="D741" s="349"/>
      <c r="E741" s="349"/>
      <c r="F741" s="349"/>
      <c r="G741" s="349"/>
      <c r="H741" s="414" t="s">
        <v>123</v>
      </c>
    </row>
    <row r="742" spans="1:8" ht="24.95" customHeight="1">
      <c r="A742" s="472" t="s">
        <v>251</v>
      </c>
      <c r="B742" s="396" t="s">
        <v>266</v>
      </c>
      <c r="C742" s="349">
        <f>110461.07+4618.78</f>
        <v>115079.85</v>
      </c>
      <c r="D742" s="349">
        <f>119614.87+5692.41</f>
        <v>125307.28</v>
      </c>
      <c r="E742" s="349"/>
      <c r="F742" s="349">
        <f>119614.87+5692.41</f>
        <v>125307.28</v>
      </c>
      <c r="G742" s="349">
        <f>119614.87+5691.89</f>
        <v>125306.76</v>
      </c>
      <c r="H742" s="414" t="s">
        <v>123</v>
      </c>
    </row>
    <row r="743" spans="1:8" ht="24.95" customHeight="1">
      <c r="A743" s="478"/>
      <c r="B743" s="347"/>
      <c r="C743" s="349"/>
      <c r="D743" s="349"/>
      <c r="E743" s="349"/>
      <c r="F743" s="349"/>
      <c r="G743" s="349"/>
      <c r="H743" s="414"/>
    </row>
    <row r="744" spans="1:8" ht="24.95" customHeight="1">
      <c r="A744" s="475"/>
      <c r="B744" s="347"/>
      <c r="C744" s="349"/>
      <c r="D744" s="349"/>
      <c r="E744" s="349"/>
      <c r="F744" s="349"/>
      <c r="G744" s="349"/>
      <c r="H744" s="414"/>
    </row>
    <row r="745" spans="1:8" ht="24.95" customHeight="1">
      <c r="A745" s="472" t="s">
        <v>1357</v>
      </c>
      <c r="B745" s="396" t="s">
        <v>1358</v>
      </c>
      <c r="C745" s="348" t="s">
        <v>1359</v>
      </c>
      <c r="D745" s="348" t="s">
        <v>1360</v>
      </c>
      <c r="E745" s="348" t="s">
        <v>1359</v>
      </c>
      <c r="F745" s="348" t="s">
        <v>1360</v>
      </c>
      <c r="G745" s="348" t="s">
        <v>1360</v>
      </c>
      <c r="H745" s="414" t="s">
        <v>123</v>
      </c>
    </row>
    <row r="746" spans="1:8" ht="24.95" customHeight="1">
      <c r="A746" s="475"/>
      <c r="B746" s="347"/>
      <c r="C746" s="349"/>
      <c r="D746" s="349"/>
      <c r="E746" s="349"/>
      <c r="F746" s="349"/>
      <c r="G746" s="349"/>
      <c r="H746" s="414"/>
    </row>
    <row r="747" spans="1:8" ht="24.95" customHeight="1">
      <c r="A747" s="373"/>
      <c r="B747" s="347"/>
      <c r="C747" s="349"/>
      <c r="D747" s="349"/>
      <c r="E747" s="349"/>
      <c r="F747" s="349"/>
      <c r="G747" s="349"/>
      <c r="H747" s="350"/>
    </row>
    <row r="748" spans="1:8" ht="24.95" customHeight="1">
      <c r="A748" s="373"/>
      <c r="B748" s="347"/>
      <c r="C748" s="349"/>
      <c r="D748" s="349"/>
      <c r="E748" s="349"/>
      <c r="F748" s="349"/>
      <c r="G748" s="349"/>
      <c r="H748" s="350"/>
    </row>
    <row r="749" spans="1:8" ht="24.95" customHeight="1">
      <c r="A749" s="373"/>
      <c r="B749" s="347"/>
      <c r="C749" s="349"/>
      <c r="D749" s="349"/>
      <c r="E749" s="349"/>
      <c r="F749" s="349"/>
      <c r="G749" s="349"/>
      <c r="H749" s="350"/>
    </row>
    <row r="750" spans="1:8" ht="24.95" customHeight="1">
      <c r="A750" s="373"/>
      <c r="B750" s="347"/>
      <c r="C750" s="349"/>
      <c r="D750" s="349"/>
      <c r="E750" s="349"/>
      <c r="F750" s="349"/>
      <c r="G750" s="349"/>
      <c r="H750" s="350"/>
    </row>
    <row r="751" spans="1:8" ht="24.95" customHeight="1">
      <c r="A751" s="373"/>
      <c r="B751" s="347"/>
      <c r="C751" s="349"/>
      <c r="D751" s="349"/>
      <c r="E751" s="349"/>
      <c r="F751" s="349"/>
      <c r="G751" s="349"/>
      <c r="H751" s="350"/>
    </row>
    <row r="752" spans="1:8" ht="24.95" customHeight="1">
      <c r="A752" s="373"/>
      <c r="B752" s="347"/>
      <c r="C752" s="349"/>
      <c r="D752" s="349"/>
      <c r="E752" s="349"/>
      <c r="F752" s="349"/>
      <c r="G752" s="349"/>
      <c r="H752" s="350"/>
    </row>
    <row r="753" spans="1:8" ht="24.95" customHeight="1" thickBot="1">
      <c r="A753" s="400"/>
      <c r="B753" s="355"/>
      <c r="C753" s="356"/>
      <c r="D753" s="356"/>
      <c r="E753" s="356"/>
      <c r="F753" s="356"/>
      <c r="G753" s="356"/>
      <c r="H753" s="357"/>
    </row>
    <row r="754" spans="1:8" ht="24.95" customHeight="1" thickTop="1">
      <c r="B754" s="324"/>
      <c r="D754" s="359" t="s">
        <v>478</v>
      </c>
    </row>
    <row r="755" spans="1:8" ht="37.5" customHeight="1" thickBot="1">
      <c r="A755" s="318"/>
      <c r="B755" s="319"/>
      <c r="C755" s="318" t="s">
        <v>922</v>
      </c>
      <c r="D755" s="370"/>
      <c r="E755" s="361"/>
      <c r="F755" s="322"/>
      <c r="G755" s="323"/>
      <c r="H755" s="321" t="s">
        <v>795</v>
      </c>
    </row>
    <row r="756" spans="1:8" ht="20.100000000000001" customHeight="1" thickTop="1" thickBot="1">
      <c r="A756" s="325" t="s">
        <v>923</v>
      </c>
      <c r="B756" s="326"/>
      <c r="C756" s="327"/>
      <c r="D756" s="328" t="s">
        <v>926</v>
      </c>
      <c r="E756" s="329"/>
      <c r="F756" s="330"/>
      <c r="G756" s="331" t="s">
        <v>1348</v>
      </c>
      <c r="H756" s="332"/>
    </row>
    <row r="757" spans="1:8" ht="38.25" customHeight="1" thickTop="1" thickBot="1">
      <c r="A757" s="437" t="s">
        <v>245</v>
      </c>
      <c r="B757" s="334" t="s">
        <v>793</v>
      </c>
      <c r="C757" s="335" t="s">
        <v>1349</v>
      </c>
      <c r="D757" s="335" t="s">
        <v>1266</v>
      </c>
      <c r="E757" s="362" t="s">
        <v>1350</v>
      </c>
      <c r="F757" s="363" t="s">
        <v>1351</v>
      </c>
      <c r="G757" s="338" t="s">
        <v>925</v>
      </c>
      <c r="H757" s="339" t="s">
        <v>927</v>
      </c>
    </row>
    <row r="758" spans="1:8" ht="24.95" customHeight="1" thickTop="1">
      <c r="A758" s="475" t="s">
        <v>250</v>
      </c>
      <c r="B758" s="396" t="s">
        <v>122</v>
      </c>
      <c r="C758" s="402" t="s">
        <v>123</v>
      </c>
      <c r="D758" s="402" t="s">
        <v>123</v>
      </c>
      <c r="E758" s="402" t="s">
        <v>123</v>
      </c>
      <c r="F758" s="402" t="s">
        <v>123</v>
      </c>
      <c r="G758" s="402" t="s">
        <v>123</v>
      </c>
      <c r="H758" s="414" t="s">
        <v>123</v>
      </c>
    </row>
    <row r="759" spans="1:8" ht="24.95" customHeight="1">
      <c r="A759" s="475" t="s">
        <v>251</v>
      </c>
      <c r="B759" s="347" t="s">
        <v>266</v>
      </c>
      <c r="C759" s="349"/>
      <c r="D759" s="349"/>
      <c r="E759" s="349"/>
      <c r="F759" s="349"/>
      <c r="G759" s="349"/>
      <c r="H759" s="414" t="s">
        <v>123</v>
      </c>
    </row>
    <row r="760" spans="1:8" ht="24.95" customHeight="1">
      <c r="A760" s="427" t="s">
        <v>252</v>
      </c>
      <c r="B760" s="347" t="s">
        <v>266</v>
      </c>
      <c r="C760" s="349">
        <v>1232352.97</v>
      </c>
      <c r="D760" s="349">
        <v>1214506.22</v>
      </c>
      <c r="E760" s="349"/>
      <c r="F760" s="349">
        <v>1214506.22</v>
      </c>
      <c r="G760" s="349">
        <v>1197200.0900000001</v>
      </c>
      <c r="H760" s="414" t="s">
        <v>123</v>
      </c>
    </row>
    <row r="761" spans="1:8" ht="24.95" customHeight="1">
      <c r="A761" s="427" t="s">
        <v>253</v>
      </c>
      <c r="B761" s="347" t="s">
        <v>266</v>
      </c>
      <c r="C761" s="349">
        <v>215675.02</v>
      </c>
      <c r="D761" s="349">
        <v>230075.02</v>
      </c>
      <c r="E761" s="349"/>
      <c r="F761" s="349">
        <v>230075.02</v>
      </c>
      <c r="G761" s="349">
        <v>221226.98</v>
      </c>
      <c r="H761" s="414" t="s">
        <v>123</v>
      </c>
    </row>
    <row r="762" spans="1:8" ht="24.95" customHeight="1">
      <c r="A762" s="475"/>
      <c r="B762" s="347"/>
      <c r="C762" s="349"/>
      <c r="D762" s="349"/>
      <c r="E762" s="349"/>
      <c r="F762" s="349"/>
      <c r="G762" s="349"/>
      <c r="H762" s="414" t="s">
        <v>123</v>
      </c>
    </row>
    <row r="763" spans="1:8" ht="24.95" customHeight="1">
      <c r="A763" s="475"/>
      <c r="B763" s="347"/>
      <c r="C763" s="349"/>
      <c r="D763" s="349"/>
      <c r="E763" s="349"/>
      <c r="F763" s="349"/>
      <c r="G763" s="349"/>
      <c r="H763" s="414" t="s">
        <v>123</v>
      </c>
    </row>
    <row r="764" spans="1:8" ht="24.95" customHeight="1">
      <c r="A764" s="427"/>
      <c r="B764" s="347"/>
      <c r="C764" s="349"/>
      <c r="D764" s="349"/>
      <c r="E764" s="349"/>
      <c r="F764" s="349"/>
      <c r="G764" s="349"/>
      <c r="H764" s="414" t="s">
        <v>123</v>
      </c>
    </row>
    <row r="765" spans="1:8" ht="24.95" customHeight="1">
      <c r="A765" s="427"/>
      <c r="B765" s="347"/>
      <c r="C765" s="349"/>
      <c r="D765" s="349"/>
      <c r="E765" s="349"/>
      <c r="F765" s="349"/>
      <c r="G765" s="349"/>
      <c r="H765" s="414" t="s">
        <v>123</v>
      </c>
    </row>
    <row r="766" spans="1:8" ht="24.95" customHeight="1">
      <c r="A766" s="475"/>
      <c r="B766" s="396"/>
      <c r="C766" s="402"/>
      <c r="D766" s="402"/>
      <c r="E766" s="402"/>
      <c r="F766" s="402"/>
      <c r="G766" s="402"/>
      <c r="H766" s="414" t="s">
        <v>123</v>
      </c>
    </row>
    <row r="767" spans="1:8" ht="24.95" customHeight="1">
      <c r="A767" s="475" t="s">
        <v>454</v>
      </c>
      <c r="B767" s="347"/>
      <c r="C767" s="349"/>
      <c r="D767" s="349"/>
      <c r="E767" s="349"/>
      <c r="F767" s="349"/>
      <c r="G767" s="349"/>
      <c r="H767" s="414" t="s">
        <v>123</v>
      </c>
    </row>
    <row r="768" spans="1:8" ht="24.95" customHeight="1">
      <c r="A768" s="427" t="s">
        <v>456</v>
      </c>
      <c r="B768" s="347" t="s">
        <v>458</v>
      </c>
      <c r="C768" s="349"/>
      <c r="D768" s="349"/>
      <c r="E768" s="349"/>
      <c r="F768" s="349"/>
      <c r="G768" s="349"/>
      <c r="H768" s="414" t="s">
        <v>123</v>
      </c>
    </row>
    <row r="769" spans="1:8" ht="24.95" customHeight="1">
      <c r="A769" s="427" t="s">
        <v>457</v>
      </c>
      <c r="B769" s="347" t="s">
        <v>458</v>
      </c>
      <c r="C769" s="349"/>
      <c r="D769" s="349"/>
      <c r="E769" s="349"/>
      <c r="F769" s="349"/>
      <c r="G769" s="349"/>
      <c r="H769" s="414" t="s">
        <v>123</v>
      </c>
    </row>
    <row r="770" spans="1:8" ht="24.95" customHeight="1">
      <c r="A770" s="475" t="s">
        <v>455</v>
      </c>
      <c r="B770" s="347"/>
      <c r="C770" s="349"/>
      <c r="D770" s="349"/>
      <c r="E770" s="349"/>
      <c r="F770" s="349"/>
      <c r="G770" s="349"/>
      <c r="H770" s="414" t="s">
        <v>123</v>
      </c>
    </row>
    <row r="771" spans="1:8" ht="24.95" customHeight="1">
      <c r="A771" s="427" t="s">
        <v>456</v>
      </c>
      <c r="B771" s="347" t="s">
        <v>458</v>
      </c>
      <c r="C771" s="349"/>
      <c r="D771" s="349"/>
      <c r="E771" s="349"/>
      <c r="F771" s="349"/>
      <c r="G771" s="349"/>
      <c r="H771" s="414" t="s">
        <v>123</v>
      </c>
    </row>
    <row r="772" spans="1:8" ht="24.95" customHeight="1">
      <c r="A772" s="427" t="s">
        <v>457</v>
      </c>
      <c r="B772" s="347" t="s">
        <v>458</v>
      </c>
      <c r="C772" s="349"/>
      <c r="D772" s="349"/>
      <c r="E772" s="349"/>
      <c r="F772" s="349"/>
      <c r="G772" s="349"/>
      <c r="H772" s="414" t="s">
        <v>123</v>
      </c>
    </row>
    <row r="773" spans="1:8" ht="24.95" customHeight="1">
      <c r="A773" s="427"/>
      <c r="B773" s="347"/>
      <c r="C773" s="349"/>
      <c r="D773" s="349"/>
      <c r="E773" s="349"/>
      <c r="F773" s="349"/>
      <c r="G773" s="349"/>
      <c r="H773" s="414" t="s">
        <v>123</v>
      </c>
    </row>
    <row r="774" spans="1:8" ht="24.95" customHeight="1" thickBot="1">
      <c r="A774" s="477" t="s">
        <v>1130</v>
      </c>
      <c r="B774" s="355" t="s">
        <v>70</v>
      </c>
      <c r="C774" s="356">
        <f>SUM(C737:C773)</f>
        <v>15521630.09</v>
      </c>
      <c r="D774" s="356">
        <f>SUM(D737:D773)</f>
        <v>11894877.27</v>
      </c>
      <c r="E774" s="356">
        <f>SUM(E737:E773)</f>
        <v>440000</v>
      </c>
      <c r="F774" s="356">
        <f>SUM(F737:F773)</f>
        <v>12334877.27</v>
      </c>
      <c r="G774" s="356">
        <f>SUM(G737:G773)</f>
        <v>11982768.390000001</v>
      </c>
      <c r="H774" s="479" t="s">
        <v>123</v>
      </c>
    </row>
    <row r="775" spans="1:8" ht="24.95" customHeight="1" thickTop="1">
      <c r="B775" s="324"/>
      <c r="D775" s="359" t="s">
        <v>568</v>
      </c>
    </row>
    <row r="776" spans="1:8" ht="37.5" customHeight="1" thickBot="1">
      <c r="A776" s="318"/>
      <c r="B776" s="319"/>
      <c r="C776" s="318" t="s">
        <v>922</v>
      </c>
      <c r="D776" s="370"/>
      <c r="E776" s="361"/>
      <c r="F776" s="322"/>
      <c r="G776" s="323"/>
      <c r="H776" s="321" t="s">
        <v>795</v>
      </c>
    </row>
    <row r="777" spans="1:8" ht="20.100000000000001" customHeight="1" thickTop="1" thickBot="1">
      <c r="A777" s="325" t="s">
        <v>923</v>
      </c>
      <c r="B777" s="326"/>
      <c r="C777" s="327"/>
      <c r="D777" s="328" t="s">
        <v>926</v>
      </c>
      <c r="E777" s="329"/>
      <c r="F777" s="330"/>
      <c r="G777" s="331" t="s">
        <v>1348</v>
      </c>
      <c r="H777" s="332"/>
    </row>
    <row r="778" spans="1:8" ht="38.25" customHeight="1" thickTop="1" thickBot="1">
      <c r="A778" s="480" t="s">
        <v>267</v>
      </c>
      <c r="B778" s="334" t="s">
        <v>793</v>
      </c>
      <c r="C778" s="335" t="s">
        <v>1349</v>
      </c>
      <c r="D778" s="335" t="s">
        <v>1266</v>
      </c>
      <c r="E778" s="362" t="s">
        <v>1350</v>
      </c>
      <c r="F778" s="363" t="s">
        <v>1351</v>
      </c>
      <c r="G778" s="338" t="s">
        <v>925</v>
      </c>
      <c r="H778" s="339" t="s">
        <v>927</v>
      </c>
    </row>
    <row r="779" spans="1:8" ht="24.95" customHeight="1" thickTop="1">
      <c r="A779" s="481" t="s">
        <v>276</v>
      </c>
      <c r="B779" s="413" t="s">
        <v>122</v>
      </c>
      <c r="C779" s="402" t="s">
        <v>123</v>
      </c>
      <c r="D779" s="402" t="s">
        <v>123</v>
      </c>
      <c r="E779" s="402" t="s">
        <v>123</v>
      </c>
      <c r="F779" s="402" t="s">
        <v>123</v>
      </c>
      <c r="G779" s="402" t="s">
        <v>123</v>
      </c>
      <c r="H779" s="414" t="s">
        <v>123</v>
      </c>
    </row>
    <row r="780" spans="1:8" ht="24.95" customHeight="1">
      <c r="A780" s="461" t="s">
        <v>1067</v>
      </c>
      <c r="B780" s="396" t="s">
        <v>145</v>
      </c>
      <c r="C780" s="349">
        <v>0</v>
      </c>
      <c r="D780" s="349">
        <v>800000</v>
      </c>
      <c r="E780" s="402" t="s">
        <v>123</v>
      </c>
      <c r="F780" s="373">
        <v>800000</v>
      </c>
      <c r="G780" s="349">
        <v>800000</v>
      </c>
      <c r="H780" s="414" t="s">
        <v>123</v>
      </c>
    </row>
    <row r="781" spans="1:8" ht="24.95" customHeight="1">
      <c r="A781" s="482" t="s">
        <v>1131</v>
      </c>
      <c r="B781" s="396" t="s">
        <v>278</v>
      </c>
      <c r="C781" s="349">
        <v>2578000</v>
      </c>
      <c r="D781" s="349">
        <v>2578000</v>
      </c>
      <c r="E781" s="402" t="s">
        <v>123</v>
      </c>
      <c r="F781" s="373">
        <v>2578000</v>
      </c>
      <c r="G781" s="349">
        <v>2578000</v>
      </c>
      <c r="H781" s="414" t="s">
        <v>123</v>
      </c>
    </row>
    <row r="782" spans="1:8" ht="24.95" customHeight="1">
      <c r="A782" s="482" t="s">
        <v>277</v>
      </c>
      <c r="B782" s="396" t="s">
        <v>289</v>
      </c>
      <c r="C782" s="349"/>
      <c r="D782" s="349"/>
      <c r="E782" s="402" t="s">
        <v>123</v>
      </c>
      <c r="F782" s="373"/>
      <c r="G782" s="349"/>
      <c r="H782" s="414" t="s">
        <v>123</v>
      </c>
    </row>
    <row r="783" spans="1:8" ht="24.95" customHeight="1">
      <c r="A783" s="373"/>
      <c r="B783" s="347"/>
      <c r="C783" s="349"/>
      <c r="D783" s="349"/>
      <c r="E783" s="402" t="s">
        <v>123</v>
      </c>
      <c r="F783" s="373"/>
      <c r="G783" s="349"/>
      <c r="H783" s="414" t="s">
        <v>123</v>
      </c>
    </row>
    <row r="784" spans="1:8" ht="24.95" customHeight="1">
      <c r="A784" s="483" t="s">
        <v>206</v>
      </c>
      <c r="B784" s="347"/>
      <c r="C784" s="349"/>
      <c r="D784" s="349">
        <v>0</v>
      </c>
      <c r="E784" s="402" t="s">
        <v>123</v>
      </c>
      <c r="F784" s="349"/>
      <c r="G784" s="349"/>
      <c r="H784" s="414" t="s">
        <v>123</v>
      </c>
    </row>
    <row r="785" spans="1:11" ht="24.95" customHeight="1">
      <c r="A785" s="373"/>
      <c r="B785" s="347"/>
      <c r="C785" s="349"/>
      <c r="D785" s="349"/>
      <c r="E785" s="402" t="s">
        <v>123</v>
      </c>
      <c r="F785" s="373"/>
      <c r="G785" s="349"/>
      <c r="H785" s="414" t="s">
        <v>123</v>
      </c>
    </row>
    <row r="786" spans="1:11" ht="24.95" customHeight="1">
      <c r="A786" s="461"/>
      <c r="B786" s="347"/>
      <c r="C786" s="429"/>
      <c r="D786" s="429"/>
      <c r="E786" s="402" t="s">
        <v>123</v>
      </c>
      <c r="F786" s="373"/>
      <c r="G786" s="349"/>
      <c r="H786" s="414" t="s">
        <v>123</v>
      </c>
    </row>
    <row r="787" spans="1:11" ht="24.95" customHeight="1">
      <c r="A787" s="373"/>
      <c r="B787" s="347"/>
      <c r="C787" s="349"/>
      <c r="D787" s="349"/>
      <c r="E787" s="402" t="s">
        <v>123</v>
      </c>
      <c r="F787" s="373"/>
      <c r="G787" s="349"/>
      <c r="H787" s="414" t="s">
        <v>123</v>
      </c>
    </row>
    <row r="788" spans="1:11" ht="24.95" customHeight="1" thickBot="1">
      <c r="A788" s="373"/>
      <c r="B788" s="347"/>
      <c r="C788" s="349"/>
      <c r="D788" s="349"/>
      <c r="E788" s="402" t="s">
        <v>123</v>
      </c>
      <c r="F788" s="373"/>
      <c r="G788" s="349"/>
      <c r="H788" s="423" t="s">
        <v>123</v>
      </c>
    </row>
    <row r="789" spans="1:11" ht="24.95" customHeight="1" thickBot="1">
      <c r="A789" s="484" t="s">
        <v>1132</v>
      </c>
      <c r="B789" s="485" t="s">
        <v>71</v>
      </c>
      <c r="C789" s="486">
        <f>SUM(C780:C788)</f>
        <v>2578000</v>
      </c>
      <c r="D789" s="431">
        <f>SUM(D780:D788)</f>
        <v>3378000</v>
      </c>
      <c r="E789" s="487" t="s">
        <v>123</v>
      </c>
      <c r="F789" s="431">
        <f>SUM(F780:F788)</f>
        <v>3378000</v>
      </c>
      <c r="G789" s="431">
        <f>SUM(G780:G788)</f>
        <v>3378000</v>
      </c>
      <c r="H789" s="488" t="s">
        <v>123</v>
      </c>
    </row>
    <row r="790" spans="1:11" ht="24.95" customHeight="1">
      <c r="A790" s="481" t="s">
        <v>1080</v>
      </c>
      <c r="B790" s="413" t="s">
        <v>275</v>
      </c>
      <c r="C790" s="342">
        <v>50000</v>
      </c>
      <c r="D790" s="342">
        <v>50000</v>
      </c>
      <c r="E790" s="397" t="s">
        <v>123</v>
      </c>
      <c r="F790" s="438">
        <v>50000</v>
      </c>
      <c r="G790" s="342">
        <v>0</v>
      </c>
      <c r="H790" s="414" t="s">
        <v>123</v>
      </c>
    </row>
    <row r="791" spans="1:11" ht="24.95" customHeight="1">
      <c r="A791" s="465" t="s">
        <v>273</v>
      </c>
      <c r="B791" s="396" t="s">
        <v>274</v>
      </c>
      <c r="C791" s="349"/>
      <c r="D791" s="349"/>
      <c r="E791" s="402" t="s">
        <v>123</v>
      </c>
      <c r="F791" s="373"/>
      <c r="G791" s="349"/>
      <c r="H791" s="414" t="s">
        <v>123</v>
      </c>
    </row>
    <row r="792" spans="1:11" ht="24.95" customHeight="1">
      <c r="A792" s="373"/>
      <c r="B792" s="347"/>
      <c r="C792" s="349"/>
      <c r="D792" s="349"/>
      <c r="E792" s="402" t="s">
        <v>123</v>
      </c>
      <c r="F792" s="373"/>
      <c r="G792" s="349"/>
      <c r="H792" s="414" t="s">
        <v>123</v>
      </c>
    </row>
    <row r="793" spans="1:11" ht="24.95" customHeight="1">
      <c r="A793" s="465" t="s">
        <v>1183</v>
      </c>
      <c r="B793" s="396" t="s">
        <v>160</v>
      </c>
      <c r="C793" s="349">
        <v>0</v>
      </c>
      <c r="D793" s="349">
        <v>0</v>
      </c>
      <c r="E793" s="402" t="s">
        <v>123</v>
      </c>
      <c r="F793" s="373"/>
      <c r="G793" s="349"/>
      <c r="H793" s="414" t="s">
        <v>123</v>
      </c>
    </row>
    <row r="794" spans="1:11" ht="24.95" customHeight="1">
      <c r="A794" s="373"/>
      <c r="B794" s="347"/>
      <c r="C794" s="349"/>
      <c r="D794" s="349"/>
      <c r="E794" s="402" t="s">
        <v>123</v>
      </c>
      <c r="F794" s="373"/>
      <c r="G794" s="349"/>
      <c r="H794" s="414" t="s">
        <v>123</v>
      </c>
    </row>
    <row r="795" spans="1:11" ht="24.95" customHeight="1" thickBot="1">
      <c r="A795" s="489" t="s">
        <v>1293</v>
      </c>
      <c r="B795" s="442" t="s">
        <v>72</v>
      </c>
      <c r="C795" s="356">
        <f>SUM(C688+C732+C774+C789+C790+C791+C793)</f>
        <v>47751390.568000004</v>
      </c>
      <c r="D795" s="356">
        <f>SUM(D688+D732+D774+D789+D790+D791+D793)</f>
        <v>43222486.209999993</v>
      </c>
      <c r="E795" s="356">
        <f>SUM(E688+E732+E774)</f>
        <v>440000</v>
      </c>
      <c r="F795" s="356">
        <f>SUM(F688+F732+F774+F789+F790+F791+F793)</f>
        <v>42842522.909999996</v>
      </c>
      <c r="G795" s="356">
        <f>SUM(G688+G732+G774+G789+G790+G791+G793)</f>
        <v>42183313.229999997</v>
      </c>
      <c r="H795" s="490">
        <f>SUM(H688+H732)</f>
        <v>257100.79999999981</v>
      </c>
      <c r="I795" s="324">
        <f>C795-39999814.79</f>
        <v>7751575.7780000046</v>
      </c>
      <c r="J795" s="324">
        <f>I687</f>
        <v>8287797.6300000008</v>
      </c>
      <c r="K795" s="324">
        <f>I795-J795</f>
        <v>-536221.85199999623</v>
      </c>
    </row>
    <row r="796" spans="1:11" ht="24.95" customHeight="1" thickTop="1">
      <c r="B796" s="324"/>
      <c r="D796" s="372" t="s">
        <v>479</v>
      </c>
    </row>
    <row r="797" spans="1:11" ht="37.5" customHeight="1" thickBot="1">
      <c r="A797" s="318"/>
      <c r="B797" s="319"/>
      <c r="C797" s="318" t="s">
        <v>922</v>
      </c>
      <c r="D797" s="370"/>
      <c r="E797" s="361"/>
      <c r="F797" s="322"/>
      <c r="G797" s="323"/>
      <c r="H797" s="321" t="s">
        <v>795</v>
      </c>
    </row>
    <row r="798" spans="1:11" ht="20.100000000000001" customHeight="1" thickTop="1" thickBot="1">
      <c r="A798" s="325" t="s">
        <v>923</v>
      </c>
      <c r="B798" s="326"/>
      <c r="C798" s="327"/>
      <c r="D798" s="328" t="s">
        <v>926</v>
      </c>
      <c r="E798" s="329"/>
      <c r="F798" s="330"/>
      <c r="G798" s="331" t="s">
        <v>1348</v>
      </c>
      <c r="H798" s="332"/>
    </row>
    <row r="799" spans="1:11" ht="38.25" customHeight="1" thickTop="1" thickBot="1">
      <c r="A799" s="480"/>
      <c r="B799" s="334" t="s">
        <v>793</v>
      </c>
      <c r="C799" s="335" t="s">
        <v>1349</v>
      </c>
      <c r="D799" s="335" t="s">
        <v>1266</v>
      </c>
      <c r="E799" s="362" t="s">
        <v>1350</v>
      </c>
      <c r="F799" s="363" t="s">
        <v>1351</v>
      </c>
      <c r="G799" s="338" t="s">
        <v>925</v>
      </c>
      <c r="H799" s="339" t="s">
        <v>927</v>
      </c>
    </row>
    <row r="800" spans="1:11" ht="24.95" customHeight="1" thickTop="1">
      <c r="A800" s="491" t="s">
        <v>290</v>
      </c>
      <c r="B800" s="413" t="s">
        <v>122</v>
      </c>
      <c r="C800" s="402" t="s">
        <v>123</v>
      </c>
      <c r="D800" s="402" t="s">
        <v>123</v>
      </c>
      <c r="E800" s="402" t="s">
        <v>123</v>
      </c>
      <c r="F800" s="402" t="s">
        <v>123</v>
      </c>
      <c r="G800" s="402" t="s">
        <v>123</v>
      </c>
      <c r="H800" s="414" t="s">
        <v>123</v>
      </c>
    </row>
    <row r="801" spans="1:8" ht="24.95" customHeight="1">
      <c r="A801" s="492" t="s">
        <v>1198</v>
      </c>
      <c r="B801" s="396" t="s">
        <v>122</v>
      </c>
      <c r="C801" s="402" t="s">
        <v>123</v>
      </c>
      <c r="D801" s="402" t="s">
        <v>123</v>
      </c>
      <c r="E801" s="402" t="s">
        <v>123</v>
      </c>
      <c r="F801" s="402" t="s">
        <v>123</v>
      </c>
      <c r="G801" s="402" t="s">
        <v>123</v>
      </c>
      <c r="H801" s="414" t="s">
        <v>123</v>
      </c>
    </row>
    <row r="802" spans="1:8" ht="24.95" customHeight="1">
      <c r="A802" s="483" t="s">
        <v>246</v>
      </c>
      <c r="B802" s="341" t="s">
        <v>292</v>
      </c>
      <c r="C802" s="342"/>
      <c r="D802" s="342">
        <v>0</v>
      </c>
      <c r="E802" s="342"/>
      <c r="F802" s="342">
        <v>0</v>
      </c>
      <c r="G802" s="342">
        <v>0</v>
      </c>
      <c r="H802" s="414" t="s">
        <v>123</v>
      </c>
    </row>
    <row r="803" spans="1:8" ht="24.95" customHeight="1">
      <c r="A803" s="483" t="s">
        <v>291</v>
      </c>
      <c r="B803" s="347" t="s">
        <v>293</v>
      </c>
      <c r="C803" s="349"/>
      <c r="D803" s="349"/>
      <c r="E803" s="349"/>
      <c r="F803" s="349"/>
      <c r="G803" s="349"/>
      <c r="H803" s="414" t="s">
        <v>123</v>
      </c>
    </row>
    <row r="804" spans="1:8" ht="24.95" customHeight="1">
      <c r="A804" s="483" t="s">
        <v>248</v>
      </c>
      <c r="B804" s="347" t="s">
        <v>294</v>
      </c>
      <c r="C804" s="349"/>
      <c r="D804" s="349">
        <v>0</v>
      </c>
      <c r="E804" s="349"/>
      <c r="F804" s="349">
        <v>0</v>
      </c>
      <c r="G804" s="349">
        <v>0</v>
      </c>
      <c r="H804" s="414" t="s">
        <v>123</v>
      </c>
    </row>
    <row r="805" spans="1:8" ht="24.95" customHeight="1">
      <c r="A805" s="483" t="s">
        <v>249</v>
      </c>
      <c r="B805" s="347" t="s">
        <v>295</v>
      </c>
      <c r="C805" s="349"/>
      <c r="D805" s="349"/>
      <c r="E805" s="349"/>
      <c r="F805" s="349"/>
      <c r="G805" s="349"/>
      <c r="H805" s="414" t="s">
        <v>123</v>
      </c>
    </row>
    <row r="806" spans="1:8" ht="24.95" customHeight="1" thickBot="1">
      <c r="A806" s="421"/>
      <c r="B806" s="407"/>
      <c r="C806" s="374"/>
      <c r="D806" s="374"/>
      <c r="E806" s="374"/>
      <c r="F806" s="374"/>
      <c r="G806" s="374"/>
      <c r="H806" s="423" t="s">
        <v>123</v>
      </c>
    </row>
    <row r="807" spans="1:8" ht="24.95" customHeight="1" thickBot="1">
      <c r="A807" s="493" t="s">
        <v>296</v>
      </c>
      <c r="B807" s="494" t="s">
        <v>73</v>
      </c>
      <c r="C807" s="431">
        <f>SUM(C802:C806)</f>
        <v>0</v>
      </c>
      <c r="D807" s="431">
        <f>SUM(D802:D806)</f>
        <v>0</v>
      </c>
      <c r="E807" s="431">
        <f>SUM(E802:E806)</f>
        <v>0</v>
      </c>
      <c r="F807" s="431">
        <f>SUM(F802:F806)</f>
        <v>0</v>
      </c>
      <c r="G807" s="431">
        <f>SUM(G802:G806)</f>
        <v>0</v>
      </c>
      <c r="H807" s="488" t="s">
        <v>123</v>
      </c>
    </row>
    <row r="808" spans="1:8" ht="24.95" customHeight="1">
      <c r="A808" s="434" t="s">
        <v>1002</v>
      </c>
      <c r="B808" s="396" t="s">
        <v>122</v>
      </c>
      <c r="C808" s="402" t="s">
        <v>123</v>
      </c>
      <c r="D808" s="402" t="s">
        <v>123</v>
      </c>
      <c r="E808" s="402" t="s">
        <v>123</v>
      </c>
      <c r="F808" s="402" t="s">
        <v>123</v>
      </c>
      <c r="G808" s="402" t="s">
        <v>123</v>
      </c>
      <c r="H808" s="414" t="s">
        <v>123</v>
      </c>
    </row>
    <row r="809" spans="1:8" ht="24.95" customHeight="1">
      <c r="A809" s="483" t="s">
        <v>297</v>
      </c>
      <c r="B809" s="347" t="s">
        <v>299</v>
      </c>
      <c r="C809" s="349"/>
      <c r="D809" s="349"/>
      <c r="E809" s="402" t="s">
        <v>123</v>
      </c>
      <c r="F809" s="349"/>
      <c r="G809" s="349"/>
      <c r="H809" s="414" t="s">
        <v>123</v>
      </c>
    </row>
    <row r="810" spans="1:8" ht="24.95" customHeight="1" thickBot="1">
      <c r="A810" s="495" t="s">
        <v>298</v>
      </c>
      <c r="B810" s="347" t="s">
        <v>300</v>
      </c>
      <c r="C810" s="374"/>
      <c r="D810" s="374"/>
      <c r="E810" s="374"/>
      <c r="F810" s="374"/>
      <c r="G810" s="374"/>
      <c r="H810" s="423" t="s">
        <v>123</v>
      </c>
    </row>
    <row r="811" spans="1:8" ht="24.95" customHeight="1" thickBot="1">
      <c r="A811" s="496" t="s">
        <v>301</v>
      </c>
      <c r="B811" s="347" t="s">
        <v>74</v>
      </c>
      <c r="C811" s="431">
        <f>SUM(C809:C810)</f>
        <v>0</v>
      </c>
      <c r="D811" s="431">
        <f>SUM(D809:D810)</f>
        <v>0</v>
      </c>
      <c r="E811" s="431">
        <f>SUM(E809:E810)</f>
        <v>0</v>
      </c>
      <c r="F811" s="431">
        <f>SUM(F809:F810)</f>
        <v>0</v>
      </c>
      <c r="G811" s="431">
        <f>SUM(G809:G810)</f>
        <v>0</v>
      </c>
      <c r="H811" s="488" t="s">
        <v>123</v>
      </c>
    </row>
    <row r="812" spans="1:8" ht="24.95" customHeight="1">
      <c r="A812" s="373"/>
      <c r="B812" s="347"/>
      <c r="C812" s="342"/>
      <c r="D812" s="342"/>
      <c r="E812" s="342"/>
      <c r="F812" s="342"/>
      <c r="G812" s="342"/>
      <c r="H812" s="398" t="s">
        <v>123</v>
      </c>
    </row>
    <row r="813" spans="1:8" ht="24.95" customHeight="1">
      <c r="A813" s="373"/>
      <c r="B813" s="347"/>
      <c r="C813" s="349"/>
      <c r="D813" s="349"/>
      <c r="E813" s="349"/>
      <c r="F813" s="349"/>
      <c r="G813" s="349"/>
      <c r="H813" s="414" t="s">
        <v>123</v>
      </c>
    </row>
    <row r="814" spans="1:8" ht="24.95" customHeight="1">
      <c r="A814" s="373"/>
      <c r="B814" s="347"/>
      <c r="C814" s="349"/>
      <c r="D814" s="349"/>
      <c r="E814" s="349"/>
      <c r="F814" s="349"/>
      <c r="G814" s="349"/>
      <c r="H814" s="414" t="s">
        <v>123</v>
      </c>
    </row>
    <row r="815" spans="1:8" ht="24.95" customHeight="1">
      <c r="A815" s="373"/>
      <c r="B815" s="347"/>
      <c r="C815" s="349"/>
      <c r="D815" s="349"/>
      <c r="E815" s="349"/>
      <c r="F815" s="349"/>
      <c r="G815" s="349"/>
      <c r="H815" s="414" t="s">
        <v>123</v>
      </c>
    </row>
    <row r="816" spans="1:8" ht="24.95" customHeight="1" thickBot="1">
      <c r="A816" s="421"/>
      <c r="B816" s="407"/>
      <c r="C816" s="374"/>
      <c r="D816" s="374"/>
      <c r="E816" s="374"/>
      <c r="F816" s="374"/>
      <c r="G816" s="374"/>
      <c r="H816" s="423" t="s">
        <v>123</v>
      </c>
    </row>
    <row r="817" spans="1:10" ht="24.95" customHeight="1" thickTop="1">
      <c r="A817" s="368"/>
      <c r="B817" s="369"/>
      <c r="C817" s="368"/>
      <c r="D817" s="372" t="s">
        <v>480</v>
      </c>
      <c r="E817" s="368"/>
      <c r="F817" s="368"/>
      <c r="G817" s="368"/>
      <c r="H817" s="424"/>
    </row>
    <row r="818" spans="1:10" ht="37.5" customHeight="1" thickBot="1">
      <c r="A818" s="318"/>
      <c r="B818" s="319"/>
      <c r="C818" s="318" t="s">
        <v>922</v>
      </c>
      <c r="D818" s="370"/>
      <c r="E818" s="361"/>
      <c r="F818" s="322"/>
      <c r="G818" s="323"/>
      <c r="H818" s="321" t="s">
        <v>795</v>
      </c>
    </row>
    <row r="819" spans="1:10" ht="20.100000000000001" customHeight="1" thickTop="1" thickBot="1">
      <c r="A819" s="325" t="s">
        <v>923</v>
      </c>
      <c r="B819" s="326"/>
      <c r="C819" s="327"/>
      <c r="D819" s="328" t="s">
        <v>926</v>
      </c>
      <c r="E819" s="329"/>
      <c r="F819" s="330"/>
      <c r="G819" s="331" t="s">
        <v>1348</v>
      </c>
      <c r="H819" s="332"/>
    </row>
    <row r="820" spans="1:10" ht="38.25" customHeight="1" thickTop="1" thickBot="1">
      <c r="A820" s="480"/>
      <c r="B820" s="334" t="s">
        <v>793</v>
      </c>
      <c r="C820" s="335" t="s">
        <v>1349</v>
      </c>
      <c r="D820" s="335" t="s">
        <v>1266</v>
      </c>
      <c r="E820" s="362" t="s">
        <v>1350</v>
      </c>
      <c r="F820" s="363" t="s">
        <v>1351</v>
      </c>
      <c r="G820" s="338" t="s">
        <v>925</v>
      </c>
      <c r="H820" s="339" t="s">
        <v>927</v>
      </c>
    </row>
    <row r="821" spans="1:10" ht="24.95" customHeight="1" thickTop="1" thickBot="1">
      <c r="A821" s="497" t="s">
        <v>302</v>
      </c>
      <c r="B821" s="498" t="s">
        <v>122</v>
      </c>
      <c r="C821" s="422" t="s">
        <v>123</v>
      </c>
      <c r="D821" s="422" t="s">
        <v>123</v>
      </c>
      <c r="E821" s="422" t="s">
        <v>123</v>
      </c>
      <c r="F821" s="422" t="s">
        <v>123</v>
      </c>
      <c r="G821" s="422" t="s">
        <v>123</v>
      </c>
      <c r="H821" s="423" t="s">
        <v>123</v>
      </c>
    </row>
    <row r="822" spans="1:10" ht="24.95" customHeight="1" thickBot="1">
      <c r="A822" s="430" t="s">
        <v>303</v>
      </c>
      <c r="B822" s="347" t="s">
        <v>75</v>
      </c>
      <c r="C822" s="431">
        <f>(C807+C811)</f>
        <v>0</v>
      </c>
      <c r="D822" s="431">
        <f>(D807+D811)</f>
        <v>0</v>
      </c>
      <c r="E822" s="431">
        <f>(E807+E811)</f>
        <v>0</v>
      </c>
      <c r="F822" s="431">
        <f>(F807+F811)</f>
        <v>0</v>
      </c>
      <c r="G822" s="431">
        <f>(G807+G811)</f>
        <v>0</v>
      </c>
      <c r="H822" s="488" t="s">
        <v>123</v>
      </c>
    </row>
    <row r="823" spans="1:10" ht="24.95" customHeight="1">
      <c r="A823" s="373"/>
      <c r="B823" s="347"/>
      <c r="C823" s="342"/>
      <c r="D823" s="342"/>
      <c r="E823" s="342"/>
      <c r="F823" s="342"/>
      <c r="G823" s="342"/>
      <c r="H823" s="499"/>
    </row>
    <row r="824" spans="1:10" ht="24.95" customHeight="1">
      <c r="A824" s="497" t="s">
        <v>1305</v>
      </c>
      <c r="B824" s="347" t="s">
        <v>76</v>
      </c>
      <c r="C824" s="349">
        <f>SUM(C795+C807+C811)</f>
        <v>47751390.568000004</v>
      </c>
      <c r="D824" s="349">
        <f>SUM(D795+D807+D811)</f>
        <v>43222486.209999993</v>
      </c>
      <c r="E824" s="349">
        <f>SUM(E795+E807+E811)</f>
        <v>440000</v>
      </c>
      <c r="F824" s="349">
        <f>SUM(F795+F807+F811)</f>
        <v>42842522.909999996</v>
      </c>
      <c r="G824" s="349">
        <f>SUM(G795+G807+G811)</f>
        <v>42183313.229999997</v>
      </c>
      <c r="H824" s="350">
        <f>H795</f>
        <v>257100.79999999981</v>
      </c>
    </row>
    <row r="825" spans="1:10" ht="24.95" customHeight="1" thickBot="1">
      <c r="A825" s="373"/>
      <c r="B825" s="347"/>
      <c r="C825" s="374"/>
      <c r="D825" s="374"/>
      <c r="E825" s="374"/>
      <c r="F825" s="374"/>
      <c r="G825" s="374"/>
      <c r="H825" s="408"/>
    </row>
    <row r="826" spans="1:10" ht="24.95" customHeight="1" thickBot="1">
      <c r="A826" s="434" t="s">
        <v>1304</v>
      </c>
      <c r="B826" s="347" t="s">
        <v>77</v>
      </c>
      <c r="C826" s="431">
        <f t="shared" ref="C826:H826" si="106">SUM(C396+C824)</f>
        <v>266409009.66000003</v>
      </c>
      <c r="D826" s="431">
        <f t="shared" si="106"/>
        <v>243028337.08999997</v>
      </c>
      <c r="E826" s="431">
        <f t="shared" si="106"/>
        <v>4395000</v>
      </c>
      <c r="F826" s="431">
        <f t="shared" si="106"/>
        <v>246227613.09</v>
      </c>
      <c r="G826" s="431">
        <f t="shared" si="106"/>
        <v>240648917.63</v>
      </c>
      <c r="H826" s="432">
        <f t="shared" si="106"/>
        <v>5137326.3599999929</v>
      </c>
      <c r="I826" s="324">
        <v>265787183.38999999</v>
      </c>
      <c r="J826" s="324">
        <f>C826-I826</f>
        <v>621826.27000004053</v>
      </c>
    </row>
    <row r="827" spans="1:10" ht="24.95" customHeight="1">
      <c r="A827" s="373"/>
      <c r="B827" s="347"/>
      <c r="C827" s="342"/>
      <c r="D827" s="342"/>
      <c r="E827" s="342"/>
      <c r="F827" s="342"/>
      <c r="G827" s="342"/>
      <c r="H827" s="345"/>
    </row>
    <row r="828" spans="1:10" ht="24.95" customHeight="1">
      <c r="A828" s="412" t="s">
        <v>1303</v>
      </c>
      <c r="B828" s="347" t="s">
        <v>304</v>
      </c>
      <c r="C828" s="349">
        <v>16813709.449999999</v>
      </c>
      <c r="D828" s="349">
        <v>13556032.84</v>
      </c>
      <c r="E828" s="402" t="s">
        <v>123</v>
      </c>
      <c r="F828" s="349">
        <v>13556032.84</v>
      </c>
      <c r="G828" s="349">
        <v>13556032.84</v>
      </c>
      <c r="H828" s="350">
        <f t="shared" ref="H828" si="107">F828-G828</f>
        <v>0</v>
      </c>
    </row>
    <row r="829" spans="1:10" ht="24.95" customHeight="1">
      <c r="A829" s="373"/>
      <c r="B829" s="347"/>
      <c r="C829" s="349"/>
      <c r="D829" s="349"/>
      <c r="E829" s="349"/>
      <c r="F829" s="349"/>
      <c r="G829" s="349"/>
      <c r="H829" s="350"/>
    </row>
    <row r="830" spans="1:10" ht="24.95" customHeight="1">
      <c r="A830" s="373"/>
      <c r="B830" s="347"/>
      <c r="C830" s="349"/>
      <c r="D830" s="349"/>
      <c r="E830" s="349"/>
      <c r="F830" s="349"/>
      <c r="G830" s="349"/>
      <c r="H830" s="350"/>
    </row>
    <row r="831" spans="1:10" ht="24.95" customHeight="1">
      <c r="A831" s="373"/>
      <c r="B831" s="347"/>
      <c r="C831" s="349"/>
      <c r="D831" s="349"/>
      <c r="E831" s="349"/>
      <c r="F831" s="349"/>
      <c r="G831" s="349"/>
      <c r="H831" s="350"/>
    </row>
    <row r="832" spans="1:10" ht="24.95" customHeight="1">
      <c r="A832" s="373"/>
      <c r="B832" s="347"/>
      <c r="C832" s="349"/>
      <c r="D832" s="349"/>
      <c r="E832" s="349"/>
      <c r="F832" s="349"/>
      <c r="G832" s="349"/>
      <c r="H832" s="350"/>
    </row>
    <row r="833" spans="1:12" ht="24.95" customHeight="1">
      <c r="A833" s="373"/>
      <c r="B833" s="347"/>
      <c r="C833" s="349"/>
      <c r="D833" s="349"/>
      <c r="E833" s="349"/>
      <c r="F833" s="349"/>
      <c r="G833" s="349"/>
      <c r="H833" s="350"/>
    </row>
    <row r="834" spans="1:12" ht="24.95" customHeight="1">
      <c r="A834" s="373"/>
      <c r="B834" s="347"/>
      <c r="C834" s="349"/>
      <c r="D834" s="349"/>
      <c r="E834" s="349"/>
      <c r="F834" s="349"/>
      <c r="G834" s="349"/>
      <c r="H834" s="350"/>
    </row>
    <row r="835" spans="1:12" ht="24.95" customHeight="1" thickBot="1">
      <c r="A835" s="373"/>
      <c r="B835" s="347"/>
      <c r="C835" s="374"/>
      <c r="D835" s="374"/>
      <c r="E835" s="374"/>
      <c r="F835" s="374"/>
      <c r="G835" s="374"/>
      <c r="H835" s="408"/>
    </row>
    <row r="836" spans="1:12" ht="24.95" customHeight="1" thickBot="1">
      <c r="A836" s="412" t="s">
        <v>1302</v>
      </c>
      <c r="B836" s="396" t="s">
        <v>1099</v>
      </c>
      <c r="C836" s="431">
        <f>SUM(C826+C828)</f>
        <v>283222719.11000001</v>
      </c>
      <c r="D836" s="431">
        <f>SUM(D826+D828)</f>
        <v>256584369.92999998</v>
      </c>
      <c r="E836" s="431">
        <f>E826</f>
        <v>4395000</v>
      </c>
      <c r="F836" s="431">
        <f>SUM(F826+F828)</f>
        <v>259783645.93000001</v>
      </c>
      <c r="G836" s="431">
        <f>SUM(G826+G828)</f>
        <v>254204950.47</v>
      </c>
      <c r="H836" s="432">
        <f>H826</f>
        <v>5137326.3599999929</v>
      </c>
      <c r="I836" s="324">
        <v>282557094.75999999</v>
      </c>
      <c r="J836" s="324">
        <f>C836-I836</f>
        <v>665624.35000002384</v>
      </c>
    </row>
    <row r="837" spans="1:12" ht="24.95" customHeight="1" thickBot="1">
      <c r="A837" s="400"/>
      <c r="B837" s="356"/>
      <c r="C837" s="500"/>
      <c r="D837" s="500"/>
      <c r="E837" s="500"/>
      <c r="F837" s="500"/>
      <c r="G837" s="500"/>
      <c r="H837" s="651">
        <f>H836-5187901.42</f>
        <v>-50575.060000007041</v>
      </c>
    </row>
    <row r="838" spans="1:12" ht="24.95" customHeight="1" thickTop="1">
      <c r="A838" s="368"/>
      <c r="B838" s="368"/>
      <c r="C838" s="368"/>
      <c r="D838" s="372" t="s">
        <v>481</v>
      </c>
      <c r="E838" s="368"/>
      <c r="F838" s="368"/>
      <c r="G838" s="368"/>
      <c r="H838" s="368"/>
    </row>
    <row r="839" spans="1:12" ht="37.5" customHeight="1" thickBot="1">
      <c r="A839" s="318"/>
      <c r="B839" s="319"/>
      <c r="C839" s="318" t="s">
        <v>922</v>
      </c>
      <c r="D839" s="370"/>
      <c r="E839" s="361"/>
      <c r="F839" s="322"/>
      <c r="G839" s="323"/>
      <c r="H839" s="321" t="s">
        <v>795</v>
      </c>
    </row>
    <row r="840" spans="1:12" ht="20.100000000000001" customHeight="1" thickTop="1" thickBot="1">
      <c r="A840" s="325" t="s">
        <v>923</v>
      </c>
      <c r="B840" s="326"/>
      <c r="C840" s="327"/>
      <c r="D840" s="328" t="s">
        <v>926</v>
      </c>
      <c r="E840" s="329"/>
      <c r="F840" s="330"/>
      <c r="G840" s="331" t="s">
        <v>1348</v>
      </c>
      <c r="H840" s="332"/>
    </row>
    <row r="841" spans="1:12" ht="38.25" customHeight="1" thickTop="1" thickBot="1">
      <c r="A841" s="437" t="s">
        <v>305</v>
      </c>
      <c r="B841" s="334" t="s">
        <v>793</v>
      </c>
      <c r="C841" s="335" t="s">
        <v>1349</v>
      </c>
      <c r="D841" s="335" t="s">
        <v>1266</v>
      </c>
      <c r="E841" s="362" t="s">
        <v>1350</v>
      </c>
      <c r="F841" s="363" t="s">
        <v>1351</v>
      </c>
      <c r="G841" s="338" t="s">
        <v>925</v>
      </c>
      <c r="H841" s="339" t="s">
        <v>927</v>
      </c>
    </row>
    <row r="842" spans="1:12" ht="24.95" customHeight="1" thickTop="1">
      <c r="A842" s="501" t="s">
        <v>1301</v>
      </c>
      <c r="B842" s="392" t="s">
        <v>56</v>
      </c>
      <c r="C842" s="502">
        <f t="shared" ref="C842:H842" si="108">C319</f>
        <v>193828404.852</v>
      </c>
      <c r="D842" s="502">
        <f t="shared" si="108"/>
        <v>175603141</v>
      </c>
      <c r="E842" s="502">
        <f t="shared" si="108"/>
        <v>3955000</v>
      </c>
      <c r="F842" s="502">
        <f t="shared" si="108"/>
        <v>179182380.30000001</v>
      </c>
      <c r="G842" s="502">
        <f t="shared" si="108"/>
        <v>174426194.94</v>
      </c>
      <c r="H842" s="503">
        <f t="shared" si="108"/>
        <v>4717500.359999991</v>
      </c>
      <c r="K842" s="324">
        <v>194523183</v>
      </c>
      <c r="L842" s="324">
        <f>K842-C842</f>
        <v>694778.14800000191</v>
      </c>
    </row>
    <row r="843" spans="1:12" ht="24.95" customHeight="1">
      <c r="A843" s="456" t="s">
        <v>1184</v>
      </c>
      <c r="B843" s="396" t="s">
        <v>59</v>
      </c>
      <c r="C843" s="504">
        <f t="shared" ref="C843:H843" si="109">C373</f>
        <v>24260717.939999998</v>
      </c>
      <c r="D843" s="504">
        <f t="shared" si="109"/>
        <v>24202709.879999999</v>
      </c>
      <c r="E843" s="504">
        <f t="shared" si="109"/>
        <v>0</v>
      </c>
      <c r="F843" s="504">
        <f t="shared" si="109"/>
        <v>24202709.879999999</v>
      </c>
      <c r="G843" s="504">
        <f t="shared" si="109"/>
        <v>24039409.459999997</v>
      </c>
      <c r="H843" s="505">
        <f t="shared" si="109"/>
        <v>162725.20000000158</v>
      </c>
      <c r="J843" s="594"/>
      <c r="K843" s="324">
        <v>24207387.969999999</v>
      </c>
      <c r="L843" s="324">
        <f>K843-C843</f>
        <v>-53329.969999998808</v>
      </c>
    </row>
    <row r="844" spans="1:12" ht="24.95" customHeight="1">
      <c r="A844" s="506"/>
      <c r="B844" s="507"/>
      <c r="C844" s="508"/>
      <c r="D844" s="508"/>
      <c r="E844" s="509"/>
      <c r="F844" s="509"/>
      <c r="G844" s="510"/>
      <c r="H844" s="511"/>
    </row>
    <row r="845" spans="1:12" ht="24.95" customHeight="1">
      <c r="A845" s="512" t="s">
        <v>1300</v>
      </c>
      <c r="B845" s="341" t="s">
        <v>60</v>
      </c>
      <c r="C845" s="342">
        <f t="shared" ref="C845:H845" si="110">C396</f>
        <v>218657619.09200001</v>
      </c>
      <c r="D845" s="342">
        <f t="shared" si="110"/>
        <v>199805850.88</v>
      </c>
      <c r="E845" s="342">
        <f t="shared" si="110"/>
        <v>3955000</v>
      </c>
      <c r="F845" s="342">
        <f t="shared" si="110"/>
        <v>203385090.18000001</v>
      </c>
      <c r="G845" s="342">
        <f t="shared" si="110"/>
        <v>198465604.40000001</v>
      </c>
      <c r="H845" s="345">
        <f t="shared" si="110"/>
        <v>4880225.5599999931</v>
      </c>
      <c r="K845" s="324">
        <f>SUM(C842:C843)</f>
        <v>218089122.792</v>
      </c>
      <c r="L845" s="324">
        <f>C845-K845</f>
        <v>568496.30000001192</v>
      </c>
    </row>
    <row r="846" spans="1:12" ht="24.95" customHeight="1">
      <c r="A846" s="373"/>
      <c r="B846" s="396" t="s">
        <v>122</v>
      </c>
      <c r="C846" s="349"/>
      <c r="D846" s="349"/>
      <c r="E846" s="349"/>
      <c r="F846" s="349"/>
      <c r="G846" s="349"/>
      <c r="H846" s="350"/>
    </row>
    <row r="847" spans="1:12" ht="24.95" customHeight="1">
      <c r="A847" s="475" t="s">
        <v>306</v>
      </c>
      <c r="B847" s="396" t="s">
        <v>122</v>
      </c>
      <c r="C847" s="402" t="s">
        <v>123</v>
      </c>
      <c r="D847" s="402" t="s">
        <v>123</v>
      </c>
      <c r="E847" s="402" t="s">
        <v>123</v>
      </c>
      <c r="F847" s="402" t="s">
        <v>123</v>
      </c>
      <c r="G847" s="402" t="s">
        <v>123</v>
      </c>
      <c r="H847" s="414" t="s">
        <v>123</v>
      </c>
    </row>
    <row r="848" spans="1:12" ht="24.95" customHeight="1">
      <c r="A848" s="461" t="s">
        <v>1299</v>
      </c>
      <c r="B848" s="396" t="s">
        <v>61</v>
      </c>
      <c r="C848" s="349">
        <f t="shared" ref="C848:H848" si="111">C438</f>
        <v>18164462.847999997</v>
      </c>
      <c r="D848" s="349">
        <f t="shared" si="111"/>
        <v>16759431</v>
      </c>
      <c r="E848" s="349">
        <f t="shared" si="111"/>
        <v>0</v>
      </c>
      <c r="F848" s="349">
        <f t="shared" si="111"/>
        <v>16439467.699999999</v>
      </c>
      <c r="G848" s="349">
        <f t="shared" si="111"/>
        <v>16182366.899999999</v>
      </c>
      <c r="H848" s="350">
        <f t="shared" si="111"/>
        <v>257100.79999999981</v>
      </c>
      <c r="K848" s="324">
        <v>17469684.699999999</v>
      </c>
      <c r="L848" s="324">
        <f>K848-C848</f>
        <v>-694778.14799999818</v>
      </c>
    </row>
    <row r="849" spans="1:12" ht="24.95" customHeight="1">
      <c r="A849" s="483" t="s">
        <v>181</v>
      </c>
      <c r="B849" s="396" t="s">
        <v>62</v>
      </c>
      <c r="C849" s="349">
        <f t="shared" ref="C849:H850" si="112">C459</f>
        <v>0</v>
      </c>
      <c r="D849" s="349">
        <f t="shared" si="112"/>
        <v>0</v>
      </c>
      <c r="E849" s="349">
        <f t="shared" si="112"/>
        <v>0</v>
      </c>
      <c r="F849" s="349">
        <f t="shared" si="112"/>
        <v>0</v>
      </c>
      <c r="G849" s="349">
        <f t="shared" si="112"/>
        <v>0</v>
      </c>
      <c r="H849" s="350">
        <f t="shared" si="112"/>
        <v>0</v>
      </c>
    </row>
    <row r="850" spans="1:12" ht="24.95" customHeight="1">
      <c r="A850" s="461" t="s">
        <v>493</v>
      </c>
      <c r="B850" s="396" t="s">
        <v>1361</v>
      </c>
      <c r="C850" s="349">
        <f t="shared" si="112"/>
        <v>0</v>
      </c>
      <c r="D850" s="349" t="str">
        <f t="shared" si="112"/>
        <v>Sheet 21</v>
      </c>
      <c r="E850" s="349">
        <f t="shared" si="112"/>
        <v>0</v>
      </c>
      <c r="F850" s="349">
        <f t="shared" si="112"/>
        <v>0</v>
      </c>
      <c r="G850" s="349">
        <f t="shared" si="112"/>
        <v>0</v>
      </c>
      <c r="H850" s="349">
        <f t="shared" si="112"/>
        <v>0</v>
      </c>
    </row>
    <row r="851" spans="1:12" ht="24.95" customHeight="1">
      <c r="A851" s="483" t="s">
        <v>183</v>
      </c>
      <c r="B851" s="396" t="s">
        <v>63</v>
      </c>
      <c r="C851" s="349">
        <f t="shared" ref="C851:H851" si="113">C480</f>
        <v>0</v>
      </c>
      <c r="D851" s="349">
        <f t="shared" si="113"/>
        <v>0</v>
      </c>
      <c r="E851" s="349">
        <f t="shared" si="113"/>
        <v>0</v>
      </c>
      <c r="F851" s="349">
        <f t="shared" si="113"/>
        <v>0</v>
      </c>
      <c r="G851" s="349">
        <f t="shared" si="113"/>
        <v>0</v>
      </c>
      <c r="H851" s="350">
        <f t="shared" si="113"/>
        <v>0</v>
      </c>
    </row>
    <row r="852" spans="1:12" ht="24.95" customHeight="1">
      <c r="A852" s="483" t="s">
        <v>19</v>
      </c>
      <c r="B852" s="396" t="s">
        <v>64</v>
      </c>
      <c r="C852" s="349">
        <f t="shared" ref="C852:H852" si="114">C501</f>
        <v>0</v>
      </c>
      <c r="D852" s="349">
        <f t="shared" si="114"/>
        <v>0</v>
      </c>
      <c r="E852" s="349">
        <f t="shared" si="114"/>
        <v>0</v>
      </c>
      <c r="F852" s="349">
        <f t="shared" si="114"/>
        <v>0</v>
      </c>
      <c r="G852" s="349">
        <f t="shared" si="114"/>
        <v>0</v>
      </c>
      <c r="H852" s="350">
        <f t="shared" si="114"/>
        <v>0</v>
      </c>
    </row>
    <row r="853" spans="1:12" ht="24.95" customHeight="1" thickBot="1">
      <c r="A853" s="513" t="s">
        <v>1298</v>
      </c>
      <c r="B853" s="396" t="s">
        <v>65</v>
      </c>
      <c r="C853" s="374">
        <f t="shared" ref="C853:H854" si="115">C687</f>
        <v>11087297.630000001</v>
      </c>
      <c r="D853" s="374">
        <f t="shared" si="115"/>
        <v>10800177.939999999</v>
      </c>
      <c r="E853" s="374">
        <f t="shared" si="115"/>
        <v>0</v>
      </c>
      <c r="F853" s="374">
        <f t="shared" si="115"/>
        <v>10300177.939999999</v>
      </c>
      <c r="G853" s="374">
        <f t="shared" si="115"/>
        <v>10300177.939999999</v>
      </c>
      <c r="H853" s="408">
        <f t="shared" si="115"/>
        <v>0</v>
      </c>
      <c r="I853" s="324">
        <f>SUM(C848:C853)</f>
        <v>29251760.478</v>
      </c>
      <c r="K853" s="324">
        <v>11087297.630000001</v>
      </c>
      <c r="L853" s="324">
        <f>K853-C853</f>
        <v>0</v>
      </c>
    </row>
    <row r="854" spans="1:12" ht="24.95" customHeight="1">
      <c r="A854" s="514" t="s">
        <v>1297</v>
      </c>
      <c r="B854" s="407" t="s">
        <v>66</v>
      </c>
      <c r="C854" s="515">
        <f t="shared" si="115"/>
        <v>29251760.478</v>
      </c>
      <c r="D854" s="515">
        <f t="shared" si="115"/>
        <v>27559608.939999998</v>
      </c>
      <c r="E854" s="515">
        <f t="shared" si="115"/>
        <v>0</v>
      </c>
      <c r="F854" s="515">
        <f t="shared" si="115"/>
        <v>26739645.640000001</v>
      </c>
      <c r="G854" s="515">
        <f t="shared" si="115"/>
        <v>26482544.839999996</v>
      </c>
      <c r="H854" s="516">
        <f t="shared" si="115"/>
        <v>257100.79999999981</v>
      </c>
      <c r="K854" s="324">
        <v>28556982.329999998</v>
      </c>
      <c r="L854" s="324">
        <f>K854-C854</f>
        <v>-694778.14800000191</v>
      </c>
    </row>
    <row r="855" spans="1:12" ht="24.95" customHeight="1">
      <c r="A855" s="373"/>
      <c r="B855" s="349"/>
      <c r="C855" s="349"/>
      <c r="D855" s="349"/>
      <c r="E855" s="349"/>
      <c r="F855" s="349"/>
      <c r="G855" s="349"/>
      <c r="H855" s="350"/>
    </row>
    <row r="856" spans="1:12" ht="24.95" customHeight="1">
      <c r="A856" s="373"/>
      <c r="B856" s="349"/>
      <c r="C856" s="349"/>
      <c r="D856" s="349"/>
      <c r="E856" s="349"/>
      <c r="F856" s="349"/>
      <c r="G856" s="349"/>
      <c r="H856" s="350"/>
    </row>
    <row r="857" spans="1:12" ht="24.95" customHeight="1">
      <c r="A857" s="373"/>
      <c r="B857" s="349"/>
      <c r="C857" s="349"/>
      <c r="D857" s="349"/>
      <c r="E857" s="349"/>
      <c r="F857" s="349"/>
      <c r="G857" s="349"/>
      <c r="H857" s="350"/>
    </row>
    <row r="858" spans="1:12" ht="24.95" customHeight="1" thickBot="1">
      <c r="A858" s="400"/>
      <c r="B858" s="356"/>
      <c r="C858" s="356"/>
      <c r="D858" s="356"/>
      <c r="E858" s="356"/>
      <c r="F858" s="356"/>
      <c r="G858" s="356"/>
      <c r="H858" s="357"/>
    </row>
    <row r="859" spans="1:12" ht="24.95" customHeight="1" thickTop="1">
      <c r="A859" s="448"/>
      <c r="B859" s="324"/>
      <c r="D859" s="372" t="s">
        <v>482</v>
      </c>
    </row>
    <row r="860" spans="1:12" ht="37.5" customHeight="1" thickBot="1">
      <c r="A860" s="318"/>
      <c r="B860" s="319"/>
      <c r="C860" s="318" t="s">
        <v>922</v>
      </c>
      <c r="D860" s="370"/>
      <c r="E860" s="361"/>
      <c r="F860" s="322"/>
      <c r="G860" s="323"/>
      <c r="H860" s="321" t="s">
        <v>795</v>
      </c>
    </row>
    <row r="861" spans="1:12" ht="20.100000000000001" customHeight="1" thickTop="1" thickBot="1">
      <c r="A861" s="325" t="s">
        <v>923</v>
      </c>
      <c r="B861" s="326"/>
      <c r="C861" s="327"/>
      <c r="D861" s="328" t="s">
        <v>926</v>
      </c>
      <c r="E861" s="329"/>
      <c r="F861" s="330"/>
      <c r="G861" s="331" t="s">
        <v>1348</v>
      </c>
      <c r="H861" s="332"/>
    </row>
    <row r="862" spans="1:12" ht="38.25" customHeight="1" thickTop="1" thickBot="1">
      <c r="A862" s="437" t="s">
        <v>434</v>
      </c>
      <c r="B862" s="334" t="s">
        <v>793</v>
      </c>
      <c r="C862" s="335" t="s">
        <v>1349</v>
      </c>
      <c r="D862" s="335" t="s">
        <v>1266</v>
      </c>
      <c r="E862" s="362" t="s">
        <v>1350</v>
      </c>
      <c r="F862" s="363" t="s">
        <v>1351</v>
      </c>
      <c r="G862" s="338" t="s">
        <v>925</v>
      </c>
      <c r="H862" s="339" t="s">
        <v>927</v>
      </c>
    </row>
    <row r="863" spans="1:12" ht="24.95" customHeight="1" thickTop="1">
      <c r="A863" s="443" t="s">
        <v>22</v>
      </c>
      <c r="B863" s="341" t="s">
        <v>69</v>
      </c>
      <c r="C863" s="349">
        <f t="shared" ref="C863:H863" si="116">C732</f>
        <v>350000</v>
      </c>
      <c r="D863" s="349">
        <f t="shared" si="116"/>
        <v>340000</v>
      </c>
      <c r="E863" s="349">
        <f t="shared" si="116"/>
        <v>0</v>
      </c>
      <c r="F863" s="349">
        <f t="shared" si="116"/>
        <v>340000</v>
      </c>
      <c r="G863" s="349">
        <f t="shared" si="116"/>
        <v>340000</v>
      </c>
      <c r="H863" s="350">
        <f t="shared" si="116"/>
        <v>0</v>
      </c>
      <c r="K863" s="324">
        <v>350000</v>
      </c>
      <c r="L863" s="324">
        <f>K863-C863</f>
        <v>0</v>
      </c>
    </row>
    <row r="864" spans="1:12" ht="24.95" customHeight="1">
      <c r="A864" s="472" t="s">
        <v>1133</v>
      </c>
      <c r="B864" s="347" t="s">
        <v>70</v>
      </c>
      <c r="C864" s="349">
        <f>C774</f>
        <v>15521630.09</v>
      </c>
      <c r="D864" s="349">
        <f>D774</f>
        <v>11894877.27</v>
      </c>
      <c r="E864" s="349">
        <f>E774</f>
        <v>440000</v>
      </c>
      <c r="F864" s="349">
        <f>F774</f>
        <v>12334877.27</v>
      </c>
      <c r="G864" s="349">
        <f>G774</f>
        <v>11982768.390000001</v>
      </c>
      <c r="H864" s="414" t="s">
        <v>123</v>
      </c>
      <c r="K864" s="324">
        <v>15521630.09</v>
      </c>
      <c r="L864" s="324">
        <f>K864-C864</f>
        <v>0</v>
      </c>
    </row>
    <row r="865" spans="1:13" ht="24.95" customHeight="1">
      <c r="A865" s="474" t="s">
        <v>1294</v>
      </c>
      <c r="B865" s="396" t="s">
        <v>71</v>
      </c>
      <c r="C865" s="429">
        <f>C789</f>
        <v>2578000</v>
      </c>
      <c r="D865" s="349">
        <f>D789</f>
        <v>3378000</v>
      </c>
      <c r="E865" s="402" t="s">
        <v>123</v>
      </c>
      <c r="F865" s="349">
        <f>F789</f>
        <v>3378000</v>
      </c>
      <c r="G865" s="349">
        <f>G789</f>
        <v>3378000</v>
      </c>
      <c r="H865" s="414" t="s">
        <v>123</v>
      </c>
      <c r="K865" s="324">
        <v>2578000</v>
      </c>
      <c r="L865" s="324">
        <f>K865-C865</f>
        <v>0</v>
      </c>
    </row>
    <row r="866" spans="1:13" ht="24.95" customHeight="1">
      <c r="A866" s="472" t="s">
        <v>1081</v>
      </c>
      <c r="B866" s="347" t="s">
        <v>275</v>
      </c>
      <c r="C866" s="349">
        <f>C790</f>
        <v>50000</v>
      </c>
      <c r="D866" s="349">
        <f>D790</f>
        <v>50000</v>
      </c>
      <c r="E866" s="402" t="s">
        <v>123</v>
      </c>
      <c r="F866" s="349">
        <f>F790</f>
        <v>50000</v>
      </c>
      <c r="G866" s="349">
        <f>G790</f>
        <v>0</v>
      </c>
      <c r="H866" s="414" t="s">
        <v>123</v>
      </c>
      <c r="K866" s="324">
        <v>50000</v>
      </c>
      <c r="L866" s="324">
        <f>K866-C866</f>
        <v>0</v>
      </c>
    </row>
    <row r="867" spans="1:13" ht="24.95" customHeight="1">
      <c r="A867" s="474" t="s">
        <v>1185</v>
      </c>
      <c r="B867" s="347" t="s">
        <v>160</v>
      </c>
      <c r="C867" s="349">
        <f>C793</f>
        <v>0</v>
      </c>
      <c r="D867" s="349">
        <f>D793</f>
        <v>0</v>
      </c>
      <c r="E867" s="402" t="s">
        <v>123</v>
      </c>
      <c r="F867" s="349">
        <f>F793</f>
        <v>0</v>
      </c>
      <c r="G867" s="349">
        <f>G793</f>
        <v>0</v>
      </c>
      <c r="H867" s="414" t="s">
        <v>123</v>
      </c>
    </row>
    <row r="868" spans="1:13" ht="24.95" customHeight="1">
      <c r="A868" s="475" t="s">
        <v>308</v>
      </c>
      <c r="B868" s="347" t="s">
        <v>75</v>
      </c>
      <c r="C868" s="349">
        <f>C822</f>
        <v>0</v>
      </c>
      <c r="D868" s="349">
        <f>D822</f>
        <v>0</v>
      </c>
      <c r="E868" s="349">
        <f>E822</f>
        <v>0</v>
      </c>
      <c r="F868" s="349">
        <f>F822</f>
        <v>0</v>
      </c>
      <c r="G868" s="349">
        <f>G822</f>
        <v>0</v>
      </c>
      <c r="H868" s="414" t="s">
        <v>123</v>
      </c>
    </row>
    <row r="869" spans="1:13" ht="24.95" customHeight="1">
      <c r="A869" s="475" t="s">
        <v>309</v>
      </c>
      <c r="B869" s="347" t="s">
        <v>274</v>
      </c>
      <c r="C869" s="349">
        <f>C791</f>
        <v>0</v>
      </c>
      <c r="D869" s="349">
        <f>D791</f>
        <v>0</v>
      </c>
      <c r="E869" s="402" t="s">
        <v>123</v>
      </c>
      <c r="F869" s="349">
        <f>F791</f>
        <v>0</v>
      </c>
      <c r="G869" s="349">
        <f>G791</f>
        <v>0</v>
      </c>
      <c r="H869" s="414" t="s">
        <v>123</v>
      </c>
    </row>
    <row r="870" spans="1:13" ht="24.95" customHeight="1" thickBot="1">
      <c r="A870" s="472" t="s">
        <v>1295</v>
      </c>
      <c r="B870" s="347" t="s">
        <v>304</v>
      </c>
      <c r="C870" s="374">
        <v>16813709.449999999</v>
      </c>
      <c r="D870" s="374">
        <f>D828</f>
        <v>13556032.84</v>
      </c>
      <c r="E870" s="422" t="s">
        <v>123</v>
      </c>
      <c r="F870" s="374">
        <f>F828</f>
        <v>13556032.84</v>
      </c>
      <c r="G870" s="374">
        <f>G828</f>
        <v>13556032.84</v>
      </c>
      <c r="H870" s="423" t="s">
        <v>123</v>
      </c>
      <c r="K870" s="324">
        <v>16769911.369999999</v>
      </c>
      <c r="L870" s="324">
        <f>K870-C870</f>
        <v>-43798.080000000075</v>
      </c>
    </row>
    <row r="871" spans="1:13" ht="24.95" customHeight="1" thickBot="1">
      <c r="A871" s="517" t="s">
        <v>1296</v>
      </c>
      <c r="B871" s="407" t="s">
        <v>78</v>
      </c>
      <c r="C871" s="515">
        <f t="shared" ref="C871:H871" si="117">C836</f>
        <v>283222719.11000001</v>
      </c>
      <c r="D871" s="515">
        <f t="shared" si="117"/>
        <v>256584369.92999998</v>
      </c>
      <c r="E871" s="515">
        <f t="shared" si="117"/>
        <v>4395000</v>
      </c>
      <c r="F871" s="515">
        <f t="shared" si="117"/>
        <v>259783645.93000001</v>
      </c>
      <c r="G871" s="515">
        <f t="shared" si="117"/>
        <v>254204950.47</v>
      </c>
      <c r="H871" s="516">
        <f t="shared" si="117"/>
        <v>5137326.3599999929</v>
      </c>
      <c r="I871" s="324">
        <f>C871-274815266.04</f>
        <v>8407453.0699999928</v>
      </c>
      <c r="J871" s="324">
        <f>I795</f>
        <v>7751575.7780000046</v>
      </c>
      <c r="L871" s="324">
        <v>282557094.75999999</v>
      </c>
      <c r="M871" s="324">
        <f>L871-C871</f>
        <v>-665624.35000002384</v>
      </c>
    </row>
    <row r="872" spans="1:13" ht="24.95" customHeight="1" thickBot="1">
      <c r="A872" s="373"/>
      <c r="B872" s="347"/>
      <c r="C872" s="518"/>
      <c r="D872" s="518"/>
      <c r="E872" s="518"/>
      <c r="F872" s="518"/>
      <c r="G872" s="518"/>
      <c r="H872" s="519"/>
      <c r="I872" s="324">
        <f>I854+I396</f>
        <v>218730570.97</v>
      </c>
      <c r="M872" s="324">
        <f>L845</f>
        <v>568496.30000001192</v>
      </c>
    </row>
    <row r="873" spans="1:13" ht="24.95" customHeight="1">
      <c r="A873" s="373"/>
      <c r="B873" s="347"/>
      <c r="C873" s="349"/>
      <c r="D873" s="349"/>
      <c r="E873" s="349"/>
      <c r="F873" s="349"/>
      <c r="G873" s="349"/>
      <c r="H873" s="350"/>
      <c r="I873" s="519">
        <f>H871-5187901.42</f>
        <v>-50575.060000007041</v>
      </c>
      <c r="M873" s="324">
        <f>SUM(M871:M872)</f>
        <v>-97128.050000011921</v>
      </c>
    </row>
    <row r="874" spans="1:13" ht="24.95" customHeight="1">
      <c r="A874" s="373"/>
      <c r="B874" s="347"/>
      <c r="C874" s="349"/>
      <c r="D874" s="349"/>
      <c r="E874" s="349"/>
      <c r="F874" s="349"/>
      <c r="G874" s="349"/>
      <c r="H874" s="350"/>
      <c r="M874" s="324">
        <f>M396</f>
        <v>26634.68</v>
      </c>
    </row>
    <row r="875" spans="1:13" ht="24.95" customHeight="1">
      <c r="A875" s="373"/>
      <c r="B875" s="347"/>
      <c r="C875" s="349"/>
      <c r="D875" s="349"/>
      <c r="E875" s="349"/>
      <c r="F875" s="349"/>
      <c r="G875" s="349"/>
      <c r="H875" s="350"/>
      <c r="M875" s="324">
        <f>O396</f>
        <v>26695.29</v>
      </c>
    </row>
    <row r="876" spans="1:13" ht="24.95" customHeight="1">
      <c r="A876" s="373"/>
      <c r="B876" s="347"/>
      <c r="C876" s="349"/>
      <c r="D876" s="349"/>
      <c r="E876" s="349"/>
      <c r="F876" s="349"/>
      <c r="G876" s="349"/>
      <c r="H876" s="350"/>
      <c r="M876" s="324">
        <f>SUM(M873:M875)</f>
        <v>-43798.080000011927</v>
      </c>
    </row>
    <row r="877" spans="1:13" ht="24.95" customHeight="1">
      <c r="A877" s="373"/>
      <c r="B877" s="347"/>
      <c r="C877" s="349"/>
      <c r="D877" s="349"/>
      <c r="E877" s="349"/>
      <c r="F877" s="349"/>
      <c r="G877" s="349"/>
      <c r="H877" s="350"/>
    </row>
    <row r="878" spans="1:13" ht="24.95" customHeight="1">
      <c r="A878" s="373"/>
      <c r="B878" s="347"/>
      <c r="C878" s="349"/>
      <c r="D878" s="349"/>
      <c r="E878" s="349"/>
      <c r="F878" s="349"/>
      <c r="G878" s="349"/>
      <c r="H878" s="350"/>
    </row>
    <row r="879" spans="1:13" ht="24.95" customHeight="1" thickBot="1">
      <c r="A879" s="400"/>
      <c r="B879" s="355"/>
      <c r="C879" s="356"/>
      <c r="D879" s="356"/>
      <c r="E879" s="356"/>
      <c r="F879" s="356"/>
      <c r="G879" s="356"/>
      <c r="H879" s="357"/>
    </row>
    <row r="880" spans="1:13" ht="24.95" customHeight="1" thickTop="1">
      <c r="D880" s="372" t="s">
        <v>483</v>
      </c>
    </row>
    <row r="881" spans="1:8" ht="24.95" customHeight="1">
      <c r="A881" s="324" t="s">
        <v>307</v>
      </c>
      <c r="C881" s="324">
        <f t="shared" ref="C881:G881" si="118">SUM(C6,C9,C12,C15,C18,C31,C37,C40,C48,C51,C55,C61,C69,C72,C75,C78,C81,C90,C97,C103,C111,C119,C123,C132,C135,C138,C141,C145,C153,C157)</f>
        <v>92691088</v>
      </c>
      <c r="D881" s="324">
        <f t="shared" si="118"/>
        <v>84269112</v>
      </c>
      <c r="E881" s="324">
        <f t="shared" si="118"/>
        <v>0</v>
      </c>
      <c r="F881" s="324">
        <f t="shared" si="118"/>
        <v>84488172</v>
      </c>
      <c r="G881" s="324">
        <f t="shared" si="118"/>
        <v>83984290.939999983</v>
      </c>
      <c r="H881" s="324">
        <f>SUM(H6,H9,H12,H15,H18,H31,H37,H40,H48,H51,H55,H61,H69,H72,H75,H78,H81,H90,H97,H103,H111,H120,H123,H133,H135,H138,H141,H145,H153,H157)</f>
        <v>293525.33000000042</v>
      </c>
    </row>
    <row r="882" spans="1:8" ht="24.95" customHeight="1">
      <c r="A882" s="324" t="s">
        <v>307</v>
      </c>
      <c r="C882" s="324">
        <f t="shared" ref="C882:H882" si="119">SUM(C121,C160,C164,C174,C177,C180,C183,C195,C198,C201,C204,C217,C221,C226,C234,C237,C244,C247,C256,C259,C264,C267,C278)</f>
        <v>16179302</v>
      </c>
      <c r="D882" s="324">
        <f t="shared" si="119"/>
        <v>13721203</v>
      </c>
      <c r="E882" s="324">
        <f t="shared" si="119"/>
        <v>0</v>
      </c>
      <c r="F882" s="324">
        <f t="shared" si="119"/>
        <v>12941536.300000001</v>
      </c>
      <c r="G882" s="324">
        <f t="shared" si="119"/>
        <v>12736843.120000001</v>
      </c>
      <c r="H882" s="324">
        <f t="shared" si="119"/>
        <v>204693.17999999988</v>
      </c>
    </row>
    <row r="884" spans="1:8" ht="24.95" customHeight="1">
      <c r="C884" s="520" t="s">
        <v>1267</v>
      </c>
      <c r="D884" s="520" t="s">
        <v>1186</v>
      </c>
      <c r="E884" s="520" t="s">
        <v>239</v>
      </c>
      <c r="F884" s="520" t="s">
        <v>314</v>
      </c>
      <c r="G884" s="520" t="s">
        <v>315</v>
      </c>
      <c r="H884" s="520" t="s">
        <v>316</v>
      </c>
    </row>
    <row r="885" spans="1:8" ht="24.95" customHeight="1">
      <c r="A885" s="324" t="s">
        <v>1210</v>
      </c>
      <c r="C885" s="324">
        <v>0</v>
      </c>
      <c r="D885" s="324">
        <v>0</v>
      </c>
      <c r="E885" s="324">
        <v>0</v>
      </c>
      <c r="F885" s="324">
        <v>0</v>
      </c>
      <c r="G885" s="324">
        <v>0</v>
      </c>
      <c r="H885" s="324">
        <v>0</v>
      </c>
    </row>
  </sheetData>
  <phoneticPr fontId="0" type="noConversion"/>
  <pageMargins left="0.75" right="0.5" top="0.5" bottom="0.62" header="0.5" footer="0.41"/>
  <pageSetup paperSize="5" scale="90" firstPageNumber="13" orientation="landscape" horizontalDpi="4294967293" verticalDpi="300" r:id="rId1"/>
  <headerFooter alignWithMargins="0"/>
  <rowBreaks count="41" manualBreakCount="41">
    <brk id="21" max="7" man="1"/>
    <brk id="42" max="7" man="1"/>
    <brk id="63" max="7" man="1"/>
    <brk id="84" max="7" man="1"/>
    <brk id="105" max="7" man="1"/>
    <brk id="126" max="7" man="1"/>
    <brk id="147" max="7" man="1"/>
    <brk id="168" max="7" man="1"/>
    <brk id="189" max="7" man="1"/>
    <brk id="210" max="7" man="1"/>
    <brk id="228" max="7" man="1"/>
    <brk id="249" max="7" man="1"/>
    <brk id="270" max="7" man="1"/>
    <brk id="291" max="7" man="1"/>
    <brk id="312" max="7" man="1"/>
    <brk id="333" max="7" man="1"/>
    <brk id="354" max="7" man="1"/>
    <brk id="376" max="7" man="1"/>
    <brk id="397" max="7" man="1"/>
    <brk id="418" max="7" man="1"/>
    <brk id="439" max="7" man="1"/>
    <brk id="460" max="7" man="1"/>
    <brk id="481" max="7" man="1"/>
    <brk id="502" max="7" man="1"/>
    <brk id="523" max="7" man="1"/>
    <brk id="544" max="7" man="1"/>
    <brk id="565" max="7" man="1"/>
    <brk id="586" max="7" man="1"/>
    <brk id="607" max="7" man="1"/>
    <brk id="628" max="7" man="1"/>
    <brk id="649" max="7" man="1"/>
    <brk id="670" max="7" man="1"/>
    <brk id="691" max="7" man="1"/>
    <brk id="712" max="7" man="1"/>
    <brk id="733" max="7" man="1"/>
    <brk id="754" max="7" man="1"/>
    <brk id="775" max="7" man="1"/>
    <brk id="796" max="7" man="1"/>
    <brk id="817" max="7" man="1"/>
    <brk id="838" max="7" man="1"/>
    <brk id="859" max="7" man="1"/>
  </rowBreaks>
</worksheet>
</file>

<file path=xl/worksheets/sheet6.xml><?xml version="1.0" encoding="utf-8"?>
<worksheet xmlns="http://schemas.openxmlformats.org/spreadsheetml/2006/main" xmlns:r="http://schemas.openxmlformats.org/officeDocument/2006/relationships">
  <sheetPr>
    <tabColor rgb="FF00B050"/>
  </sheetPr>
  <dimension ref="A1:H177"/>
  <sheetViews>
    <sheetView view="pageBreakPreview" topLeftCell="A85" zoomScale="90" zoomScaleNormal="75" zoomScaleSheetLayoutView="90" workbookViewId="0">
      <selection activeCell="B8" sqref="B8"/>
    </sheetView>
  </sheetViews>
  <sheetFormatPr defaultRowHeight="24.95" customHeight="1"/>
  <cols>
    <col min="1" max="1" width="51.5703125" customWidth="1"/>
    <col min="2" max="2" width="9.7109375" customWidth="1"/>
    <col min="3" max="4" width="17.7109375" customWidth="1"/>
    <col min="5" max="5" width="16.7109375" customWidth="1"/>
    <col min="6" max="7" width="17.7109375" customWidth="1"/>
    <col min="8" max="8" width="16.7109375" customWidth="1"/>
  </cols>
  <sheetData>
    <row r="1" spans="1:8" ht="24.95" customHeight="1" thickBot="1">
      <c r="A1" s="3"/>
      <c r="B1" s="37" t="s">
        <v>499</v>
      </c>
      <c r="C1" s="3"/>
      <c r="D1" s="1"/>
      <c r="E1" s="2"/>
      <c r="H1" s="47" t="s">
        <v>795</v>
      </c>
    </row>
    <row r="2" spans="1:8" ht="24.95" customHeight="1" thickTop="1">
      <c r="A2" s="943" t="s">
        <v>498</v>
      </c>
      <c r="B2" s="931" t="s">
        <v>793</v>
      </c>
      <c r="C2" s="940" t="s">
        <v>522</v>
      </c>
      <c r="D2" s="948"/>
      <c r="E2" s="928" t="s">
        <v>1362</v>
      </c>
    </row>
    <row r="3" spans="1:8" ht="24.95" customHeight="1">
      <c r="A3" s="944"/>
      <c r="B3" s="945"/>
      <c r="C3" s="41" t="s">
        <v>1341</v>
      </c>
      <c r="D3" s="41" t="s">
        <v>1306</v>
      </c>
      <c r="E3" s="946"/>
    </row>
    <row r="4" spans="1:8" ht="24.95" customHeight="1">
      <c r="A4" s="15" t="s">
        <v>500</v>
      </c>
      <c r="B4" s="42" t="s">
        <v>511</v>
      </c>
      <c r="C4" s="12" t="s">
        <v>1487</v>
      </c>
      <c r="D4" s="7"/>
      <c r="E4" s="8"/>
    </row>
    <row r="5" spans="1:8" ht="24.95" customHeight="1" thickBot="1">
      <c r="A5" s="29" t="s">
        <v>501</v>
      </c>
      <c r="B5" s="42" t="s">
        <v>512</v>
      </c>
      <c r="C5" s="17"/>
      <c r="D5" s="17"/>
      <c r="E5" s="18"/>
    </row>
    <row r="6" spans="1:8" ht="24.95" customHeight="1" thickBot="1">
      <c r="A6" s="38" t="s">
        <v>502</v>
      </c>
      <c r="B6" s="42" t="s">
        <v>513</v>
      </c>
      <c r="C6" s="20"/>
      <c r="D6" s="20"/>
      <c r="E6" s="27"/>
    </row>
    <row r="7" spans="1:8" ht="24.95" customHeight="1">
      <c r="A7" s="16" t="s">
        <v>504</v>
      </c>
      <c r="B7" s="42" t="s">
        <v>514</v>
      </c>
      <c r="C7" s="5"/>
      <c r="D7" s="5"/>
      <c r="E7" s="26"/>
    </row>
    <row r="8" spans="1:8" ht="24.95" customHeight="1">
      <c r="A8" s="16" t="s">
        <v>505</v>
      </c>
      <c r="B8" s="42" t="s">
        <v>515</v>
      </c>
      <c r="C8" s="7"/>
      <c r="D8" s="7"/>
      <c r="E8" s="13"/>
      <c r="F8" s="48" t="s">
        <v>518</v>
      </c>
      <c r="G8" s="48"/>
      <c r="H8" s="48"/>
    </row>
    <row r="9" spans="1:8" ht="24.95" customHeight="1">
      <c r="A9" s="16" t="s">
        <v>506</v>
      </c>
      <c r="B9" s="42" t="s">
        <v>516</v>
      </c>
      <c r="C9" s="7"/>
      <c r="D9" s="7"/>
      <c r="E9" s="8"/>
      <c r="F9" s="48" t="s">
        <v>519</v>
      </c>
    </row>
    <row r="10" spans="1:8" ht="24.95" customHeight="1">
      <c r="A10" s="16"/>
      <c r="B10" s="42"/>
      <c r="C10" s="7"/>
      <c r="D10" s="7"/>
      <c r="E10" s="13"/>
    </row>
    <row r="11" spans="1:8" ht="24.95" customHeight="1">
      <c r="A11" s="16"/>
      <c r="B11" s="42"/>
      <c r="C11" s="17"/>
      <c r="D11" s="17"/>
      <c r="E11" s="23"/>
    </row>
    <row r="12" spans="1:8" ht="24.95" customHeight="1">
      <c r="A12" s="35"/>
      <c r="B12" s="43"/>
      <c r="C12" s="7"/>
      <c r="D12" s="7"/>
      <c r="E12" s="8"/>
    </row>
    <row r="13" spans="1:8" ht="24.95" customHeight="1">
      <c r="A13" s="10"/>
      <c r="B13" s="42"/>
      <c r="C13" s="5"/>
      <c r="D13" s="5"/>
      <c r="E13" s="6"/>
    </row>
    <row r="14" spans="1:8" ht="24.95" customHeight="1">
      <c r="A14" s="10"/>
      <c r="B14" s="42"/>
      <c r="C14" s="5"/>
      <c r="D14" s="5"/>
      <c r="E14" s="6"/>
    </row>
    <row r="15" spans="1:8" ht="24.95" customHeight="1">
      <c r="A15" s="10"/>
      <c r="B15" s="42"/>
      <c r="C15" s="7"/>
      <c r="D15" s="7"/>
      <c r="E15" s="8"/>
    </row>
    <row r="16" spans="1:8" ht="24.95" customHeight="1">
      <c r="A16" s="10"/>
      <c r="B16" s="42"/>
      <c r="C16" s="7"/>
      <c r="D16" s="7"/>
      <c r="E16" s="8"/>
    </row>
    <row r="17" spans="1:8" ht="24.95" customHeight="1">
      <c r="A17" s="39" t="s">
        <v>508</v>
      </c>
      <c r="B17" s="11" t="s">
        <v>122</v>
      </c>
      <c r="C17" s="12" t="s">
        <v>123</v>
      </c>
      <c r="D17" s="12" t="s">
        <v>123</v>
      </c>
      <c r="E17" s="13" t="s">
        <v>123</v>
      </c>
    </row>
    <row r="18" spans="1:8" ht="24.95" customHeight="1">
      <c r="A18" s="10"/>
      <c r="B18" s="42"/>
      <c r="C18" s="7"/>
      <c r="D18" s="7"/>
      <c r="E18" s="8"/>
    </row>
    <row r="19" spans="1:8" ht="24.95" customHeight="1">
      <c r="A19" s="10"/>
      <c r="B19" s="42"/>
      <c r="C19" s="7"/>
      <c r="D19" s="7"/>
      <c r="E19" s="8"/>
    </row>
    <row r="20" spans="1:8" ht="24.95" customHeight="1" thickBot="1">
      <c r="A20" s="16" t="s">
        <v>509</v>
      </c>
      <c r="B20" s="42" t="s">
        <v>517</v>
      </c>
      <c r="C20" s="17"/>
      <c r="D20" s="17"/>
      <c r="E20" s="18"/>
    </row>
    <row r="21" spans="1:8" ht="24.95" customHeight="1" thickBot="1">
      <c r="A21" s="40" t="s">
        <v>510</v>
      </c>
      <c r="B21" s="44" t="s">
        <v>79</v>
      </c>
      <c r="C21" s="45"/>
      <c r="D21" s="45"/>
      <c r="E21" s="46"/>
    </row>
    <row r="22" spans="1:8" ht="24.95" customHeight="1" thickTop="1">
      <c r="A22" s="4"/>
      <c r="B22" s="31"/>
      <c r="C22" s="4"/>
      <c r="D22" s="33" t="s">
        <v>507</v>
      </c>
      <c r="E22" s="4"/>
    </row>
    <row r="23" spans="1:8" ht="24.95" customHeight="1" thickBot="1">
      <c r="A23" s="3"/>
      <c r="B23" s="37" t="s">
        <v>520</v>
      </c>
      <c r="C23" s="3"/>
      <c r="D23" s="1"/>
      <c r="E23" s="2"/>
      <c r="F23" s="59" t="s">
        <v>1363</v>
      </c>
      <c r="G23" s="59"/>
      <c r="H23" s="47" t="s">
        <v>795</v>
      </c>
    </row>
    <row r="24" spans="1:8" ht="24.95" customHeight="1" thickTop="1">
      <c r="A24" s="943" t="s">
        <v>521</v>
      </c>
      <c r="B24" s="931" t="s">
        <v>793</v>
      </c>
      <c r="C24" s="940" t="s">
        <v>523</v>
      </c>
      <c r="D24" s="941"/>
      <c r="E24" s="941"/>
      <c r="F24" s="942"/>
      <c r="G24" s="936" t="s">
        <v>1364</v>
      </c>
      <c r="H24" s="937"/>
    </row>
    <row r="25" spans="1:8" ht="41.25" customHeight="1">
      <c r="A25" s="947"/>
      <c r="B25" s="932"/>
      <c r="C25" s="41" t="s">
        <v>1349</v>
      </c>
      <c r="D25" s="41" t="s">
        <v>1266</v>
      </c>
      <c r="E25" s="56" t="s">
        <v>1365</v>
      </c>
      <c r="F25" s="55" t="s">
        <v>1366</v>
      </c>
      <c r="G25" s="55" t="s">
        <v>925</v>
      </c>
      <c r="H25" s="54" t="s">
        <v>927</v>
      </c>
    </row>
    <row r="26" spans="1:8" ht="24.95" customHeight="1">
      <c r="A26" s="15" t="s">
        <v>525</v>
      </c>
      <c r="B26" s="11" t="s">
        <v>122</v>
      </c>
      <c r="C26" s="12" t="s">
        <v>123</v>
      </c>
      <c r="D26" s="12" t="s">
        <v>123</v>
      </c>
      <c r="E26" s="12" t="s">
        <v>123</v>
      </c>
      <c r="F26" s="12" t="s">
        <v>123</v>
      </c>
      <c r="G26" s="12" t="s">
        <v>123</v>
      </c>
      <c r="H26" s="13" t="s">
        <v>123</v>
      </c>
    </row>
    <row r="27" spans="1:8" ht="24.95" customHeight="1">
      <c r="A27" s="57" t="s">
        <v>949</v>
      </c>
      <c r="B27" s="42" t="s">
        <v>531</v>
      </c>
      <c r="C27" s="17"/>
      <c r="D27" s="17"/>
      <c r="E27" s="17"/>
      <c r="F27" s="49"/>
      <c r="G27" s="49"/>
      <c r="H27" s="50"/>
    </row>
    <row r="28" spans="1:8" ht="24.95" customHeight="1">
      <c r="A28" s="19" t="s">
        <v>929</v>
      </c>
      <c r="B28" s="42" t="s">
        <v>532</v>
      </c>
      <c r="C28" s="7"/>
      <c r="D28" s="7"/>
      <c r="E28" s="12"/>
      <c r="F28" s="49"/>
      <c r="G28" s="49"/>
      <c r="H28" s="50"/>
    </row>
    <row r="29" spans="1:8" ht="24.95" customHeight="1">
      <c r="A29" s="16"/>
      <c r="B29" s="42"/>
      <c r="C29" s="5"/>
      <c r="D29" s="5"/>
      <c r="E29" s="24"/>
      <c r="F29" s="49"/>
      <c r="G29" s="49"/>
      <c r="H29" s="50"/>
    </row>
    <row r="30" spans="1:8" ht="24.95" customHeight="1">
      <c r="A30" s="16"/>
      <c r="B30" s="42"/>
      <c r="C30" s="7"/>
      <c r="D30" s="7"/>
      <c r="E30" s="12"/>
      <c r="F30" s="51"/>
      <c r="G30" s="51"/>
      <c r="H30" s="52"/>
    </row>
    <row r="31" spans="1:8" ht="24.95" customHeight="1">
      <c r="A31" s="15" t="s">
        <v>526</v>
      </c>
      <c r="B31" s="11" t="s">
        <v>122</v>
      </c>
      <c r="C31" s="12" t="s">
        <v>123</v>
      </c>
      <c r="D31" s="12" t="s">
        <v>123</v>
      </c>
      <c r="E31" s="12" t="s">
        <v>123</v>
      </c>
      <c r="F31" s="12" t="s">
        <v>123</v>
      </c>
      <c r="G31" s="12" t="s">
        <v>123</v>
      </c>
      <c r="H31" s="13" t="s">
        <v>123</v>
      </c>
    </row>
    <row r="32" spans="1:8" ht="24.95" customHeight="1">
      <c r="A32" s="28" t="s">
        <v>527</v>
      </c>
      <c r="B32" s="42" t="s">
        <v>533</v>
      </c>
      <c r="C32" s="7"/>
      <c r="D32" s="7"/>
      <c r="E32" s="12"/>
      <c r="F32" s="49"/>
      <c r="G32" s="49"/>
      <c r="H32" s="50"/>
    </row>
    <row r="33" spans="1:8" ht="24.95" customHeight="1">
      <c r="A33" s="28" t="s">
        <v>241</v>
      </c>
      <c r="B33" s="42" t="s">
        <v>534</v>
      </c>
      <c r="C33" s="17"/>
      <c r="D33" s="17"/>
      <c r="E33" s="12" t="s">
        <v>123</v>
      </c>
      <c r="F33" s="49"/>
      <c r="G33" s="49"/>
      <c r="H33" s="50"/>
    </row>
    <row r="34" spans="1:8" ht="24.95" customHeight="1">
      <c r="A34" s="32" t="s">
        <v>528</v>
      </c>
      <c r="B34" s="43" t="s">
        <v>535</v>
      </c>
      <c r="C34" s="7"/>
      <c r="D34" s="7"/>
      <c r="E34" s="7"/>
      <c r="F34" s="49"/>
      <c r="G34" s="49"/>
      <c r="H34" s="50"/>
    </row>
    <row r="35" spans="1:8" ht="24.95" customHeight="1">
      <c r="A35" s="10"/>
      <c r="B35" s="42"/>
      <c r="C35" s="5"/>
      <c r="D35" s="5"/>
      <c r="E35" s="5"/>
      <c r="F35" s="49"/>
      <c r="G35" s="49"/>
      <c r="H35" s="50"/>
    </row>
    <row r="36" spans="1:8" ht="24.95" customHeight="1">
      <c r="A36" s="15" t="s">
        <v>530</v>
      </c>
      <c r="B36" s="11" t="s">
        <v>122</v>
      </c>
      <c r="C36" s="12" t="s">
        <v>123</v>
      </c>
      <c r="D36" s="12" t="s">
        <v>123</v>
      </c>
      <c r="E36" s="12" t="s">
        <v>123</v>
      </c>
      <c r="F36" s="12" t="s">
        <v>123</v>
      </c>
      <c r="G36" s="12" t="s">
        <v>123</v>
      </c>
      <c r="H36" s="13" t="s">
        <v>123</v>
      </c>
    </row>
    <row r="37" spans="1:8" ht="24.95" customHeight="1">
      <c r="A37" s="28" t="s">
        <v>246</v>
      </c>
      <c r="B37" s="42" t="s">
        <v>536</v>
      </c>
      <c r="C37" s="7"/>
      <c r="D37" s="7"/>
      <c r="E37" s="7"/>
      <c r="F37" s="49"/>
      <c r="G37" s="49"/>
      <c r="H37" s="13" t="s">
        <v>123</v>
      </c>
    </row>
    <row r="38" spans="1:8" ht="24.95" customHeight="1">
      <c r="A38" s="58" t="s">
        <v>529</v>
      </c>
      <c r="B38" s="42" t="s">
        <v>537</v>
      </c>
      <c r="C38" s="12"/>
      <c r="D38" s="12"/>
      <c r="E38" s="12"/>
      <c r="F38" s="49"/>
      <c r="G38" s="49"/>
      <c r="H38" s="13" t="s">
        <v>123</v>
      </c>
    </row>
    <row r="39" spans="1:8" ht="24.95" customHeight="1">
      <c r="A39" s="28" t="s">
        <v>248</v>
      </c>
      <c r="B39" s="42" t="s">
        <v>538</v>
      </c>
      <c r="C39" s="7"/>
      <c r="D39" s="7"/>
      <c r="E39" s="7"/>
      <c r="F39" s="49"/>
      <c r="G39" s="49"/>
      <c r="H39" s="13" t="s">
        <v>123</v>
      </c>
    </row>
    <row r="40" spans="1:8" ht="24.95" customHeight="1">
      <c r="A40" s="28" t="s">
        <v>249</v>
      </c>
      <c r="B40" s="42" t="s">
        <v>539</v>
      </c>
      <c r="C40" s="7"/>
      <c r="D40" s="7"/>
      <c r="E40" s="7"/>
      <c r="F40" s="49"/>
      <c r="G40" s="49"/>
      <c r="H40" s="13" t="s">
        <v>123</v>
      </c>
    </row>
    <row r="41" spans="1:8" ht="24.95" customHeight="1">
      <c r="A41" s="16"/>
      <c r="B41" s="42"/>
      <c r="C41" s="7"/>
      <c r="D41" s="7"/>
      <c r="E41" s="7"/>
      <c r="F41" s="49"/>
      <c r="G41" s="49"/>
      <c r="H41" s="13" t="s">
        <v>123</v>
      </c>
    </row>
    <row r="42" spans="1:8" ht="24.95" customHeight="1" thickBot="1">
      <c r="A42" s="40"/>
      <c r="B42" s="44"/>
      <c r="C42" s="36"/>
      <c r="D42" s="36"/>
      <c r="E42" s="36"/>
      <c r="F42" s="53"/>
      <c r="G42" s="53"/>
      <c r="H42" s="14" t="s">
        <v>123</v>
      </c>
    </row>
    <row r="43" spans="1:8" ht="24.95" customHeight="1" thickTop="1">
      <c r="A43" s="4"/>
      <c r="B43" s="31"/>
      <c r="C43" s="4"/>
      <c r="D43" s="33" t="s">
        <v>524</v>
      </c>
      <c r="E43" s="4"/>
    </row>
    <row r="44" spans="1:8" ht="24.95" customHeight="1" thickBot="1">
      <c r="A44" s="3"/>
      <c r="B44" s="37" t="s">
        <v>520</v>
      </c>
      <c r="C44" s="3"/>
      <c r="D44" s="1"/>
      <c r="E44" s="2"/>
      <c r="F44" s="59" t="s">
        <v>1367</v>
      </c>
      <c r="G44" s="59"/>
      <c r="H44" s="47" t="s">
        <v>795</v>
      </c>
    </row>
    <row r="45" spans="1:8" ht="24.95" customHeight="1" thickTop="1">
      <c r="A45" s="943" t="s">
        <v>521</v>
      </c>
      <c r="B45" s="931" t="s">
        <v>793</v>
      </c>
      <c r="C45" s="940" t="s">
        <v>523</v>
      </c>
      <c r="D45" s="941"/>
      <c r="E45" s="941"/>
      <c r="F45" s="942"/>
      <c r="G45" s="936" t="s">
        <v>1364</v>
      </c>
      <c r="H45" s="937"/>
    </row>
    <row r="46" spans="1:8" ht="41.25" customHeight="1">
      <c r="A46" s="947"/>
      <c r="B46" s="932"/>
      <c r="C46" s="41" t="s">
        <v>1349</v>
      </c>
      <c r="D46" s="41" t="s">
        <v>1266</v>
      </c>
      <c r="E46" s="56" t="s">
        <v>1365</v>
      </c>
      <c r="F46" s="55" t="s">
        <v>1366</v>
      </c>
      <c r="G46" s="55" t="s">
        <v>925</v>
      </c>
      <c r="H46" s="54" t="s">
        <v>927</v>
      </c>
    </row>
    <row r="47" spans="1:8" ht="24.95" customHeight="1">
      <c r="A47" s="15" t="s">
        <v>540</v>
      </c>
      <c r="B47" s="11" t="s">
        <v>122</v>
      </c>
      <c r="C47" s="12" t="s">
        <v>123</v>
      </c>
      <c r="D47" s="12" t="s">
        <v>123</v>
      </c>
      <c r="E47" s="12" t="s">
        <v>123</v>
      </c>
      <c r="F47" s="12" t="s">
        <v>123</v>
      </c>
      <c r="G47" s="12" t="s">
        <v>123</v>
      </c>
      <c r="H47" s="13" t="s">
        <v>123</v>
      </c>
    </row>
    <row r="48" spans="1:8" ht="24.95" customHeight="1">
      <c r="A48" s="38" t="s">
        <v>541</v>
      </c>
      <c r="B48" s="11" t="s">
        <v>122</v>
      </c>
      <c r="C48" s="12" t="s">
        <v>123</v>
      </c>
      <c r="D48" s="12" t="s">
        <v>123</v>
      </c>
      <c r="E48" s="12" t="s">
        <v>123</v>
      </c>
      <c r="F48" s="12" t="s">
        <v>123</v>
      </c>
      <c r="G48" s="12" t="s">
        <v>123</v>
      </c>
      <c r="H48" s="13" t="s">
        <v>123</v>
      </c>
    </row>
    <row r="49" spans="1:8" ht="24.95" customHeight="1">
      <c r="A49" s="60" t="s">
        <v>144</v>
      </c>
      <c r="B49" s="42" t="s">
        <v>542</v>
      </c>
      <c r="C49" s="7"/>
      <c r="D49" s="7"/>
      <c r="E49" s="12" t="s">
        <v>123</v>
      </c>
      <c r="F49" s="49"/>
      <c r="G49" s="49"/>
      <c r="H49" s="13" t="s">
        <v>123</v>
      </c>
    </row>
    <row r="50" spans="1:8" ht="24.95" customHeight="1">
      <c r="A50" s="16"/>
      <c r="B50" s="42"/>
      <c r="C50" s="5"/>
      <c r="D50" s="5"/>
      <c r="E50" s="12" t="s">
        <v>123</v>
      </c>
      <c r="F50" s="49"/>
      <c r="G50" s="49"/>
      <c r="H50" s="13" t="s">
        <v>123</v>
      </c>
    </row>
    <row r="51" spans="1:8" ht="24.95" customHeight="1">
      <c r="A51" s="16"/>
      <c r="B51" s="42"/>
      <c r="C51" s="7"/>
      <c r="D51" s="7"/>
      <c r="E51" s="12" t="s">
        <v>123</v>
      </c>
      <c r="F51" s="51"/>
      <c r="G51" s="51"/>
      <c r="H51" s="13" t="s">
        <v>123</v>
      </c>
    </row>
    <row r="52" spans="1:8" ht="24.95" customHeight="1">
      <c r="A52" s="38" t="s">
        <v>543</v>
      </c>
      <c r="B52" s="11" t="s">
        <v>122</v>
      </c>
      <c r="C52" s="12" t="s">
        <v>123</v>
      </c>
      <c r="D52" s="12" t="s">
        <v>123</v>
      </c>
      <c r="E52" s="12" t="s">
        <v>123</v>
      </c>
      <c r="F52" s="12" t="s">
        <v>123</v>
      </c>
      <c r="G52" s="12" t="s">
        <v>123</v>
      </c>
      <c r="H52" s="13" t="s">
        <v>123</v>
      </c>
    </row>
    <row r="53" spans="1:8" ht="24.95" customHeight="1">
      <c r="A53" s="61" t="s">
        <v>544</v>
      </c>
      <c r="B53" s="42" t="s">
        <v>545</v>
      </c>
      <c r="C53" s="7"/>
      <c r="D53" s="7"/>
      <c r="E53" s="12"/>
      <c r="F53" s="49"/>
      <c r="G53" s="49"/>
      <c r="H53" s="50"/>
    </row>
    <row r="54" spans="1:8" ht="24.95" customHeight="1">
      <c r="A54" s="63" t="s">
        <v>149</v>
      </c>
      <c r="B54" s="42" t="s">
        <v>546</v>
      </c>
      <c r="C54" s="17"/>
      <c r="D54" s="17"/>
      <c r="E54" s="22"/>
      <c r="F54" s="49"/>
      <c r="G54" s="49"/>
      <c r="H54" s="50"/>
    </row>
    <row r="55" spans="1:8" ht="24.95" customHeight="1">
      <c r="A55" s="62" t="s">
        <v>548</v>
      </c>
      <c r="B55" s="43" t="s">
        <v>547</v>
      </c>
      <c r="C55" s="7"/>
      <c r="D55" s="7"/>
      <c r="E55" s="7"/>
      <c r="F55" s="49"/>
      <c r="G55" s="49"/>
      <c r="H55" s="50"/>
    </row>
    <row r="56" spans="1:8" ht="24.95" customHeight="1">
      <c r="A56" s="10"/>
      <c r="B56" s="42"/>
      <c r="C56" s="5"/>
      <c r="D56" s="5"/>
      <c r="E56" s="5"/>
      <c r="F56" s="49"/>
      <c r="G56" s="49"/>
      <c r="H56" s="50"/>
    </row>
    <row r="57" spans="1:8" ht="24.95" customHeight="1">
      <c r="A57" s="15"/>
      <c r="B57" s="11"/>
      <c r="C57" s="12"/>
      <c r="D57" s="12"/>
      <c r="E57" s="12"/>
      <c r="F57" s="12"/>
      <c r="G57" s="12"/>
      <c r="H57" s="13"/>
    </row>
    <row r="58" spans="1:8" ht="24.95" customHeight="1">
      <c r="A58" s="15" t="s">
        <v>549</v>
      </c>
      <c r="B58" s="42" t="s">
        <v>550</v>
      </c>
      <c r="C58" s="7"/>
      <c r="D58" s="7"/>
      <c r="E58" s="7"/>
      <c r="F58" s="49"/>
      <c r="G58" s="49"/>
      <c r="H58" s="13"/>
    </row>
    <row r="59" spans="1:8" ht="24.95" customHeight="1">
      <c r="A59" s="15" t="s">
        <v>571</v>
      </c>
      <c r="B59" s="42" t="s">
        <v>551</v>
      </c>
      <c r="C59" s="12"/>
      <c r="D59" s="12"/>
      <c r="E59" s="12" t="s">
        <v>123</v>
      </c>
      <c r="F59" s="64"/>
      <c r="G59" s="49"/>
      <c r="H59" s="13" t="s">
        <v>123</v>
      </c>
    </row>
    <row r="60" spans="1:8" ht="24.95" customHeight="1" thickBot="1">
      <c r="A60" s="15" t="s">
        <v>572</v>
      </c>
      <c r="B60" s="42" t="s">
        <v>552</v>
      </c>
      <c r="C60" s="66"/>
      <c r="D60" s="66"/>
      <c r="E60" s="67" t="s">
        <v>123</v>
      </c>
      <c r="F60" s="68"/>
      <c r="G60" s="69"/>
      <c r="H60" s="70" t="s">
        <v>123</v>
      </c>
    </row>
    <row r="61" spans="1:8" ht="24.95" customHeight="1">
      <c r="A61" s="38" t="s">
        <v>573</v>
      </c>
      <c r="B61" s="42" t="s">
        <v>80</v>
      </c>
      <c r="C61" s="5"/>
      <c r="D61" s="5"/>
      <c r="E61" s="5"/>
      <c r="F61" s="65"/>
      <c r="G61" s="65"/>
      <c r="H61" s="26"/>
    </row>
    <row r="62" spans="1:8" ht="24.95" customHeight="1">
      <c r="A62" s="16"/>
      <c r="B62" s="42"/>
      <c r="C62" s="7"/>
      <c r="D62" s="7"/>
      <c r="E62" s="7"/>
      <c r="F62" s="49"/>
      <c r="G62" s="49"/>
      <c r="H62" s="13"/>
    </row>
    <row r="63" spans="1:8" ht="24.95" customHeight="1" thickBot="1">
      <c r="A63" s="40"/>
      <c r="B63" s="44"/>
      <c r="C63" s="36"/>
      <c r="D63" s="36"/>
      <c r="E63" s="36"/>
      <c r="F63" s="53"/>
      <c r="G63" s="53"/>
      <c r="H63" s="14"/>
    </row>
    <row r="64" spans="1:8" ht="24.95" customHeight="1" thickTop="1">
      <c r="A64" s="4"/>
      <c r="B64" s="31"/>
      <c r="C64" s="4"/>
      <c r="D64" s="33" t="s">
        <v>574</v>
      </c>
      <c r="E64" s="4"/>
    </row>
    <row r="65" spans="1:8" ht="24.95" customHeight="1" thickBot="1">
      <c r="A65" s="3"/>
      <c r="B65" s="37" t="s">
        <v>580</v>
      </c>
      <c r="C65" s="3"/>
      <c r="D65" s="1"/>
      <c r="E65" s="2"/>
      <c r="H65" s="47" t="s">
        <v>795</v>
      </c>
    </row>
    <row r="66" spans="1:8" ht="24.95" customHeight="1" thickTop="1">
      <c r="A66" s="938" t="s">
        <v>581</v>
      </c>
      <c r="B66" s="931" t="s">
        <v>793</v>
      </c>
      <c r="C66" s="940" t="s">
        <v>522</v>
      </c>
      <c r="D66" s="948"/>
      <c r="E66" s="928" t="s">
        <v>1362</v>
      </c>
    </row>
    <row r="67" spans="1:8" ht="24.95" customHeight="1">
      <c r="A67" s="939"/>
      <c r="B67" s="932"/>
      <c r="C67" s="41" t="s">
        <v>1349</v>
      </c>
      <c r="D67" s="41" t="s">
        <v>1266</v>
      </c>
      <c r="E67" s="946"/>
    </row>
    <row r="68" spans="1:8" ht="24.95" customHeight="1">
      <c r="A68" s="15" t="s">
        <v>500</v>
      </c>
      <c r="B68" s="42" t="s">
        <v>511</v>
      </c>
      <c r="C68" s="7"/>
      <c r="D68" s="7"/>
      <c r="E68" s="8"/>
    </row>
    <row r="69" spans="1:8" ht="24.95" customHeight="1" thickBot="1">
      <c r="A69" s="29" t="s">
        <v>501</v>
      </c>
      <c r="B69" s="42" t="s">
        <v>512</v>
      </c>
      <c r="C69" s="17"/>
      <c r="D69" s="17"/>
      <c r="E69" s="18"/>
    </row>
    <row r="70" spans="1:8" ht="24.95" customHeight="1" thickBot="1">
      <c r="A70" s="38" t="s">
        <v>502</v>
      </c>
      <c r="B70" s="42" t="s">
        <v>513</v>
      </c>
      <c r="C70" s="20"/>
      <c r="D70" s="20"/>
      <c r="E70" s="27"/>
    </row>
    <row r="71" spans="1:8" ht="24.95" customHeight="1">
      <c r="A71" s="16"/>
      <c r="B71" s="42"/>
      <c r="C71" s="5"/>
      <c r="D71" s="5"/>
      <c r="E71" s="26"/>
    </row>
    <row r="72" spans="1:8" ht="24.95" customHeight="1">
      <c r="A72" s="16"/>
      <c r="B72" s="42"/>
      <c r="C72" s="7"/>
      <c r="D72" s="7"/>
      <c r="E72" s="13"/>
    </row>
    <row r="73" spans="1:8" ht="24.95" customHeight="1">
      <c r="A73" s="16"/>
      <c r="B73" s="42"/>
      <c r="C73" s="7"/>
      <c r="D73" s="7"/>
      <c r="E73" s="8"/>
    </row>
    <row r="74" spans="1:8" ht="24.95" customHeight="1">
      <c r="A74" s="16"/>
      <c r="B74" s="42"/>
      <c r="C74" s="7"/>
      <c r="D74" s="7"/>
      <c r="E74" s="13"/>
    </row>
    <row r="75" spans="1:8" ht="24.95" customHeight="1">
      <c r="A75" s="16"/>
      <c r="B75" s="42"/>
      <c r="C75" s="17"/>
      <c r="D75" s="17"/>
      <c r="E75" s="23"/>
      <c r="F75" s="935" t="s">
        <v>1368</v>
      </c>
      <c r="G75" s="715"/>
      <c r="H75" s="715"/>
    </row>
    <row r="76" spans="1:8" ht="24.95" customHeight="1">
      <c r="A76" s="35"/>
      <c r="B76" s="43"/>
      <c r="C76" s="7"/>
      <c r="D76" s="7"/>
      <c r="E76" s="8"/>
    </row>
    <row r="77" spans="1:8" ht="24.95" customHeight="1">
      <c r="A77" s="10"/>
      <c r="B77" s="42"/>
      <c r="C77" s="5"/>
      <c r="D77" s="5"/>
      <c r="E77" s="6"/>
    </row>
    <row r="78" spans="1:8" ht="24.95" customHeight="1">
      <c r="A78" s="10"/>
      <c r="B78" s="42"/>
      <c r="C78" s="5"/>
      <c r="D78" s="5"/>
      <c r="E78" s="6"/>
    </row>
    <row r="79" spans="1:8" ht="24.95" customHeight="1">
      <c r="A79" s="10"/>
      <c r="B79" s="42"/>
      <c r="C79" s="7"/>
      <c r="D79" s="7"/>
      <c r="E79" s="8"/>
    </row>
    <row r="80" spans="1:8" ht="24.95" customHeight="1">
      <c r="A80" s="10"/>
      <c r="B80" s="42"/>
      <c r="C80" s="7"/>
      <c r="D80" s="7"/>
      <c r="E80" s="8"/>
    </row>
    <row r="81" spans="1:8" ht="24.95" customHeight="1">
      <c r="A81" s="39" t="s">
        <v>508</v>
      </c>
      <c r="B81" s="11" t="s">
        <v>122</v>
      </c>
      <c r="C81" s="12" t="s">
        <v>123</v>
      </c>
      <c r="D81" s="12" t="s">
        <v>123</v>
      </c>
      <c r="E81" s="13" t="s">
        <v>123</v>
      </c>
    </row>
    <row r="82" spans="1:8" ht="24.95" customHeight="1">
      <c r="A82" s="10"/>
      <c r="B82" s="42"/>
      <c r="C82" s="7"/>
      <c r="D82" s="7"/>
      <c r="E82" s="8"/>
    </row>
    <row r="83" spans="1:8" ht="24.95" customHeight="1">
      <c r="A83" s="10"/>
      <c r="B83" s="42"/>
      <c r="C83" s="7"/>
      <c r="D83" s="7"/>
      <c r="E83" s="8"/>
    </row>
    <row r="84" spans="1:8" ht="24.95" customHeight="1" thickBot="1">
      <c r="A84" s="16" t="s">
        <v>509</v>
      </c>
      <c r="B84" s="42" t="s">
        <v>517</v>
      </c>
      <c r="C84" s="17"/>
      <c r="D84" s="17"/>
      <c r="E84" s="18"/>
    </row>
    <row r="85" spans="1:8" ht="24.95" customHeight="1" thickBot="1">
      <c r="A85" s="40" t="s">
        <v>576</v>
      </c>
      <c r="B85" s="44" t="s">
        <v>79</v>
      </c>
      <c r="C85" s="45"/>
      <c r="D85" s="45"/>
      <c r="E85" s="46"/>
    </row>
    <row r="86" spans="1:8" ht="24.95" customHeight="1" thickTop="1">
      <c r="A86" s="4"/>
      <c r="B86" s="31"/>
      <c r="C86" s="4"/>
      <c r="D86" s="33" t="s">
        <v>575</v>
      </c>
      <c r="E86" s="4"/>
    </row>
    <row r="87" spans="1:8" ht="24.95" customHeight="1" thickBot="1">
      <c r="A87" s="3"/>
      <c r="B87" s="37" t="s">
        <v>582</v>
      </c>
      <c r="C87" s="3"/>
      <c r="D87" s="1"/>
      <c r="E87" s="2"/>
      <c r="F87" s="59"/>
      <c r="G87" s="59"/>
      <c r="H87" s="47" t="s">
        <v>795</v>
      </c>
    </row>
    <row r="88" spans="1:8" ht="24.95" customHeight="1" thickTop="1">
      <c r="A88" s="938" t="s">
        <v>583</v>
      </c>
      <c r="B88" s="931" t="s">
        <v>793</v>
      </c>
      <c r="C88" s="940" t="s">
        <v>523</v>
      </c>
      <c r="D88" s="941"/>
      <c r="E88" s="941"/>
      <c r="F88" s="942"/>
      <c r="G88" s="936" t="s">
        <v>1364</v>
      </c>
      <c r="H88" s="937"/>
    </row>
    <row r="89" spans="1:8" ht="41.25" customHeight="1">
      <c r="A89" s="939"/>
      <c r="B89" s="932"/>
      <c r="C89" s="41" t="s">
        <v>1349</v>
      </c>
      <c r="D89" s="41" t="s">
        <v>1266</v>
      </c>
      <c r="E89" s="56" t="s">
        <v>1365</v>
      </c>
      <c r="F89" s="55" t="s">
        <v>1366</v>
      </c>
      <c r="G89" s="55" t="s">
        <v>925</v>
      </c>
      <c r="H89" s="54" t="s">
        <v>927</v>
      </c>
    </row>
    <row r="90" spans="1:8" ht="24.95" customHeight="1">
      <c r="A90" s="15" t="s">
        <v>525</v>
      </c>
      <c r="B90" s="11" t="s">
        <v>122</v>
      </c>
      <c r="C90" s="12" t="s">
        <v>123</v>
      </c>
      <c r="D90" s="12" t="s">
        <v>123</v>
      </c>
      <c r="E90" s="12" t="s">
        <v>123</v>
      </c>
      <c r="F90" s="12" t="s">
        <v>123</v>
      </c>
      <c r="G90" s="12" t="s">
        <v>123</v>
      </c>
      <c r="H90" s="13" t="s">
        <v>123</v>
      </c>
    </row>
    <row r="91" spans="1:8" ht="24.95" customHeight="1">
      <c r="A91" s="57" t="s">
        <v>949</v>
      </c>
      <c r="B91" s="42" t="s">
        <v>531</v>
      </c>
      <c r="C91" s="17"/>
      <c r="D91" s="17"/>
      <c r="E91" s="17"/>
      <c r="F91" s="49"/>
      <c r="G91" s="49"/>
      <c r="H91" s="50"/>
    </row>
    <row r="92" spans="1:8" ht="24.95" customHeight="1">
      <c r="A92" s="19" t="s">
        <v>929</v>
      </c>
      <c r="B92" s="42" t="s">
        <v>532</v>
      </c>
      <c r="C92" s="7"/>
      <c r="D92" s="7"/>
      <c r="E92" s="12"/>
      <c r="F92" s="49"/>
      <c r="G92" s="49"/>
      <c r="H92" s="50"/>
    </row>
    <row r="93" spans="1:8" ht="24.95" customHeight="1">
      <c r="A93" s="16"/>
      <c r="B93" s="42"/>
      <c r="C93" s="5"/>
      <c r="D93" s="5"/>
      <c r="E93" s="24"/>
      <c r="F93" s="49"/>
      <c r="G93" s="49"/>
      <c r="H93" s="50"/>
    </row>
    <row r="94" spans="1:8" ht="24.95" customHeight="1">
      <c r="A94" s="16"/>
      <c r="B94" s="42"/>
      <c r="C94" s="7"/>
      <c r="D94" s="7"/>
      <c r="E94" s="12"/>
      <c r="F94" s="51"/>
      <c r="G94" s="51"/>
      <c r="H94" s="52"/>
    </row>
    <row r="95" spans="1:8" ht="24.95" customHeight="1">
      <c r="A95" s="15" t="s">
        <v>526</v>
      </c>
      <c r="B95" s="11" t="s">
        <v>122</v>
      </c>
      <c r="C95" s="12" t="s">
        <v>123</v>
      </c>
      <c r="D95" s="12" t="s">
        <v>123</v>
      </c>
      <c r="E95" s="12" t="s">
        <v>123</v>
      </c>
      <c r="F95" s="12" t="s">
        <v>123</v>
      </c>
      <c r="G95" s="12" t="s">
        <v>123</v>
      </c>
      <c r="H95" s="13" t="s">
        <v>123</v>
      </c>
    </row>
    <row r="96" spans="1:8" ht="24.95" customHeight="1">
      <c r="A96" s="28" t="s">
        <v>527</v>
      </c>
      <c r="B96" s="42" t="s">
        <v>533</v>
      </c>
      <c r="C96" s="7"/>
      <c r="D96" s="7"/>
      <c r="E96" s="12"/>
      <c r="F96" s="49"/>
      <c r="G96" s="49"/>
      <c r="H96" s="50"/>
    </row>
    <row r="97" spans="1:8" ht="24.95" customHeight="1">
      <c r="A97" s="28" t="s">
        <v>241</v>
      </c>
      <c r="B97" s="42" t="s">
        <v>534</v>
      </c>
      <c r="C97" s="17"/>
      <c r="D97" s="17"/>
      <c r="E97" s="12" t="s">
        <v>123</v>
      </c>
      <c r="F97" s="49"/>
      <c r="G97" s="49"/>
      <c r="H97" s="50"/>
    </row>
    <row r="98" spans="1:8" ht="24.95" customHeight="1">
      <c r="A98" s="32" t="s">
        <v>528</v>
      </c>
      <c r="B98" s="43" t="s">
        <v>535</v>
      </c>
      <c r="C98" s="7"/>
      <c r="D98" s="7"/>
      <c r="E98" s="7"/>
      <c r="F98" s="49"/>
      <c r="G98" s="49"/>
      <c r="H98" s="50"/>
    </row>
    <row r="99" spans="1:8" ht="24.95" customHeight="1">
      <c r="A99" s="10"/>
      <c r="B99" s="42"/>
      <c r="C99" s="5"/>
      <c r="D99" s="5"/>
      <c r="E99" s="5"/>
      <c r="F99" s="49"/>
      <c r="G99" s="49"/>
      <c r="H99" s="50"/>
    </row>
    <row r="100" spans="1:8" ht="24.95" customHeight="1">
      <c r="A100" s="15" t="s">
        <v>530</v>
      </c>
      <c r="B100" s="11" t="s">
        <v>122</v>
      </c>
      <c r="C100" s="12" t="s">
        <v>123</v>
      </c>
      <c r="D100" s="12" t="s">
        <v>123</v>
      </c>
      <c r="E100" s="12" t="s">
        <v>123</v>
      </c>
      <c r="F100" s="12" t="s">
        <v>123</v>
      </c>
      <c r="G100" s="12" t="s">
        <v>123</v>
      </c>
      <c r="H100" s="13" t="s">
        <v>123</v>
      </c>
    </row>
    <row r="101" spans="1:8" ht="24.95" customHeight="1">
      <c r="A101" s="28" t="s">
        <v>246</v>
      </c>
      <c r="B101" s="42" t="s">
        <v>536</v>
      </c>
      <c r="C101" s="7"/>
      <c r="D101" s="7"/>
      <c r="E101" s="7"/>
      <c r="F101" s="49"/>
      <c r="G101" s="49"/>
      <c r="H101" s="13" t="s">
        <v>123</v>
      </c>
    </row>
    <row r="102" spans="1:8" ht="24.95" customHeight="1">
      <c r="A102" s="58" t="s">
        <v>529</v>
      </c>
      <c r="B102" s="42" t="s">
        <v>537</v>
      </c>
      <c r="C102" s="12"/>
      <c r="D102" s="12"/>
      <c r="E102" s="12"/>
      <c r="F102" s="49"/>
      <c r="G102" s="49"/>
      <c r="H102" s="13" t="s">
        <v>123</v>
      </c>
    </row>
    <row r="103" spans="1:8" ht="24.95" customHeight="1">
      <c r="A103" s="28" t="s">
        <v>248</v>
      </c>
      <c r="B103" s="42" t="s">
        <v>538</v>
      </c>
      <c r="C103" s="7"/>
      <c r="D103" s="7"/>
      <c r="E103" s="7"/>
      <c r="F103" s="49"/>
      <c r="G103" s="49"/>
      <c r="H103" s="13" t="s">
        <v>123</v>
      </c>
    </row>
    <row r="104" spans="1:8" ht="24.95" customHeight="1">
      <c r="A104" s="28" t="s">
        <v>249</v>
      </c>
      <c r="B104" s="42" t="s">
        <v>539</v>
      </c>
      <c r="C104" s="7"/>
      <c r="D104" s="7"/>
      <c r="E104" s="7"/>
      <c r="F104" s="49"/>
      <c r="G104" s="49"/>
      <c r="H104" s="13" t="s">
        <v>123</v>
      </c>
    </row>
    <row r="105" spans="1:8" ht="24.95" customHeight="1">
      <c r="A105" s="16"/>
      <c r="B105" s="42"/>
      <c r="C105" s="7"/>
      <c r="D105" s="7"/>
      <c r="E105" s="7"/>
      <c r="F105" s="49"/>
      <c r="G105" s="49"/>
      <c r="H105" s="13" t="s">
        <v>123</v>
      </c>
    </row>
    <row r="106" spans="1:8" ht="24.95" customHeight="1" thickBot="1">
      <c r="A106" s="40"/>
      <c r="B106" s="44"/>
      <c r="C106" s="36"/>
      <c r="D106" s="36"/>
      <c r="E106" s="36"/>
      <c r="F106" s="53"/>
      <c r="G106" s="53"/>
      <c r="H106" s="14" t="s">
        <v>123</v>
      </c>
    </row>
    <row r="107" spans="1:8" ht="24.95" customHeight="1" thickTop="1">
      <c r="A107" s="4"/>
      <c r="B107" s="31"/>
      <c r="C107" s="4"/>
      <c r="D107" s="33" t="s">
        <v>584</v>
      </c>
      <c r="E107" s="4"/>
    </row>
    <row r="108" spans="1:8" ht="24.95" customHeight="1" thickBot="1">
      <c r="A108" s="3"/>
      <c r="B108" s="37" t="s">
        <v>582</v>
      </c>
      <c r="C108" s="3"/>
      <c r="D108" s="1"/>
      <c r="E108" s="2"/>
      <c r="F108" s="59"/>
      <c r="G108" s="59"/>
      <c r="H108" s="47" t="s">
        <v>795</v>
      </c>
    </row>
    <row r="109" spans="1:8" ht="24.95" customHeight="1" thickTop="1">
      <c r="A109" s="938" t="s">
        <v>583</v>
      </c>
      <c r="B109" s="931" t="s">
        <v>793</v>
      </c>
      <c r="C109" s="940" t="s">
        <v>523</v>
      </c>
      <c r="D109" s="941"/>
      <c r="E109" s="941"/>
      <c r="F109" s="942"/>
      <c r="G109" s="936" t="s">
        <v>1364</v>
      </c>
      <c r="H109" s="937"/>
    </row>
    <row r="110" spans="1:8" ht="41.25" customHeight="1">
      <c r="A110" s="939"/>
      <c r="B110" s="932"/>
      <c r="C110" s="41" t="s">
        <v>1349</v>
      </c>
      <c r="D110" s="41" t="s">
        <v>1266</v>
      </c>
      <c r="E110" s="56" t="s">
        <v>1365</v>
      </c>
      <c r="F110" s="55" t="s">
        <v>1366</v>
      </c>
      <c r="G110" s="55" t="s">
        <v>925</v>
      </c>
      <c r="H110" s="54" t="s">
        <v>927</v>
      </c>
    </row>
    <row r="111" spans="1:8" ht="24.95" customHeight="1">
      <c r="A111" s="15" t="s">
        <v>540</v>
      </c>
      <c r="B111" s="11" t="s">
        <v>122</v>
      </c>
      <c r="C111" s="12" t="s">
        <v>123</v>
      </c>
      <c r="D111" s="12" t="s">
        <v>123</v>
      </c>
      <c r="E111" s="12" t="s">
        <v>123</v>
      </c>
      <c r="F111" s="12" t="s">
        <v>123</v>
      </c>
      <c r="G111" s="12" t="s">
        <v>123</v>
      </c>
      <c r="H111" s="13" t="s">
        <v>123</v>
      </c>
    </row>
    <row r="112" spans="1:8" ht="24.95" customHeight="1">
      <c r="A112" s="38" t="s">
        <v>541</v>
      </c>
      <c r="B112" s="11" t="s">
        <v>122</v>
      </c>
      <c r="C112" s="12" t="s">
        <v>123</v>
      </c>
      <c r="D112" s="12" t="s">
        <v>123</v>
      </c>
      <c r="E112" s="12" t="s">
        <v>123</v>
      </c>
      <c r="F112" s="12" t="s">
        <v>123</v>
      </c>
      <c r="G112" s="12" t="s">
        <v>123</v>
      </c>
      <c r="H112" s="13" t="s">
        <v>123</v>
      </c>
    </row>
    <row r="113" spans="1:8" ht="24.95" customHeight="1">
      <c r="A113" s="60" t="s">
        <v>144</v>
      </c>
      <c r="B113" s="42" t="s">
        <v>542</v>
      </c>
      <c r="C113" s="7"/>
      <c r="D113" s="7"/>
      <c r="E113" s="12" t="s">
        <v>123</v>
      </c>
      <c r="F113" s="49"/>
      <c r="G113" s="49"/>
      <c r="H113" s="13" t="s">
        <v>123</v>
      </c>
    </row>
    <row r="114" spans="1:8" ht="24.95" customHeight="1">
      <c r="A114" s="16"/>
      <c r="B114" s="42"/>
      <c r="C114" s="5"/>
      <c r="D114" s="5"/>
      <c r="E114" s="12" t="s">
        <v>123</v>
      </c>
      <c r="F114" s="49"/>
      <c r="G114" s="49"/>
      <c r="H114" s="13" t="s">
        <v>123</v>
      </c>
    </row>
    <row r="115" spans="1:8" ht="24.95" customHeight="1">
      <c r="A115" s="16"/>
      <c r="B115" s="42"/>
      <c r="C115" s="7"/>
      <c r="D115" s="7"/>
      <c r="E115" s="12" t="s">
        <v>123</v>
      </c>
      <c r="F115" s="51"/>
      <c r="G115" s="51"/>
      <c r="H115" s="13" t="s">
        <v>123</v>
      </c>
    </row>
    <row r="116" spans="1:8" ht="24.95" customHeight="1">
      <c r="A116" s="38" t="s">
        <v>543</v>
      </c>
      <c r="B116" s="11" t="s">
        <v>122</v>
      </c>
      <c r="C116" s="12" t="s">
        <v>123</v>
      </c>
      <c r="D116" s="12" t="s">
        <v>123</v>
      </c>
      <c r="E116" s="12" t="s">
        <v>123</v>
      </c>
      <c r="F116" s="12" t="s">
        <v>123</v>
      </c>
      <c r="G116" s="12" t="s">
        <v>123</v>
      </c>
      <c r="H116" s="13" t="s">
        <v>123</v>
      </c>
    </row>
    <row r="117" spans="1:8" ht="24.95" customHeight="1">
      <c r="A117" s="61" t="s">
        <v>544</v>
      </c>
      <c r="B117" s="42" t="s">
        <v>545</v>
      </c>
      <c r="C117" s="7"/>
      <c r="D117" s="7"/>
      <c r="E117" s="12"/>
      <c r="F117" s="49"/>
      <c r="G117" s="49"/>
      <c r="H117" s="50"/>
    </row>
    <row r="118" spans="1:8" ht="24.95" customHeight="1">
      <c r="A118" s="63" t="s">
        <v>149</v>
      </c>
      <c r="B118" s="42" t="s">
        <v>546</v>
      </c>
      <c r="C118" s="17"/>
      <c r="D118" s="17"/>
      <c r="E118" s="22"/>
      <c r="F118" s="49"/>
      <c r="G118" s="49"/>
      <c r="H118" s="50"/>
    </row>
    <row r="119" spans="1:8" ht="24.95" customHeight="1">
      <c r="A119" s="62" t="s">
        <v>548</v>
      </c>
      <c r="B119" s="43" t="s">
        <v>547</v>
      </c>
      <c r="C119" s="7"/>
      <c r="D119" s="7"/>
      <c r="E119" s="7"/>
      <c r="F119" s="49"/>
      <c r="G119" s="49"/>
      <c r="H119" s="50"/>
    </row>
    <row r="120" spans="1:8" ht="24.95" customHeight="1">
      <c r="A120" s="10"/>
      <c r="B120" s="42"/>
      <c r="C120" s="5"/>
      <c r="D120" s="5"/>
      <c r="E120" s="5"/>
      <c r="F120" s="49"/>
      <c r="G120" s="49"/>
      <c r="H120" s="50"/>
    </row>
    <row r="121" spans="1:8" ht="24.95" customHeight="1">
      <c r="A121" s="15"/>
      <c r="B121" s="11"/>
      <c r="C121" s="12"/>
      <c r="D121" s="12"/>
      <c r="E121" s="12"/>
      <c r="F121" s="12"/>
      <c r="G121" s="12"/>
      <c r="H121" s="13"/>
    </row>
    <row r="122" spans="1:8" ht="24.95" customHeight="1">
      <c r="A122" s="15" t="s">
        <v>549</v>
      </c>
      <c r="B122" s="42" t="s">
        <v>550</v>
      </c>
      <c r="C122" s="7"/>
      <c r="D122" s="7"/>
      <c r="E122" s="7"/>
      <c r="F122" s="49"/>
      <c r="G122" s="49"/>
      <c r="H122" s="13"/>
    </row>
    <row r="123" spans="1:8" ht="24.95" customHeight="1">
      <c r="A123" s="15" t="s">
        <v>571</v>
      </c>
      <c r="B123" s="42" t="s">
        <v>551</v>
      </c>
      <c r="C123" s="12"/>
      <c r="D123" s="12"/>
      <c r="E123" s="12" t="s">
        <v>123</v>
      </c>
      <c r="F123" s="64"/>
      <c r="G123" s="49"/>
      <c r="H123" s="13" t="s">
        <v>123</v>
      </c>
    </row>
    <row r="124" spans="1:8" ht="24.95" customHeight="1" thickBot="1">
      <c r="A124" s="15" t="s">
        <v>572</v>
      </c>
      <c r="B124" s="42" t="s">
        <v>552</v>
      </c>
      <c r="C124" s="66"/>
      <c r="D124" s="66"/>
      <c r="E124" s="67" t="s">
        <v>123</v>
      </c>
      <c r="F124" s="68"/>
      <c r="G124" s="69"/>
      <c r="H124" s="70" t="s">
        <v>123</v>
      </c>
    </row>
    <row r="125" spans="1:8" ht="24.95" customHeight="1">
      <c r="A125" s="38" t="s">
        <v>585</v>
      </c>
      <c r="B125" s="42" t="s">
        <v>80</v>
      </c>
      <c r="C125" s="5"/>
      <c r="D125" s="5"/>
      <c r="E125" s="5"/>
      <c r="F125" s="65"/>
      <c r="G125" s="65"/>
      <c r="H125" s="26"/>
    </row>
    <row r="126" spans="1:8" ht="24.95" customHeight="1">
      <c r="A126" s="16"/>
      <c r="B126" s="42"/>
      <c r="C126" s="7"/>
      <c r="D126" s="7"/>
      <c r="E126" s="7"/>
      <c r="F126" s="49"/>
      <c r="G126" s="49"/>
      <c r="H126" s="13"/>
    </row>
    <row r="127" spans="1:8" ht="24.95" customHeight="1" thickBot="1">
      <c r="A127" s="40"/>
      <c r="B127" s="44"/>
      <c r="C127" s="36"/>
      <c r="D127" s="36"/>
      <c r="E127" s="36"/>
      <c r="F127" s="53"/>
      <c r="G127" s="53"/>
      <c r="H127" s="14"/>
    </row>
    <row r="128" spans="1:8" ht="24.95" customHeight="1" thickTop="1">
      <c r="A128" s="4"/>
      <c r="B128" s="31"/>
      <c r="C128" s="4"/>
      <c r="D128" s="33" t="s">
        <v>586</v>
      </c>
      <c r="E128" s="4"/>
    </row>
    <row r="129" spans="1:8" ht="24.95" customHeight="1" thickBot="1">
      <c r="A129" s="3"/>
      <c r="B129" s="37" t="s">
        <v>588</v>
      </c>
      <c r="C129" s="3"/>
      <c r="D129" s="1"/>
      <c r="E129" s="2"/>
      <c r="H129" s="47" t="s">
        <v>795</v>
      </c>
    </row>
    <row r="130" spans="1:8" ht="12.95" customHeight="1" thickTop="1">
      <c r="A130" s="922" t="s">
        <v>592</v>
      </c>
      <c r="B130" s="924" t="s">
        <v>793</v>
      </c>
      <c r="C130" s="926" t="s">
        <v>522</v>
      </c>
      <c r="D130" s="927"/>
      <c r="E130" s="928" t="s">
        <v>1362</v>
      </c>
    </row>
    <row r="131" spans="1:8" ht="12.95" customHeight="1">
      <c r="A131" s="923"/>
      <c r="B131" s="925"/>
      <c r="C131" s="74" t="s">
        <v>1349</v>
      </c>
      <c r="D131" s="74" t="s">
        <v>1266</v>
      </c>
      <c r="E131" s="929"/>
    </row>
    <row r="132" spans="1:8" ht="24.95" customHeight="1">
      <c r="A132" s="71" t="s">
        <v>589</v>
      </c>
      <c r="B132" s="42" t="s">
        <v>81</v>
      </c>
      <c r="C132" s="10"/>
      <c r="D132" s="7"/>
      <c r="E132" s="8"/>
    </row>
    <row r="133" spans="1:8" ht="24.95" customHeight="1">
      <c r="A133" s="72"/>
      <c r="B133" s="42"/>
      <c r="C133" s="21"/>
      <c r="D133" s="17"/>
      <c r="E133" s="18"/>
    </row>
    <row r="134" spans="1:8" ht="24.95" customHeight="1">
      <c r="A134" s="71" t="s">
        <v>509</v>
      </c>
      <c r="B134" s="42" t="s">
        <v>82</v>
      </c>
      <c r="C134" s="10"/>
      <c r="D134" s="7"/>
      <c r="E134" s="13"/>
    </row>
    <row r="135" spans="1:8" ht="24.95" customHeight="1" thickBot="1">
      <c r="A135" s="75" t="s">
        <v>590</v>
      </c>
      <c r="B135" s="44" t="s">
        <v>83</v>
      </c>
      <c r="C135" s="25"/>
      <c r="D135" s="5"/>
      <c r="E135" s="26"/>
    </row>
    <row r="136" spans="1:8" ht="12.95" customHeight="1" thickTop="1">
      <c r="A136" s="922" t="s">
        <v>591</v>
      </c>
      <c r="B136" s="924"/>
      <c r="C136" s="926" t="s">
        <v>523</v>
      </c>
      <c r="D136" s="927"/>
      <c r="E136" s="933" t="s">
        <v>1369</v>
      </c>
    </row>
    <row r="137" spans="1:8" ht="12.95" customHeight="1">
      <c r="A137" s="923"/>
      <c r="B137" s="925"/>
      <c r="C137" s="74" t="s">
        <v>1349</v>
      </c>
      <c r="D137" s="41" t="s">
        <v>1266</v>
      </c>
      <c r="E137" s="934"/>
    </row>
    <row r="138" spans="1:8" ht="24.95" customHeight="1">
      <c r="A138" s="73" t="s">
        <v>246</v>
      </c>
      <c r="B138" s="42" t="s">
        <v>84</v>
      </c>
      <c r="C138" s="10"/>
      <c r="D138" s="7"/>
      <c r="E138" s="13"/>
    </row>
    <row r="139" spans="1:8" ht="24.95" customHeight="1">
      <c r="A139" s="73" t="s">
        <v>291</v>
      </c>
      <c r="B139" s="42" t="s">
        <v>85</v>
      </c>
      <c r="C139" s="7"/>
      <c r="D139" s="7"/>
      <c r="E139" s="13"/>
    </row>
    <row r="140" spans="1:8" ht="24.95" customHeight="1" thickBot="1">
      <c r="A140" s="76" t="s">
        <v>593</v>
      </c>
      <c r="B140" s="44" t="s">
        <v>86</v>
      </c>
      <c r="C140" s="9"/>
      <c r="D140" s="9"/>
      <c r="E140" s="14"/>
    </row>
    <row r="141" spans="1:8" ht="24.95" customHeight="1" thickTop="1" thickBot="1">
      <c r="A141" s="3"/>
      <c r="B141" s="37" t="s">
        <v>622</v>
      </c>
      <c r="C141" s="3"/>
      <c r="D141" s="1"/>
      <c r="E141" s="2"/>
    </row>
    <row r="142" spans="1:8" ht="12.95" customHeight="1" thickTop="1">
      <c r="A142" s="922" t="s">
        <v>592</v>
      </c>
      <c r="B142" s="931" t="s">
        <v>793</v>
      </c>
      <c r="C142" s="926" t="s">
        <v>522</v>
      </c>
      <c r="D142" s="927"/>
      <c r="E142" s="928" t="s">
        <v>1362</v>
      </c>
    </row>
    <row r="143" spans="1:8" ht="12.95" customHeight="1">
      <c r="A143" s="930"/>
      <c r="B143" s="932"/>
      <c r="C143" s="74" t="s">
        <v>1349</v>
      </c>
      <c r="D143" s="74" t="s">
        <v>1266</v>
      </c>
      <c r="E143" s="929"/>
    </row>
    <row r="144" spans="1:8" ht="24.95" customHeight="1">
      <c r="A144" s="71" t="s">
        <v>589</v>
      </c>
      <c r="B144" s="42" t="s">
        <v>87</v>
      </c>
      <c r="C144" s="10"/>
      <c r="D144" s="7"/>
      <c r="E144" s="8"/>
    </row>
    <row r="145" spans="1:8" ht="24.95" customHeight="1">
      <c r="A145" s="72"/>
      <c r="B145" s="42"/>
      <c r="C145" s="21"/>
      <c r="D145" s="17"/>
      <c r="E145" s="18"/>
    </row>
    <row r="146" spans="1:8" ht="24.95" customHeight="1">
      <c r="A146" s="71" t="s">
        <v>594</v>
      </c>
      <c r="B146" s="42" t="s">
        <v>88</v>
      </c>
      <c r="C146" s="10"/>
      <c r="D146" s="7"/>
      <c r="E146" s="13"/>
    </row>
    <row r="147" spans="1:8" ht="24.95" customHeight="1" thickBot="1">
      <c r="A147" s="71" t="s">
        <v>595</v>
      </c>
      <c r="B147" s="44" t="s">
        <v>89</v>
      </c>
      <c r="C147" s="25"/>
      <c r="D147" s="5"/>
      <c r="E147" s="26"/>
    </row>
    <row r="148" spans="1:8" ht="12.95" customHeight="1" thickTop="1">
      <c r="A148" s="922" t="s">
        <v>591</v>
      </c>
      <c r="B148" s="924"/>
      <c r="C148" s="926" t="s">
        <v>523</v>
      </c>
      <c r="D148" s="927"/>
      <c r="E148" s="933" t="s">
        <v>1369</v>
      </c>
    </row>
    <row r="149" spans="1:8" ht="12.95" customHeight="1">
      <c r="A149" s="923"/>
      <c r="B149" s="925"/>
      <c r="C149" s="74" t="s">
        <v>1349</v>
      </c>
      <c r="D149" s="41" t="s">
        <v>1266</v>
      </c>
      <c r="E149" s="934"/>
    </row>
    <row r="150" spans="1:8" ht="24.95" customHeight="1">
      <c r="A150" s="73" t="s">
        <v>246</v>
      </c>
      <c r="B150" s="42" t="s">
        <v>90</v>
      </c>
      <c r="C150" s="10"/>
      <c r="D150" s="7"/>
      <c r="E150" s="13"/>
    </row>
    <row r="151" spans="1:8" ht="24.95" customHeight="1">
      <c r="A151" s="73" t="s">
        <v>291</v>
      </c>
      <c r="B151" s="42" t="s">
        <v>91</v>
      </c>
      <c r="C151" s="7"/>
      <c r="D151" s="7"/>
      <c r="E151" s="13"/>
    </row>
    <row r="152" spans="1:8" ht="24.95" customHeight="1" thickBot="1">
      <c r="A152" s="77" t="s">
        <v>596</v>
      </c>
      <c r="B152" s="44" t="s">
        <v>92</v>
      </c>
      <c r="C152" s="9"/>
      <c r="D152" s="9"/>
      <c r="E152" s="14"/>
    </row>
    <row r="153" spans="1:8" ht="24.95" customHeight="1" thickTop="1">
      <c r="D153" s="33" t="s">
        <v>587</v>
      </c>
    </row>
    <row r="154" spans="1:8" ht="24.95" customHeight="1" thickBot="1">
      <c r="A154" s="3"/>
      <c r="B154" s="37" t="s">
        <v>623</v>
      </c>
      <c r="C154" s="3"/>
      <c r="D154" s="1"/>
      <c r="E154" s="2"/>
      <c r="H154" s="47" t="s">
        <v>795</v>
      </c>
    </row>
    <row r="155" spans="1:8" ht="12.95" customHeight="1" thickTop="1">
      <c r="A155" s="922" t="s">
        <v>592</v>
      </c>
      <c r="B155" s="924" t="s">
        <v>793</v>
      </c>
      <c r="C155" s="926" t="s">
        <v>522</v>
      </c>
      <c r="D155" s="927"/>
      <c r="E155" s="928" t="s">
        <v>1362</v>
      </c>
    </row>
    <row r="156" spans="1:8" ht="12.95" customHeight="1">
      <c r="A156" s="923"/>
      <c r="B156" s="925"/>
      <c r="C156" s="74" t="s">
        <v>1349</v>
      </c>
      <c r="D156" s="74" t="s">
        <v>1266</v>
      </c>
      <c r="E156" s="929"/>
    </row>
    <row r="157" spans="1:8" ht="24.95" customHeight="1">
      <c r="A157" s="71" t="s">
        <v>589</v>
      </c>
      <c r="B157" s="42" t="s">
        <v>93</v>
      </c>
      <c r="C157" s="10"/>
      <c r="D157" s="7"/>
      <c r="E157" s="8"/>
    </row>
    <row r="158" spans="1:8" ht="24.95" customHeight="1">
      <c r="A158" s="72"/>
      <c r="B158" s="42"/>
      <c r="C158" s="21"/>
      <c r="D158" s="17"/>
      <c r="E158" s="18"/>
    </row>
    <row r="159" spans="1:8" ht="24.95" customHeight="1">
      <c r="A159" s="72" t="s">
        <v>624</v>
      </c>
      <c r="B159" s="42" t="s">
        <v>94</v>
      </c>
      <c r="C159" s="10"/>
      <c r="D159" s="7"/>
      <c r="E159" s="13"/>
    </row>
    <row r="160" spans="1:8" ht="24.95" customHeight="1" thickBot="1">
      <c r="A160" s="72" t="s">
        <v>625</v>
      </c>
      <c r="B160" s="44" t="s">
        <v>95</v>
      </c>
      <c r="C160" s="25"/>
      <c r="D160" s="5"/>
      <c r="E160" s="26"/>
    </row>
    <row r="161" spans="1:7" ht="12.95" customHeight="1" thickTop="1">
      <c r="A161" s="922" t="s">
        <v>591</v>
      </c>
      <c r="B161" s="924"/>
      <c r="C161" s="926" t="s">
        <v>523</v>
      </c>
      <c r="D161" s="927"/>
      <c r="E161" s="933" t="s">
        <v>1369</v>
      </c>
    </row>
    <row r="162" spans="1:7" ht="12.95" customHeight="1">
      <c r="A162" s="923"/>
      <c r="B162" s="925"/>
      <c r="C162" s="74" t="s">
        <v>1349</v>
      </c>
      <c r="D162" s="41" t="s">
        <v>1266</v>
      </c>
      <c r="E162" s="934"/>
    </row>
    <row r="163" spans="1:7" ht="24.95" customHeight="1">
      <c r="A163" s="73" t="s">
        <v>246</v>
      </c>
      <c r="B163" s="42" t="s">
        <v>96</v>
      </c>
      <c r="C163" s="10"/>
      <c r="D163" s="7"/>
      <c r="E163" s="13"/>
    </row>
    <row r="164" spans="1:7" ht="24.95" customHeight="1">
      <c r="A164" s="73" t="s">
        <v>291</v>
      </c>
      <c r="B164" s="42" t="s">
        <v>97</v>
      </c>
      <c r="C164" s="7"/>
      <c r="D164" s="7"/>
      <c r="E164" s="13"/>
    </row>
    <row r="165" spans="1:7" ht="24.95" customHeight="1" thickBot="1">
      <c r="A165" s="77" t="s">
        <v>626</v>
      </c>
      <c r="B165" s="44" t="s">
        <v>98</v>
      </c>
      <c r="C165" s="9"/>
      <c r="D165" s="9"/>
      <c r="E165" s="14"/>
    </row>
    <row r="166" spans="1:7" ht="24.95" customHeight="1" thickTop="1">
      <c r="A166" s="80"/>
      <c r="B166" s="81"/>
      <c r="C166" s="4"/>
      <c r="D166" s="4"/>
      <c r="E166" s="82"/>
    </row>
    <row r="167" spans="1:7" ht="24.95" customHeight="1">
      <c r="A167" s="270" t="s">
        <v>1370</v>
      </c>
    </row>
    <row r="168" spans="1:7" ht="24.95" customHeight="1">
      <c r="A168" t="s">
        <v>628</v>
      </c>
    </row>
    <row r="169" spans="1:7" ht="24.95" customHeight="1">
      <c r="A169" s="270" t="s">
        <v>1371</v>
      </c>
    </row>
    <row r="170" spans="1:7" ht="24.95" customHeight="1">
      <c r="A170" s="270" t="s">
        <v>1372</v>
      </c>
      <c r="E170" s="79"/>
      <c r="F170" s="79"/>
    </row>
    <row r="171" spans="1:7" ht="24.95" customHeight="1">
      <c r="A171" s="79"/>
      <c r="B171" s="79"/>
      <c r="C171" s="79"/>
      <c r="D171" s="79"/>
      <c r="E171" s="79"/>
      <c r="F171" s="79"/>
    </row>
    <row r="172" spans="1:7" ht="24.95" customHeight="1">
      <c r="A172" s="79"/>
      <c r="B172" s="79"/>
      <c r="C172" s="79"/>
      <c r="D172" s="79"/>
      <c r="E172" s="79"/>
      <c r="F172" s="79"/>
      <c r="G172" s="83"/>
    </row>
    <row r="173" spans="1:7" ht="24.95" customHeight="1">
      <c r="A173" s="79"/>
      <c r="B173" s="79"/>
      <c r="C173" s="79"/>
      <c r="D173" s="79"/>
      <c r="E173" s="79"/>
      <c r="F173" s="79"/>
      <c r="G173" s="83"/>
    </row>
    <row r="174" spans="1:7" ht="24.95" customHeight="1">
      <c r="A174" t="s">
        <v>664</v>
      </c>
    </row>
    <row r="175" spans="1:7" ht="24.95" customHeight="1">
      <c r="A175" s="78" t="s">
        <v>673</v>
      </c>
    </row>
    <row r="176" spans="1:7" ht="24.95" customHeight="1">
      <c r="D176" s="34" t="s">
        <v>627</v>
      </c>
    </row>
    <row r="177" spans="4:4" ht="24.95" customHeight="1">
      <c r="D177" s="34"/>
    </row>
  </sheetData>
  <mergeCells count="49">
    <mergeCell ref="A161:A162"/>
    <mergeCell ref="B161:B162"/>
    <mergeCell ref="C161:D161"/>
    <mergeCell ref="E161:E162"/>
    <mergeCell ref="A155:A156"/>
    <mergeCell ref="B155:B156"/>
    <mergeCell ref="C155:D155"/>
    <mergeCell ref="E155:E156"/>
    <mergeCell ref="A148:A149"/>
    <mergeCell ref="B148:B149"/>
    <mergeCell ref="C148:D148"/>
    <mergeCell ref="E148:E149"/>
    <mergeCell ref="G24:H24"/>
    <mergeCell ref="A45:A46"/>
    <mergeCell ref="B45:B46"/>
    <mergeCell ref="C45:F45"/>
    <mergeCell ref="G45:H45"/>
    <mergeCell ref="A66:A67"/>
    <mergeCell ref="B66:B67"/>
    <mergeCell ref="C66:D66"/>
    <mergeCell ref="E66:E67"/>
    <mergeCell ref="A88:A89"/>
    <mergeCell ref="B88:B89"/>
    <mergeCell ref="C88:F88"/>
    <mergeCell ref="A2:A3"/>
    <mergeCell ref="B2:B3"/>
    <mergeCell ref="E2:E3"/>
    <mergeCell ref="A24:A25"/>
    <mergeCell ref="B24:B25"/>
    <mergeCell ref="C2:D2"/>
    <mergeCell ref="C24:F24"/>
    <mergeCell ref="F75:H75"/>
    <mergeCell ref="G88:H88"/>
    <mergeCell ref="A109:A110"/>
    <mergeCell ref="B109:B110"/>
    <mergeCell ref="C109:F109"/>
    <mergeCell ref="G109:H109"/>
    <mergeCell ref="A130:A131"/>
    <mergeCell ref="B130:B131"/>
    <mergeCell ref="C130:D130"/>
    <mergeCell ref="E130:E131"/>
    <mergeCell ref="A142:A143"/>
    <mergeCell ref="B142:B143"/>
    <mergeCell ref="C142:D142"/>
    <mergeCell ref="E142:E143"/>
    <mergeCell ref="A136:A137"/>
    <mergeCell ref="B136:B137"/>
    <mergeCell ref="C136:D136"/>
    <mergeCell ref="E136:E137"/>
  </mergeCells>
  <phoneticPr fontId="0" type="noConversion"/>
  <pageMargins left="0.75" right="0.5" top="0.5" bottom="0.57999999999999996" header="0.5" footer="0.5"/>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00B050"/>
  </sheetPr>
  <dimension ref="A1:H47"/>
  <sheetViews>
    <sheetView view="pageBreakPreview" zoomScale="80" zoomScaleNormal="75" zoomScaleSheetLayoutView="80" workbookViewId="0">
      <selection activeCell="D28" sqref="D28"/>
    </sheetView>
  </sheetViews>
  <sheetFormatPr defaultRowHeight="24.95" customHeight="1"/>
  <cols>
    <col min="1" max="1" width="44.7109375" style="604" customWidth="1"/>
    <col min="2" max="2" width="7.85546875" style="604" customWidth="1"/>
    <col min="3" max="3" width="16.7109375" style="604" customWidth="1"/>
    <col min="4" max="4" width="8.7109375" style="604" customWidth="1"/>
    <col min="5" max="5" width="44.7109375" style="604" customWidth="1"/>
    <col min="6" max="6" width="9.140625" style="604"/>
    <col min="7" max="8" width="16.7109375" style="604" customWidth="1"/>
    <col min="9" max="16384" width="9.140625" style="604"/>
  </cols>
  <sheetData>
    <row r="1" spans="1:8" ht="24.95" customHeight="1">
      <c r="A1" s="949" t="s">
        <v>674</v>
      </c>
      <c r="B1" s="949"/>
      <c r="C1" s="949"/>
      <c r="D1" s="949"/>
      <c r="E1" s="949"/>
      <c r="F1" s="949"/>
      <c r="G1" s="949"/>
      <c r="H1" s="603" t="s">
        <v>795</v>
      </c>
    </row>
    <row r="2" spans="1:8" ht="39.950000000000003" customHeight="1" thickBot="1">
      <c r="A2" s="950" t="s">
        <v>1373</v>
      </c>
      <c r="B2" s="950"/>
      <c r="C2" s="950"/>
      <c r="D2" s="605"/>
      <c r="E2" s="951" t="s">
        <v>675</v>
      </c>
      <c r="F2" s="952"/>
      <c r="G2" s="952"/>
      <c r="H2" s="952"/>
    </row>
    <row r="3" spans="1:8" ht="21" customHeight="1" thickTop="1">
      <c r="A3" s="953" t="s">
        <v>676</v>
      </c>
      <c r="B3" s="954"/>
      <c r="C3" s="955"/>
      <c r="D3" s="606"/>
      <c r="E3" s="607"/>
      <c r="F3" s="607"/>
      <c r="G3" s="608" t="s">
        <v>1266</v>
      </c>
      <c r="H3" s="608" t="s">
        <v>1160</v>
      </c>
    </row>
    <row r="4" spans="1:8" ht="21" customHeight="1">
      <c r="A4" s="599" t="s">
        <v>677</v>
      </c>
      <c r="B4" s="600" t="s">
        <v>688</v>
      </c>
      <c r="C4" s="601">
        <f>-122425+13873920.99</f>
        <v>13751495.99</v>
      </c>
      <c r="D4" s="609"/>
      <c r="E4" s="599" t="s">
        <v>717</v>
      </c>
      <c r="F4" s="600" t="s">
        <v>718</v>
      </c>
      <c r="G4" s="610">
        <f>H18</f>
        <v>2763552</v>
      </c>
      <c r="H4" s="601">
        <v>734849</v>
      </c>
    </row>
    <row r="5" spans="1:8" ht="21" customHeight="1">
      <c r="A5" s="599" t="s">
        <v>678</v>
      </c>
      <c r="B5" s="600" t="s">
        <v>689</v>
      </c>
      <c r="C5" s="601">
        <f>9530.75+133719</f>
        <v>143249.75</v>
      </c>
      <c r="D5" s="609"/>
      <c r="E5" s="959" t="s">
        <v>1376</v>
      </c>
      <c r="F5" s="961" t="s">
        <v>719</v>
      </c>
      <c r="G5" s="963">
        <v>0</v>
      </c>
      <c r="H5" s="963">
        <v>2028703</v>
      </c>
    </row>
    <row r="6" spans="1:8" ht="21" customHeight="1">
      <c r="A6" s="599" t="s">
        <v>679</v>
      </c>
      <c r="B6" s="600" t="s">
        <v>691</v>
      </c>
      <c r="C6" s="601">
        <v>1263728.1200000001</v>
      </c>
      <c r="D6" s="609"/>
      <c r="E6" s="960"/>
      <c r="F6" s="962"/>
      <c r="G6" s="964"/>
      <c r="H6" s="964"/>
    </row>
    <row r="7" spans="1:8" ht="21" customHeight="1">
      <c r="A7" s="599" t="s">
        <v>680</v>
      </c>
      <c r="B7" s="600" t="s">
        <v>692</v>
      </c>
      <c r="C7" s="599" t="s">
        <v>716</v>
      </c>
      <c r="D7" s="609"/>
      <c r="E7" s="611" t="s">
        <v>771</v>
      </c>
      <c r="F7" s="600" t="s">
        <v>720</v>
      </c>
      <c r="G7" s="601">
        <v>0</v>
      </c>
      <c r="H7" s="601">
        <v>0</v>
      </c>
    </row>
    <row r="8" spans="1:8" ht="21" customHeight="1">
      <c r="A8" s="612" t="s">
        <v>681</v>
      </c>
      <c r="B8" s="600" t="s">
        <v>693</v>
      </c>
      <c r="C8" s="601">
        <f>234850.35+1036557.39+625536.03</f>
        <v>1896943.77</v>
      </c>
      <c r="D8" s="609"/>
      <c r="E8" s="599" t="s">
        <v>772</v>
      </c>
      <c r="F8" s="600" t="s">
        <v>721</v>
      </c>
      <c r="G8" s="601">
        <v>0</v>
      </c>
      <c r="H8" s="601">
        <v>0</v>
      </c>
    </row>
    <row r="9" spans="1:8" ht="21" customHeight="1" thickBot="1">
      <c r="A9" s="612" t="s">
        <v>682</v>
      </c>
      <c r="B9" s="600" t="s">
        <v>694</v>
      </c>
      <c r="C9" s="601">
        <v>16549115.529999999</v>
      </c>
      <c r="D9" s="609"/>
      <c r="E9" s="613" t="s">
        <v>773</v>
      </c>
      <c r="F9" s="614" t="s">
        <v>722</v>
      </c>
      <c r="G9" s="615">
        <f>SUM(G4:G8)</f>
        <v>2763552</v>
      </c>
      <c r="H9" s="615">
        <f>SUM(H4:H8)</f>
        <v>2763552</v>
      </c>
    </row>
    <row r="10" spans="1:8" ht="25.5" customHeight="1">
      <c r="A10" s="616" t="s">
        <v>683</v>
      </c>
      <c r="B10" s="600" t="s">
        <v>695</v>
      </c>
      <c r="C10" s="601">
        <v>5107360</v>
      </c>
      <c r="D10" s="609"/>
      <c r="E10" s="617" t="s">
        <v>785</v>
      </c>
      <c r="F10" s="618" t="s">
        <v>723</v>
      </c>
      <c r="G10" s="619">
        <v>1900000</v>
      </c>
      <c r="H10" s="619">
        <v>0</v>
      </c>
    </row>
    <row r="11" spans="1:8" ht="21" customHeight="1">
      <c r="A11" s="612" t="s">
        <v>684</v>
      </c>
      <c r="B11" s="600" t="s">
        <v>696</v>
      </c>
      <c r="C11" s="601">
        <f>1309953.41+25000</f>
        <v>1334953.4099999999</v>
      </c>
      <c r="D11" s="609"/>
      <c r="E11" s="612" t="s">
        <v>774</v>
      </c>
      <c r="F11" s="600" t="s">
        <v>724</v>
      </c>
      <c r="G11" s="601">
        <v>0</v>
      </c>
      <c r="H11" s="601">
        <v>0</v>
      </c>
    </row>
    <row r="12" spans="1:8" ht="27.75" customHeight="1">
      <c r="A12" s="620" t="s">
        <v>1374</v>
      </c>
      <c r="B12" s="600" t="s">
        <v>697</v>
      </c>
      <c r="C12" s="601">
        <v>2578000</v>
      </c>
      <c r="D12" s="609"/>
      <c r="E12" s="621" t="s">
        <v>775</v>
      </c>
      <c r="F12" s="600" t="s">
        <v>725</v>
      </c>
      <c r="G12" s="601">
        <v>0</v>
      </c>
      <c r="H12" s="601">
        <v>0</v>
      </c>
    </row>
    <row r="13" spans="1:8" ht="26.25" customHeight="1" thickBot="1">
      <c r="A13" s="620" t="s">
        <v>1375</v>
      </c>
      <c r="B13" s="600" t="s">
        <v>698</v>
      </c>
      <c r="C13" s="622">
        <f>10279000-2578000</f>
        <v>7701000</v>
      </c>
      <c r="D13" s="609"/>
      <c r="E13" s="612" t="s">
        <v>776</v>
      </c>
      <c r="F13" s="600" t="s">
        <v>726</v>
      </c>
      <c r="G13" s="601">
        <v>0</v>
      </c>
      <c r="H13" s="601">
        <v>0</v>
      </c>
    </row>
    <row r="14" spans="1:8" ht="21" customHeight="1" thickBot="1">
      <c r="A14" s="596" t="s">
        <v>687</v>
      </c>
      <c r="B14" s="597" t="s">
        <v>699</v>
      </c>
      <c r="C14" s="598">
        <f>SUM(C4:C13)</f>
        <v>50325846.569999993</v>
      </c>
      <c r="D14" s="609"/>
      <c r="E14" s="623" t="s">
        <v>777</v>
      </c>
      <c r="F14" s="600" t="s">
        <v>727</v>
      </c>
      <c r="G14" s="601">
        <v>568496.30000000005</v>
      </c>
      <c r="H14" s="601">
        <v>0</v>
      </c>
    </row>
    <row r="15" spans="1:8" ht="21" customHeight="1" thickTop="1" thickBot="1">
      <c r="A15" s="958" t="s">
        <v>700</v>
      </c>
      <c r="B15" s="958"/>
      <c r="C15" s="958"/>
      <c r="D15" s="624"/>
      <c r="E15" s="625" t="s">
        <v>778</v>
      </c>
      <c r="F15" s="614" t="s">
        <v>731</v>
      </c>
      <c r="G15" s="615">
        <f>SUM(G10:G14)</f>
        <v>2468496.2999999998</v>
      </c>
      <c r="H15" s="615">
        <f>SUM(H10:H14)</f>
        <v>0</v>
      </c>
    </row>
    <row r="16" spans="1:8" ht="21" customHeight="1">
      <c r="A16" s="599" t="s">
        <v>701</v>
      </c>
      <c r="B16" s="600" t="s">
        <v>705</v>
      </c>
      <c r="C16" s="601">
        <f>13599690.04</f>
        <v>13599690.039999999</v>
      </c>
      <c r="D16" s="609"/>
      <c r="E16" s="626" t="s">
        <v>779</v>
      </c>
      <c r="F16" s="618" t="s">
        <v>728</v>
      </c>
      <c r="G16" s="619">
        <v>0</v>
      </c>
      <c r="H16" s="619">
        <v>0</v>
      </c>
    </row>
    <row r="17" spans="1:8" ht="21" customHeight="1">
      <c r="A17" s="599" t="s">
        <v>702</v>
      </c>
      <c r="B17" s="600" t="s">
        <v>706</v>
      </c>
      <c r="C17" s="601">
        <f>5884000+4395000+26152100.83</f>
        <v>36431100.829999998</v>
      </c>
      <c r="D17" s="609"/>
      <c r="E17" s="599" t="s">
        <v>780</v>
      </c>
      <c r="F17" s="600" t="s">
        <v>729</v>
      </c>
      <c r="G17" s="599">
        <f>(G15-G16)</f>
        <v>2468496.2999999998</v>
      </c>
      <c r="H17" s="599">
        <f>(H15-H16)</f>
        <v>0</v>
      </c>
    </row>
    <row r="18" spans="1:8" ht="21" customHeight="1" thickBot="1">
      <c r="A18" s="599" t="s">
        <v>703</v>
      </c>
      <c r="B18" s="600" t="s">
        <v>707</v>
      </c>
      <c r="C18" s="601">
        <f>-122425+407949.95+9530.75</f>
        <v>295055.7</v>
      </c>
      <c r="D18" s="609"/>
      <c r="E18" s="602" t="s">
        <v>787</v>
      </c>
      <c r="F18" s="597" t="s">
        <v>730</v>
      </c>
      <c r="G18" s="602">
        <f>(G9-G17)</f>
        <v>295055.70000000019</v>
      </c>
      <c r="H18" s="602">
        <f>(H9-H17)</f>
        <v>2763552</v>
      </c>
    </row>
    <row r="19" spans="1:8" ht="14.25" customHeight="1" thickTop="1" thickBot="1">
      <c r="A19" s="596" t="s">
        <v>704</v>
      </c>
      <c r="B19" s="597"/>
      <c r="C19" s="602">
        <f>SUM(C16:C18)</f>
        <v>50325846.57</v>
      </c>
      <c r="D19" s="627"/>
      <c r="E19" s="628" t="s">
        <v>781</v>
      </c>
      <c r="F19" s="629"/>
      <c r="G19" s="605"/>
      <c r="H19" s="605"/>
    </row>
    <row r="20" spans="1:8" ht="15.75" customHeight="1" thickTop="1" thickBot="1">
      <c r="A20" s="605"/>
      <c r="B20" s="605"/>
      <c r="C20" s="605"/>
      <c r="D20" s="605"/>
      <c r="E20" s="956" t="s">
        <v>1377</v>
      </c>
      <c r="F20" s="957"/>
      <c r="G20" s="957"/>
      <c r="H20" s="605"/>
    </row>
    <row r="21" spans="1:8" ht="21" customHeight="1">
      <c r="A21" s="630" t="s">
        <v>711</v>
      </c>
      <c r="B21" s="631" t="s">
        <v>708</v>
      </c>
      <c r="C21" s="632">
        <v>2</v>
      </c>
      <c r="D21" s="605"/>
      <c r="E21" s="633" t="s">
        <v>1378</v>
      </c>
      <c r="F21" s="631" t="s">
        <v>782</v>
      </c>
      <c r="G21" s="634">
        <f>G18</f>
        <v>295055.70000000019</v>
      </c>
      <c r="H21" s="605"/>
    </row>
    <row r="22" spans="1:8" ht="24" customHeight="1">
      <c r="A22" s="635" t="s">
        <v>712</v>
      </c>
      <c r="B22" s="600" t="s">
        <v>709</v>
      </c>
      <c r="C22" s="636">
        <v>0</v>
      </c>
      <c r="D22" s="605"/>
      <c r="E22" s="637" t="s">
        <v>1379</v>
      </c>
      <c r="F22" s="600" t="s">
        <v>783</v>
      </c>
      <c r="G22" s="636">
        <v>250000</v>
      </c>
      <c r="H22" s="605"/>
    </row>
    <row r="23" spans="1:8" ht="21" customHeight="1" thickBot="1">
      <c r="A23" s="638" t="s">
        <v>713</v>
      </c>
      <c r="B23" s="614" t="s">
        <v>710</v>
      </c>
      <c r="C23" s="639">
        <f>(C21-C22)</f>
        <v>2</v>
      </c>
      <c r="D23" s="605"/>
      <c r="E23" s="638" t="s">
        <v>786</v>
      </c>
      <c r="F23" s="614" t="s">
        <v>784</v>
      </c>
      <c r="G23" s="639">
        <f>(G21-G22)</f>
        <v>45055.700000000186</v>
      </c>
      <c r="H23" s="605"/>
    </row>
    <row r="24" spans="1:8" ht="18.75" customHeight="1">
      <c r="A24" s="605" t="s">
        <v>714</v>
      </c>
      <c r="B24" s="605"/>
      <c r="C24" s="605"/>
      <c r="D24" s="605"/>
      <c r="E24" s="605"/>
      <c r="F24" s="629"/>
      <c r="G24" s="605"/>
      <c r="H24" s="605"/>
    </row>
    <row r="25" spans="1:8" ht="21" customHeight="1">
      <c r="A25" s="605"/>
      <c r="B25" s="605"/>
      <c r="C25" s="605"/>
      <c r="D25" s="640"/>
      <c r="E25" s="640" t="s">
        <v>715</v>
      </c>
      <c r="F25" s="605"/>
      <c r="G25" s="605"/>
      <c r="H25" s="605"/>
    </row>
    <row r="26" spans="1:8" ht="24.95" customHeight="1">
      <c r="A26" s="605"/>
      <c r="B26" s="605"/>
      <c r="C26" s="605"/>
      <c r="D26" s="605"/>
      <c r="E26" s="605"/>
      <c r="F26" s="605"/>
      <c r="G26" s="605"/>
      <c r="H26" s="605"/>
    </row>
    <row r="27" spans="1:8" ht="24.95" customHeight="1">
      <c r="A27" s="605"/>
      <c r="B27" s="605"/>
      <c r="C27" s="605"/>
      <c r="D27" s="605"/>
      <c r="E27" s="605"/>
      <c r="F27" s="605"/>
      <c r="G27" s="605"/>
      <c r="H27" s="605"/>
    </row>
    <row r="28" spans="1:8" ht="24.95" customHeight="1">
      <c r="A28" s="605"/>
      <c r="B28" s="605"/>
      <c r="C28" s="605"/>
      <c r="D28" s="605"/>
      <c r="E28" s="605"/>
      <c r="F28" s="605"/>
      <c r="G28" s="605"/>
      <c r="H28" s="605"/>
    </row>
    <row r="29" spans="1:8" ht="24.95" customHeight="1">
      <c r="A29" s="605"/>
      <c r="B29" s="605"/>
      <c r="C29" s="605"/>
      <c r="D29" s="605"/>
      <c r="E29" s="605"/>
      <c r="F29" s="605"/>
      <c r="G29" s="605"/>
      <c r="H29" s="605"/>
    </row>
    <row r="30" spans="1:8" ht="24.95" customHeight="1">
      <c r="A30" s="605"/>
      <c r="B30" s="605"/>
      <c r="C30" s="605"/>
      <c r="D30" s="605"/>
      <c r="E30" s="605"/>
      <c r="F30" s="605"/>
      <c r="G30" s="605"/>
      <c r="H30" s="605"/>
    </row>
    <row r="31" spans="1:8" ht="24.95" customHeight="1">
      <c r="A31" s="605"/>
      <c r="B31" s="605"/>
      <c r="C31" s="605"/>
      <c r="D31" s="605"/>
      <c r="E31" s="605"/>
      <c r="F31" s="605"/>
      <c r="G31" s="605"/>
      <c r="H31" s="605"/>
    </row>
    <row r="32" spans="1:8" ht="24.95" customHeight="1">
      <c r="A32" s="605"/>
      <c r="B32" s="605"/>
      <c r="C32" s="605"/>
      <c r="D32" s="605"/>
      <c r="E32" s="605"/>
      <c r="F32" s="605"/>
      <c r="G32" s="605"/>
      <c r="H32" s="605"/>
    </row>
    <row r="33" spans="1:8" ht="24.95" customHeight="1">
      <c r="A33" s="605"/>
      <c r="B33" s="605"/>
      <c r="C33" s="605"/>
      <c r="D33" s="605"/>
      <c r="E33" s="605"/>
      <c r="F33" s="605"/>
      <c r="G33" s="605"/>
      <c r="H33" s="605"/>
    </row>
    <row r="34" spans="1:8" ht="24.95" customHeight="1">
      <c r="A34" s="605"/>
      <c r="B34" s="605"/>
      <c r="C34" s="605"/>
      <c r="D34" s="605"/>
      <c r="E34" s="605"/>
      <c r="F34" s="605"/>
      <c r="G34" s="605"/>
      <c r="H34" s="605"/>
    </row>
    <row r="35" spans="1:8" ht="24.95" customHeight="1">
      <c r="A35" s="605"/>
      <c r="B35" s="605"/>
      <c r="C35" s="605"/>
      <c r="D35" s="605"/>
      <c r="E35" s="605"/>
      <c r="F35" s="605"/>
      <c r="G35" s="605"/>
      <c r="H35" s="605"/>
    </row>
    <row r="36" spans="1:8" ht="24.95" customHeight="1">
      <c r="A36" s="605"/>
      <c r="B36" s="605"/>
      <c r="C36" s="605"/>
      <c r="D36" s="605"/>
      <c r="E36" s="605"/>
      <c r="F36" s="605"/>
      <c r="G36" s="605"/>
      <c r="H36" s="605"/>
    </row>
    <row r="37" spans="1:8" ht="24.95" customHeight="1">
      <c r="A37" s="605"/>
      <c r="B37" s="605"/>
      <c r="C37" s="605"/>
      <c r="D37" s="605"/>
      <c r="E37" s="605"/>
      <c r="F37" s="605"/>
      <c r="G37" s="605"/>
      <c r="H37" s="605"/>
    </row>
    <row r="38" spans="1:8" ht="24.95" customHeight="1">
      <c r="A38" s="605"/>
      <c r="B38" s="605"/>
      <c r="C38" s="605"/>
      <c r="D38" s="605"/>
      <c r="E38" s="605"/>
      <c r="F38" s="605"/>
      <c r="G38" s="605"/>
      <c r="H38" s="605"/>
    </row>
    <row r="39" spans="1:8" ht="24.95" customHeight="1">
      <c r="A39" s="605"/>
      <c r="B39" s="605"/>
      <c r="C39" s="605"/>
      <c r="D39" s="605"/>
      <c r="E39" s="605"/>
      <c r="F39" s="605"/>
      <c r="G39" s="605"/>
      <c r="H39" s="605"/>
    </row>
    <row r="40" spans="1:8" ht="24.95" customHeight="1">
      <c r="A40" s="605"/>
      <c r="B40" s="605"/>
      <c r="C40" s="605"/>
      <c r="D40" s="605"/>
      <c r="E40" s="605"/>
      <c r="F40" s="605"/>
      <c r="G40" s="605"/>
      <c r="H40" s="605"/>
    </row>
    <row r="41" spans="1:8" ht="24.95" customHeight="1">
      <c r="A41" s="605"/>
      <c r="B41" s="605"/>
      <c r="C41" s="605"/>
      <c r="D41" s="605"/>
      <c r="E41" s="605"/>
      <c r="F41" s="605"/>
      <c r="G41" s="605"/>
      <c r="H41" s="605"/>
    </row>
    <row r="42" spans="1:8" ht="24.95" customHeight="1">
      <c r="A42" s="605"/>
      <c r="B42" s="605"/>
      <c r="C42" s="605"/>
      <c r="D42" s="605"/>
      <c r="E42" s="605"/>
      <c r="F42" s="605"/>
      <c r="G42" s="605"/>
      <c r="H42" s="605"/>
    </row>
    <row r="43" spans="1:8" ht="24.95" customHeight="1">
      <c r="A43" s="605"/>
      <c r="B43" s="605"/>
      <c r="C43" s="605"/>
      <c r="D43" s="605"/>
      <c r="E43" s="605"/>
      <c r="F43" s="605"/>
      <c r="G43" s="605"/>
      <c r="H43" s="605"/>
    </row>
    <row r="44" spans="1:8" ht="24.95" customHeight="1">
      <c r="A44" s="605"/>
      <c r="B44" s="605"/>
      <c r="C44" s="605"/>
      <c r="D44" s="605"/>
      <c r="E44" s="605"/>
      <c r="F44" s="605"/>
      <c r="G44" s="605"/>
      <c r="H44" s="605"/>
    </row>
    <row r="45" spans="1:8" ht="24.95" customHeight="1">
      <c r="A45" s="605"/>
      <c r="B45" s="605"/>
      <c r="C45" s="605"/>
      <c r="D45" s="605"/>
      <c r="E45" s="605"/>
      <c r="F45" s="605"/>
      <c r="G45" s="605"/>
      <c r="H45" s="605"/>
    </row>
    <row r="46" spans="1:8" ht="24.95" customHeight="1">
      <c r="A46" s="605"/>
      <c r="B46" s="605"/>
      <c r="C46" s="605"/>
      <c r="D46" s="605"/>
      <c r="E46" s="605"/>
      <c r="F46" s="605"/>
      <c r="G46" s="605"/>
      <c r="H46" s="605"/>
    </row>
    <row r="47" spans="1:8" ht="24.95" customHeight="1">
      <c r="A47" s="605"/>
      <c r="B47" s="605"/>
      <c r="C47" s="605"/>
      <c r="D47" s="605"/>
      <c r="E47" s="605"/>
      <c r="F47" s="605"/>
      <c r="G47" s="605"/>
      <c r="H47" s="605"/>
    </row>
  </sheetData>
  <sheetProtection selectLockedCells="1" selectUnlockedCells="1"/>
  <mergeCells count="10">
    <mergeCell ref="A1:G1"/>
    <mergeCell ref="A2:C2"/>
    <mergeCell ref="E2:H2"/>
    <mergeCell ref="A3:C3"/>
    <mergeCell ref="E20:G20"/>
    <mergeCell ref="A15:C15"/>
    <mergeCell ref="E5:E6"/>
    <mergeCell ref="F5:F6"/>
    <mergeCell ref="G5:G6"/>
    <mergeCell ref="H5:H6"/>
  </mergeCells>
  <phoneticPr fontId="0" type="noConversion"/>
  <pageMargins left="0.5" right="0.5" top="0.5" bottom="0.5" header="0.5" footer="0"/>
  <pageSetup paperSize="5" orientation="landscape"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FF0000"/>
  </sheetPr>
  <dimension ref="A1:AI183"/>
  <sheetViews>
    <sheetView view="pageBreakPreview" zoomScale="90" zoomScaleNormal="75" zoomScaleSheetLayoutView="90" workbookViewId="0">
      <selection activeCell="A155" sqref="A155:J155"/>
    </sheetView>
  </sheetViews>
  <sheetFormatPr defaultRowHeight="24.95" customHeight="1"/>
  <cols>
    <col min="3" max="3" width="5.5703125" customWidth="1"/>
    <col min="4" max="4" width="14.140625" customWidth="1"/>
    <col min="5" max="18" width="14.7109375" customWidth="1"/>
  </cols>
  <sheetData>
    <row r="1" spans="1:22" ht="24.95" customHeight="1">
      <c r="A1" s="1031" t="s">
        <v>1380</v>
      </c>
      <c r="B1" s="1032"/>
      <c r="C1" s="1032"/>
      <c r="D1" s="1032"/>
      <c r="E1" s="1032"/>
      <c r="F1" s="1032"/>
      <c r="G1" s="1032"/>
      <c r="H1" s="1032"/>
      <c r="I1" s="1032"/>
      <c r="J1" s="1032"/>
      <c r="K1" s="1032"/>
      <c r="L1" s="1033"/>
      <c r="M1" s="1020" t="s">
        <v>795</v>
      </c>
      <c r="N1" s="135"/>
      <c r="O1" s="135"/>
      <c r="P1" s="135"/>
      <c r="Q1" s="135"/>
      <c r="R1" s="83"/>
      <c r="S1" s="83"/>
      <c r="T1" s="83"/>
      <c r="U1" s="83"/>
      <c r="V1" s="83"/>
    </row>
    <row r="2" spans="1:22" ht="24.95" customHeight="1" thickBot="1">
      <c r="A2" s="1034"/>
      <c r="B2" s="1035"/>
      <c r="C2" s="1035"/>
      <c r="D2" s="1035"/>
      <c r="E2" s="1035"/>
      <c r="F2" s="1035"/>
      <c r="G2" s="1035"/>
      <c r="H2" s="1035"/>
      <c r="I2" s="1035"/>
      <c r="J2" s="1035"/>
      <c r="K2" s="1035"/>
      <c r="L2" s="1036"/>
      <c r="M2" s="1020"/>
      <c r="N2" s="135"/>
      <c r="O2" s="135"/>
      <c r="P2" s="135"/>
      <c r="Q2" s="135"/>
      <c r="R2" s="83"/>
      <c r="S2" s="83"/>
      <c r="T2" s="83"/>
      <c r="U2" s="83"/>
      <c r="V2" s="83"/>
    </row>
    <row r="3" spans="1:22" ht="24.95" customHeight="1" thickTop="1">
      <c r="A3" s="87"/>
      <c r="B3" s="83"/>
      <c r="C3" s="83"/>
      <c r="D3" s="83"/>
      <c r="E3" s="83"/>
      <c r="F3" s="83"/>
      <c r="G3" s="83"/>
      <c r="H3" s="83"/>
      <c r="I3" s="83"/>
      <c r="J3" s="83"/>
      <c r="K3" s="83"/>
      <c r="L3" s="83"/>
      <c r="M3" s="87"/>
      <c r="N3" s="83"/>
      <c r="O3" s="83"/>
      <c r="P3" s="83"/>
      <c r="Q3" s="83"/>
      <c r="R3" s="83"/>
      <c r="S3" s="83"/>
      <c r="T3" s="83"/>
      <c r="U3" s="83"/>
      <c r="V3" s="83"/>
    </row>
    <row r="4" spans="1:22" ht="15" customHeight="1">
      <c r="A4" s="1037" t="s">
        <v>378</v>
      </c>
      <c r="B4" s="1038"/>
      <c r="C4" s="1038"/>
      <c r="D4" s="1038"/>
      <c r="E4" s="1038"/>
      <c r="F4" s="1038"/>
      <c r="G4" s="1038"/>
      <c r="H4" s="1038"/>
      <c r="I4" s="1038"/>
      <c r="J4" s="1038"/>
      <c r="K4" s="1038"/>
      <c r="L4" s="1038"/>
      <c r="M4" s="122"/>
      <c r="N4" s="123"/>
      <c r="O4" s="123"/>
      <c r="P4" s="123"/>
      <c r="Q4" s="123"/>
      <c r="R4" s="83"/>
      <c r="S4" s="83"/>
      <c r="T4" s="83"/>
      <c r="U4" s="83"/>
      <c r="V4" s="83"/>
    </row>
    <row r="5" spans="1:22" ht="15" customHeight="1">
      <c r="A5" s="1039" t="s">
        <v>799</v>
      </c>
      <c r="B5" s="1040"/>
      <c r="C5" s="1040"/>
      <c r="D5" s="1040"/>
      <c r="E5" s="1040"/>
      <c r="F5" s="1040"/>
      <c r="G5" s="1040"/>
      <c r="H5" s="1040"/>
      <c r="I5" s="1040"/>
      <c r="J5" s="1040"/>
      <c r="K5" s="1040"/>
      <c r="L5" s="1040"/>
      <c r="M5" s="90"/>
      <c r="N5" s="124"/>
      <c r="O5" s="124"/>
      <c r="P5" s="124"/>
      <c r="Q5" s="124"/>
      <c r="R5" s="83"/>
      <c r="S5" s="83"/>
      <c r="T5" s="83"/>
      <c r="U5" s="83"/>
      <c r="V5" s="83"/>
    </row>
    <row r="6" spans="1:22" ht="15" customHeight="1">
      <c r="A6" s="1039" t="s">
        <v>379</v>
      </c>
      <c r="B6" s="1040"/>
      <c r="C6" s="1040"/>
      <c r="D6" s="1040"/>
      <c r="E6" s="1040"/>
      <c r="F6" s="1040"/>
      <c r="G6" s="1040"/>
      <c r="H6" s="1040"/>
      <c r="I6" s="1040"/>
      <c r="J6" s="1040"/>
      <c r="K6" s="1040"/>
      <c r="L6" s="1040"/>
      <c r="M6" s="90"/>
      <c r="N6" s="124"/>
      <c r="O6" s="124"/>
      <c r="P6" s="124"/>
      <c r="Q6" s="124"/>
      <c r="R6" s="83"/>
      <c r="S6" s="83"/>
      <c r="T6" s="83"/>
      <c r="U6" s="83"/>
      <c r="V6" s="83"/>
    </row>
    <row r="7" spans="1:22" ht="15" customHeight="1">
      <c r="A7" s="1039" t="s">
        <v>380</v>
      </c>
      <c r="B7" s="1040"/>
      <c r="C7" s="1040"/>
      <c r="D7" s="1040"/>
      <c r="E7" s="1040"/>
      <c r="F7" s="1040"/>
      <c r="G7" s="1040"/>
      <c r="H7" s="1040"/>
      <c r="I7" s="1040"/>
      <c r="J7" s="1040"/>
      <c r="K7" s="1040"/>
      <c r="L7" s="1040"/>
      <c r="M7" s="90"/>
      <c r="N7" s="124"/>
      <c r="O7" s="124"/>
      <c r="P7" s="124"/>
      <c r="Q7" s="124"/>
      <c r="R7" s="83"/>
      <c r="S7" s="83"/>
      <c r="T7" s="83"/>
      <c r="U7" s="83"/>
      <c r="V7" s="83"/>
    </row>
    <row r="8" spans="1:22" ht="35.25" customHeight="1">
      <c r="A8" s="87"/>
      <c r="B8" s="83"/>
      <c r="C8" s="83"/>
      <c r="D8" s="83"/>
      <c r="E8" s="83"/>
      <c r="F8" s="83"/>
      <c r="G8" s="83"/>
      <c r="H8" s="83"/>
      <c r="I8" s="83"/>
      <c r="J8" s="83"/>
      <c r="K8" s="83"/>
      <c r="L8" s="83"/>
      <c r="M8" s="87"/>
      <c r="N8" s="83"/>
      <c r="O8" s="83"/>
      <c r="P8" s="83"/>
      <c r="Q8" s="83"/>
      <c r="R8" s="83"/>
      <c r="S8" s="83"/>
      <c r="T8" s="83"/>
      <c r="U8" s="83"/>
      <c r="V8" s="83"/>
    </row>
    <row r="9" spans="1:22" ht="24.95" customHeight="1">
      <c r="A9" s="125" t="s">
        <v>381</v>
      </c>
      <c r="B9" s="83"/>
      <c r="C9" s="83"/>
      <c r="D9" s="83"/>
      <c r="E9" s="83"/>
      <c r="F9" s="1018" t="s">
        <v>384</v>
      </c>
      <c r="G9" s="1018"/>
      <c r="H9" s="1018"/>
      <c r="I9" s="1018"/>
      <c r="J9" s="1018"/>
      <c r="K9" s="1018"/>
      <c r="L9" s="1018"/>
      <c r="M9" s="136"/>
      <c r="N9" s="126"/>
      <c r="O9" s="126"/>
      <c r="P9" s="126"/>
      <c r="Q9" s="126"/>
      <c r="R9" s="83"/>
      <c r="S9" s="83"/>
      <c r="T9" s="83"/>
      <c r="U9" s="83"/>
      <c r="V9" s="83"/>
    </row>
    <row r="10" spans="1:22" ht="24.95" customHeight="1">
      <c r="A10" s="87"/>
      <c r="B10" s="83"/>
      <c r="C10" s="83"/>
      <c r="D10" s="83"/>
      <c r="E10" s="83"/>
      <c r="F10" s="83"/>
      <c r="G10" s="83"/>
      <c r="H10" s="83"/>
      <c r="I10" s="83"/>
      <c r="J10" s="83"/>
      <c r="K10" s="83"/>
      <c r="L10" s="83"/>
      <c r="M10" s="87"/>
      <c r="N10" s="83"/>
      <c r="O10" s="83"/>
      <c r="P10" s="83"/>
      <c r="Q10" s="83"/>
      <c r="R10" s="83"/>
      <c r="S10" s="83"/>
      <c r="T10" s="83"/>
      <c r="U10" s="83"/>
      <c r="V10" s="83"/>
    </row>
    <row r="11" spans="1:22" ht="24.95" customHeight="1">
      <c r="A11" s="87"/>
      <c r="B11" s="83"/>
      <c r="C11" s="83"/>
      <c r="D11" s="83"/>
      <c r="E11" s="83"/>
      <c r="F11" s="142"/>
      <c r="G11" s="1019" t="s">
        <v>382</v>
      </c>
      <c r="H11" s="1019"/>
      <c r="I11" s="1019"/>
      <c r="J11" s="1019"/>
      <c r="K11" s="1019"/>
      <c r="L11" s="1019"/>
      <c r="M11" s="137"/>
      <c r="N11" s="127"/>
      <c r="O11" s="127"/>
      <c r="P11" s="127"/>
      <c r="Q11" s="127"/>
      <c r="R11" s="83"/>
      <c r="S11" s="83"/>
      <c r="T11" s="83"/>
      <c r="U11" s="83"/>
      <c r="V11" s="83"/>
    </row>
    <row r="12" spans="1:22" ht="24.95" customHeight="1">
      <c r="A12" s="87"/>
      <c r="B12" s="83"/>
      <c r="C12" s="83"/>
      <c r="D12" s="83"/>
      <c r="E12" s="83"/>
      <c r="F12" s="142"/>
      <c r="G12" s="1022" t="s">
        <v>383</v>
      </c>
      <c r="H12" s="1022"/>
      <c r="I12" s="1022"/>
      <c r="J12" s="1022"/>
      <c r="K12" s="1022"/>
      <c r="L12" s="1022"/>
      <c r="M12" s="116"/>
      <c r="N12" s="117"/>
      <c r="O12" s="117"/>
      <c r="P12" s="117"/>
      <c r="Q12" s="117"/>
      <c r="R12" s="83"/>
      <c r="S12" s="83"/>
      <c r="T12" s="83"/>
      <c r="U12" s="83"/>
      <c r="V12" s="83"/>
    </row>
    <row r="13" spans="1:22" ht="24.95" customHeight="1">
      <c r="A13" s="87"/>
      <c r="B13" s="83"/>
      <c r="C13" s="83"/>
      <c r="D13" s="83"/>
      <c r="E13" s="83"/>
      <c r="F13" s="129"/>
      <c r="G13" s="129"/>
      <c r="H13" s="129"/>
      <c r="I13" s="129"/>
      <c r="J13" s="129"/>
      <c r="K13" s="129"/>
      <c r="L13" s="129"/>
      <c r="M13" s="138"/>
      <c r="N13" s="129"/>
      <c r="O13" s="129"/>
      <c r="P13" s="129"/>
      <c r="Q13" s="129"/>
      <c r="R13" s="83"/>
      <c r="S13" s="83"/>
      <c r="T13" s="83"/>
      <c r="U13" s="83"/>
      <c r="V13" s="83"/>
    </row>
    <row r="14" spans="1:22" ht="24.95" customHeight="1">
      <c r="A14" s="1028" t="s">
        <v>386</v>
      </c>
      <c r="B14" s="1029"/>
      <c r="C14" s="1029"/>
      <c r="D14" s="1029"/>
      <c r="E14" s="1029"/>
      <c r="F14" s="1018" t="s">
        <v>385</v>
      </c>
      <c r="G14" s="1018"/>
      <c r="H14" s="1018"/>
      <c r="I14" s="1018"/>
      <c r="J14" s="1018"/>
      <c r="K14" s="1018"/>
      <c r="L14" s="1018"/>
      <c r="M14" s="136"/>
      <c r="N14" s="126"/>
      <c r="O14" s="126"/>
      <c r="P14" s="126"/>
      <c r="Q14" s="126"/>
      <c r="R14" s="83"/>
      <c r="S14" s="83"/>
      <c r="T14" s="83"/>
      <c r="U14" s="83"/>
      <c r="V14" s="83"/>
    </row>
    <row r="15" spans="1:22" ht="24.95" customHeight="1">
      <c r="A15" s="87"/>
      <c r="B15" s="83"/>
      <c r="C15" s="83"/>
      <c r="D15" s="83"/>
      <c r="E15" s="83"/>
      <c r="F15" s="83"/>
      <c r="G15" s="83"/>
      <c r="H15" s="83"/>
      <c r="I15" s="83"/>
      <c r="J15" s="83"/>
      <c r="K15" s="83"/>
      <c r="L15" s="83"/>
      <c r="M15" s="87"/>
      <c r="N15" s="83"/>
      <c r="O15" s="83"/>
      <c r="P15" s="83"/>
      <c r="Q15" s="83"/>
      <c r="R15" s="83"/>
      <c r="S15" s="83"/>
      <c r="T15" s="83"/>
      <c r="U15" s="83"/>
      <c r="V15" s="83"/>
    </row>
    <row r="16" spans="1:22" ht="24.95" customHeight="1">
      <c r="A16" s="87"/>
      <c r="B16" s="83"/>
      <c r="C16" s="83"/>
      <c r="D16" s="83"/>
      <c r="E16" s="83"/>
      <c r="F16" s="142"/>
      <c r="G16" s="1030" t="s">
        <v>387</v>
      </c>
      <c r="H16" s="1030"/>
      <c r="I16" s="1030"/>
      <c r="J16" s="1030"/>
      <c r="K16" s="1030"/>
      <c r="L16" s="1030"/>
      <c r="M16" s="139"/>
      <c r="N16" s="132"/>
      <c r="O16" s="132"/>
      <c r="P16" s="132"/>
      <c r="Q16" s="132"/>
      <c r="R16" s="83"/>
      <c r="S16" s="83"/>
      <c r="T16" s="83"/>
      <c r="U16" s="83"/>
      <c r="V16" s="83"/>
    </row>
    <row r="17" spans="1:35" ht="24.95" customHeight="1">
      <c r="A17" s="87"/>
      <c r="B17" s="83"/>
      <c r="C17" s="83"/>
      <c r="D17" s="83"/>
      <c r="E17" s="83"/>
      <c r="F17" s="142"/>
      <c r="G17" s="1030" t="s">
        <v>388</v>
      </c>
      <c r="H17" s="1030"/>
      <c r="I17" s="1030"/>
      <c r="J17" s="1030"/>
      <c r="K17" s="1030"/>
      <c r="L17" s="1030"/>
      <c r="M17" s="139"/>
      <c r="N17" s="132"/>
      <c r="O17" s="132"/>
      <c r="P17" s="132"/>
      <c r="Q17" s="132"/>
      <c r="R17" s="83"/>
      <c r="S17" s="83"/>
      <c r="T17" s="83"/>
      <c r="U17" s="83"/>
      <c r="V17" s="83"/>
    </row>
    <row r="18" spans="1:35" ht="24.95" customHeight="1">
      <c r="A18" s="87"/>
      <c r="B18" s="83"/>
      <c r="C18" s="83"/>
      <c r="D18" s="83"/>
      <c r="E18" s="83"/>
      <c r="F18" s="142"/>
      <c r="G18" s="1030" t="s">
        <v>392</v>
      </c>
      <c r="H18" s="1030"/>
      <c r="I18" s="1030"/>
      <c r="J18" s="1030"/>
      <c r="K18" s="1030"/>
      <c r="L18" s="1030"/>
      <c r="M18" s="139"/>
      <c r="N18" s="132"/>
      <c r="O18" s="132"/>
      <c r="P18" s="132"/>
      <c r="Q18" s="132"/>
      <c r="R18" s="83"/>
      <c r="S18" s="83"/>
      <c r="T18" s="83"/>
      <c r="U18" s="83"/>
      <c r="V18" s="83"/>
    </row>
    <row r="19" spans="1:35" ht="24.95" customHeight="1">
      <c r="A19" s="87"/>
      <c r="B19" s="83"/>
      <c r="C19" s="83"/>
      <c r="D19" s="83"/>
      <c r="E19" s="142"/>
      <c r="F19" s="1018" t="s">
        <v>389</v>
      </c>
      <c r="G19" s="1018"/>
      <c r="H19" s="1018"/>
      <c r="I19" s="1018"/>
      <c r="J19" s="1018"/>
      <c r="K19" s="1018"/>
      <c r="L19" s="1018"/>
      <c r="M19" s="136"/>
      <c r="N19" s="126"/>
      <c r="O19" s="126"/>
      <c r="P19" s="126"/>
      <c r="Q19" s="126"/>
      <c r="R19" s="126"/>
      <c r="S19" s="126"/>
      <c r="T19" s="126"/>
      <c r="U19" s="126"/>
      <c r="V19" s="126"/>
      <c r="W19" s="121"/>
      <c r="X19" s="121"/>
      <c r="Y19" s="121"/>
      <c r="Z19" s="121"/>
      <c r="AA19" s="121"/>
      <c r="AB19" s="121"/>
      <c r="AC19" s="121"/>
      <c r="AD19" s="121"/>
      <c r="AE19" s="121"/>
      <c r="AF19" s="121"/>
      <c r="AG19" s="121"/>
      <c r="AH19" s="121"/>
      <c r="AI19" s="121"/>
    </row>
    <row r="20" spans="1:35" ht="24.95" customHeight="1">
      <c r="A20" s="130"/>
      <c r="B20" s="79"/>
      <c r="C20" s="79"/>
      <c r="D20" s="79"/>
      <c r="E20" s="79"/>
      <c r="F20" s="79"/>
      <c r="G20" s="79"/>
      <c r="H20" s="79"/>
      <c r="I20" s="79"/>
      <c r="J20" s="79"/>
      <c r="K20" s="79"/>
      <c r="L20" s="79"/>
      <c r="M20" s="87"/>
      <c r="N20" s="83"/>
      <c r="O20" s="83"/>
      <c r="P20" s="83"/>
      <c r="Q20" s="83"/>
      <c r="R20" s="83"/>
      <c r="S20" s="83"/>
      <c r="T20" s="83"/>
      <c r="U20" s="83"/>
      <c r="V20" s="83"/>
    </row>
    <row r="21" spans="1:35" ht="24.95" customHeight="1">
      <c r="L21" s="135" t="s">
        <v>391</v>
      </c>
      <c r="N21" s="83"/>
      <c r="O21" s="83"/>
      <c r="P21" s="83"/>
      <c r="Q21" s="83"/>
      <c r="R21" s="83"/>
      <c r="S21" s="83"/>
      <c r="T21" s="83"/>
      <c r="U21" s="83"/>
      <c r="V21" s="83"/>
    </row>
    <row r="22" spans="1:35" ht="24.95" customHeight="1">
      <c r="N22" s="83"/>
      <c r="O22" s="83"/>
      <c r="P22" s="83"/>
      <c r="Q22" s="83"/>
      <c r="R22" s="83"/>
      <c r="S22" s="83"/>
      <c r="T22" s="83"/>
      <c r="U22" s="83"/>
      <c r="V22" s="83"/>
    </row>
    <row r="23" spans="1:35" ht="24.95" customHeight="1">
      <c r="A23" s="1021" t="s">
        <v>390</v>
      </c>
      <c r="B23" s="739"/>
      <c r="C23" s="739"/>
      <c r="D23" s="739"/>
      <c r="E23" s="739"/>
      <c r="F23" s="739"/>
      <c r="G23" s="739"/>
      <c r="H23" s="739"/>
      <c r="I23" s="739"/>
      <c r="J23" s="739"/>
      <c r="K23" s="739"/>
      <c r="L23" s="739"/>
      <c r="M23" s="739"/>
      <c r="N23" s="135"/>
      <c r="O23" s="135"/>
      <c r="P23" s="135"/>
      <c r="Q23" s="135"/>
      <c r="R23" s="135"/>
      <c r="S23" s="83"/>
      <c r="T23" s="83"/>
      <c r="U23" s="83"/>
      <c r="V23" s="83"/>
    </row>
    <row r="24" spans="1:35" ht="24.95" customHeight="1">
      <c r="A24" s="1026" t="s">
        <v>395</v>
      </c>
      <c r="B24" s="1027"/>
      <c r="C24" s="1027"/>
      <c r="D24" s="1027"/>
      <c r="E24" s="1027"/>
      <c r="F24" s="1027"/>
      <c r="G24" s="1027"/>
      <c r="H24" s="1027"/>
      <c r="I24" s="1027"/>
      <c r="J24" s="1027"/>
      <c r="K24" s="1027"/>
      <c r="L24" s="1027"/>
      <c r="M24" s="133" t="s">
        <v>795</v>
      </c>
      <c r="N24" s="120"/>
      <c r="O24" s="120"/>
      <c r="P24" s="120"/>
      <c r="Q24" s="120"/>
      <c r="R24" s="141"/>
      <c r="S24" s="83"/>
      <c r="T24" s="83"/>
      <c r="U24" s="83"/>
      <c r="V24" s="83"/>
    </row>
    <row r="25" spans="1:35" ht="24.95" customHeight="1">
      <c r="A25" s="87"/>
      <c r="B25" s="83"/>
      <c r="C25" s="83"/>
      <c r="D25" s="83"/>
      <c r="E25" s="83"/>
      <c r="F25" s="83"/>
      <c r="G25" s="83"/>
      <c r="H25" s="83"/>
      <c r="I25" s="83"/>
      <c r="J25" s="83"/>
      <c r="K25" s="83"/>
      <c r="L25" s="83"/>
      <c r="M25" s="89"/>
      <c r="N25" s="83"/>
      <c r="O25" s="83"/>
      <c r="P25" s="83"/>
      <c r="Q25" s="83"/>
      <c r="R25" s="83"/>
      <c r="S25" s="83"/>
      <c r="T25" s="83"/>
      <c r="U25" s="83"/>
      <c r="V25" s="83"/>
    </row>
    <row r="26" spans="1:35" ht="24.95" customHeight="1">
      <c r="A26" s="87"/>
      <c r="B26" s="108"/>
      <c r="C26" s="108"/>
      <c r="D26" s="108"/>
      <c r="E26" s="108"/>
      <c r="F26" s="108"/>
      <c r="G26" s="108"/>
      <c r="H26" s="108"/>
      <c r="I26" s="108"/>
      <c r="J26" s="108"/>
      <c r="K26" s="108"/>
      <c r="L26" s="108"/>
      <c r="M26" s="128"/>
      <c r="N26" s="108"/>
      <c r="O26" s="108"/>
      <c r="P26" s="108"/>
      <c r="Q26" s="108"/>
      <c r="R26" s="108"/>
      <c r="S26" s="83"/>
      <c r="T26" s="83"/>
      <c r="U26" s="83"/>
      <c r="V26" s="83"/>
    </row>
    <row r="27" spans="1:35" ht="24.95" customHeight="1">
      <c r="A27" s="87"/>
      <c r="B27" s="1025" t="s">
        <v>1492</v>
      </c>
      <c r="C27" s="1023"/>
      <c r="D27" s="1023"/>
      <c r="E27" s="1023"/>
      <c r="F27" s="1023"/>
      <c r="G27" s="1023"/>
      <c r="H27" s="1023"/>
      <c r="I27" s="1023"/>
      <c r="J27" s="1023"/>
      <c r="K27" s="1023"/>
      <c r="L27" s="1023"/>
      <c r="M27" s="1024"/>
      <c r="N27" s="134"/>
      <c r="O27" s="134"/>
      <c r="P27" s="134"/>
      <c r="Q27" s="134"/>
      <c r="R27" s="134"/>
      <c r="S27" s="83"/>
      <c r="T27" s="83"/>
      <c r="U27" s="83"/>
      <c r="V27" s="83"/>
    </row>
    <row r="28" spans="1:35" ht="24.95" customHeight="1">
      <c r="A28" s="87"/>
      <c r="B28" s="1023" t="s">
        <v>1488</v>
      </c>
      <c r="C28" s="1023"/>
      <c r="D28" s="1023"/>
      <c r="E28" s="1023"/>
      <c r="F28" s="1023"/>
      <c r="G28" s="1023"/>
      <c r="H28" s="1023"/>
      <c r="I28" s="1023"/>
      <c r="J28" s="1023"/>
      <c r="K28" s="1023"/>
      <c r="L28" s="1023"/>
      <c r="M28" s="1024"/>
      <c r="N28" s="134"/>
      <c r="O28" s="134"/>
      <c r="P28" s="134"/>
      <c r="Q28" s="134"/>
      <c r="R28" s="134"/>
      <c r="S28" s="83"/>
      <c r="T28" s="83"/>
      <c r="U28" s="83"/>
      <c r="V28" s="83"/>
    </row>
    <row r="29" spans="1:35" ht="24.95" customHeight="1">
      <c r="A29" s="87"/>
      <c r="B29" s="1023" t="s">
        <v>1489</v>
      </c>
      <c r="C29" s="1023"/>
      <c r="D29" s="1023"/>
      <c r="E29" s="1023"/>
      <c r="F29" s="1023"/>
      <c r="G29" s="1023"/>
      <c r="H29" s="1023"/>
      <c r="I29" s="1023"/>
      <c r="J29" s="1023"/>
      <c r="K29" s="1023"/>
      <c r="L29" s="1023"/>
      <c r="M29" s="1024"/>
      <c r="N29" s="134"/>
      <c r="O29" s="134"/>
      <c r="P29" s="134"/>
      <c r="Q29" s="134"/>
      <c r="R29" s="134"/>
      <c r="S29" s="83"/>
      <c r="T29" s="83"/>
      <c r="U29" s="83"/>
      <c r="V29" s="83"/>
    </row>
    <row r="30" spans="1:35" ht="24.95" customHeight="1">
      <c r="A30" s="87"/>
      <c r="B30" s="1023"/>
      <c r="C30" s="1023"/>
      <c r="D30" s="1023"/>
      <c r="E30" s="1023"/>
      <c r="F30" s="1023"/>
      <c r="G30" s="1023"/>
      <c r="H30" s="1023"/>
      <c r="I30" s="1023"/>
      <c r="J30" s="1023"/>
      <c r="K30" s="1023"/>
      <c r="L30" s="1023"/>
      <c r="M30" s="1024"/>
      <c r="N30" s="134"/>
      <c r="O30" s="134"/>
      <c r="P30" s="134"/>
      <c r="Q30" s="134"/>
      <c r="R30" s="134"/>
      <c r="S30" s="83"/>
      <c r="T30" s="83"/>
      <c r="U30" s="83"/>
      <c r="V30" s="83"/>
    </row>
    <row r="31" spans="1:35" ht="24.95" customHeight="1">
      <c r="A31" s="87"/>
      <c r="B31" s="1041" t="s">
        <v>1493</v>
      </c>
      <c r="C31" s="1042"/>
      <c r="D31" s="1042"/>
      <c r="E31" s="1042"/>
      <c r="F31" s="1042"/>
      <c r="G31" s="1042"/>
      <c r="H31" s="1042"/>
      <c r="I31" s="1042"/>
      <c r="J31" s="1042"/>
      <c r="K31" s="1042"/>
      <c r="L31" s="1042"/>
      <c r="M31" s="1043"/>
      <c r="N31" s="140"/>
      <c r="O31" s="140"/>
      <c r="P31" s="140"/>
      <c r="Q31" s="140"/>
      <c r="R31" s="140"/>
      <c r="S31" s="83"/>
      <c r="T31" s="83"/>
      <c r="U31" s="83"/>
      <c r="V31" s="83"/>
    </row>
    <row r="32" spans="1:35" ht="24.95" customHeight="1">
      <c r="A32" s="87"/>
      <c r="B32" s="1041" t="s">
        <v>1494</v>
      </c>
      <c r="C32" s="1042"/>
      <c r="D32" s="1042"/>
      <c r="E32" s="1042"/>
      <c r="F32" s="1042"/>
      <c r="G32" s="1042"/>
      <c r="H32" s="1042"/>
      <c r="I32" s="1042"/>
      <c r="J32" s="1042"/>
      <c r="K32" s="1042"/>
      <c r="L32" s="1042"/>
      <c r="M32" s="1043"/>
      <c r="N32" s="140"/>
      <c r="O32" s="140"/>
      <c r="P32" s="140"/>
      <c r="Q32" s="140"/>
      <c r="R32" s="140"/>
      <c r="S32" s="83"/>
      <c r="T32" s="83"/>
      <c r="U32" s="83"/>
      <c r="V32" s="83"/>
    </row>
    <row r="33" spans="1:22" ht="24.95" customHeight="1">
      <c r="A33" s="87"/>
      <c r="B33" s="1042" t="s">
        <v>1490</v>
      </c>
      <c r="C33" s="1042"/>
      <c r="D33" s="1042"/>
      <c r="E33" s="1042"/>
      <c r="F33" s="1042"/>
      <c r="G33" s="1042"/>
      <c r="H33" s="1042"/>
      <c r="I33" s="1042"/>
      <c r="J33" s="1042"/>
      <c r="K33" s="1042"/>
      <c r="L33" s="1042"/>
      <c r="M33" s="1043"/>
      <c r="N33" s="140"/>
      <c r="O33" s="140"/>
      <c r="P33" s="140"/>
      <c r="Q33" s="140"/>
      <c r="R33" s="140"/>
      <c r="S33" s="83"/>
      <c r="T33" s="83"/>
      <c r="U33" s="83"/>
      <c r="V33" s="83"/>
    </row>
    <row r="34" spans="1:22" ht="24.95" customHeight="1">
      <c r="A34" s="87"/>
      <c r="B34" s="1042" t="s">
        <v>1491</v>
      </c>
      <c r="C34" s="1042"/>
      <c r="D34" s="1042"/>
      <c r="E34" s="1042"/>
      <c r="F34" s="1042"/>
      <c r="G34" s="1042"/>
      <c r="H34" s="1042"/>
      <c r="I34" s="1042"/>
      <c r="J34" s="1042"/>
      <c r="K34" s="1042"/>
      <c r="L34" s="1042"/>
      <c r="M34" s="1043"/>
      <c r="N34" s="140"/>
      <c r="O34" s="140"/>
      <c r="P34" s="140"/>
      <c r="Q34" s="140"/>
      <c r="R34" s="140"/>
      <c r="S34" s="83"/>
      <c r="T34" s="83"/>
      <c r="U34" s="83"/>
      <c r="V34" s="83"/>
    </row>
    <row r="35" spans="1:22" ht="24.95" customHeight="1">
      <c r="A35" s="87"/>
      <c r="B35" s="108"/>
      <c r="C35" s="108"/>
      <c r="D35" s="108"/>
      <c r="E35" s="108"/>
      <c r="F35" s="108"/>
      <c r="G35" s="108"/>
      <c r="H35" s="108"/>
      <c r="I35" s="108"/>
      <c r="J35" s="108"/>
      <c r="K35" s="108"/>
      <c r="L35" s="108"/>
      <c r="M35" s="128"/>
      <c r="N35" s="108"/>
      <c r="O35" s="108"/>
      <c r="P35" s="108"/>
      <c r="Q35" s="108"/>
      <c r="R35" s="108"/>
      <c r="S35" s="83"/>
      <c r="T35" s="83"/>
      <c r="U35" s="83"/>
      <c r="V35" s="83"/>
    </row>
    <row r="36" spans="1:22" ht="24.95" customHeight="1">
      <c r="A36" s="87"/>
      <c r="B36" s="83"/>
      <c r="C36" s="83"/>
      <c r="D36" s="83"/>
      <c r="E36" s="83"/>
      <c r="F36" s="83"/>
      <c r="G36" s="83"/>
      <c r="H36" s="83"/>
      <c r="I36" s="83"/>
      <c r="J36" s="83"/>
      <c r="K36" s="83"/>
      <c r="L36" s="83"/>
      <c r="M36" s="89"/>
      <c r="N36" s="83"/>
      <c r="O36" s="83"/>
      <c r="P36" s="83"/>
      <c r="Q36" s="83"/>
      <c r="R36" s="83"/>
      <c r="S36" s="83"/>
      <c r="T36" s="83"/>
      <c r="U36" s="83"/>
      <c r="V36" s="83"/>
    </row>
    <row r="37" spans="1:22" ht="24.95" customHeight="1">
      <c r="A37" s="87"/>
      <c r="B37" s="83"/>
      <c r="C37" s="83"/>
      <c r="D37" s="83"/>
      <c r="E37" s="83"/>
      <c r="F37" s="83"/>
      <c r="G37" s="83"/>
      <c r="H37" s="83"/>
      <c r="I37" s="83"/>
      <c r="J37" s="83"/>
      <c r="K37" s="83"/>
      <c r="L37" s="83"/>
      <c r="M37" s="89"/>
      <c r="N37" s="83"/>
      <c r="O37" s="83"/>
      <c r="P37" s="83"/>
      <c r="Q37" s="83"/>
      <c r="R37" s="83"/>
      <c r="S37" s="83"/>
      <c r="T37" s="83"/>
      <c r="U37" s="83"/>
      <c r="V37" s="83"/>
    </row>
    <row r="38" spans="1:22" ht="24.95" customHeight="1">
      <c r="A38" s="87"/>
      <c r="B38" s="83"/>
      <c r="C38" s="83"/>
      <c r="D38" s="83"/>
      <c r="E38" s="83"/>
      <c r="F38" s="83"/>
      <c r="G38" s="83"/>
      <c r="H38" s="83"/>
      <c r="I38" s="83"/>
      <c r="J38" s="83"/>
      <c r="K38" s="83"/>
      <c r="L38" s="83"/>
      <c r="M38" s="89"/>
      <c r="N38" s="83"/>
      <c r="O38" s="83"/>
      <c r="P38" s="83"/>
      <c r="Q38" s="83"/>
      <c r="R38" s="83"/>
      <c r="S38" s="83"/>
      <c r="T38" s="83"/>
      <c r="U38" s="83"/>
      <c r="V38" s="83"/>
    </row>
    <row r="39" spans="1:22" ht="24.95" customHeight="1">
      <c r="A39" s="87"/>
      <c r="B39" s="83"/>
      <c r="C39" s="83"/>
      <c r="D39" s="83"/>
      <c r="E39" s="83"/>
      <c r="F39" s="83"/>
      <c r="G39" s="83"/>
      <c r="H39" s="83"/>
      <c r="I39" s="83"/>
      <c r="J39" s="83"/>
      <c r="K39" s="83"/>
      <c r="L39" s="83"/>
      <c r="M39" s="89"/>
      <c r="N39" s="83"/>
      <c r="O39" s="83"/>
      <c r="P39" s="83"/>
      <c r="Q39" s="83"/>
      <c r="R39" s="83"/>
      <c r="S39" s="83"/>
      <c r="T39" s="83"/>
      <c r="U39" s="83"/>
      <c r="V39" s="83"/>
    </row>
    <row r="40" spans="1:22" ht="24.95" customHeight="1">
      <c r="A40" s="87"/>
      <c r="B40" s="83"/>
      <c r="C40" s="83"/>
      <c r="D40" s="83"/>
      <c r="E40" s="83"/>
      <c r="F40" s="83"/>
      <c r="G40" s="83"/>
      <c r="H40" s="83"/>
      <c r="I40" s="83"/>
      <c r="J40" s="83"/>
      <c r="K40" s="83"/>
      <c r="L40" s="83"/>
      <c r="M40" s="89"/>
      <c r="N40" s="83"/>
      <c r="O40" s="83"/>
      <c r="P40" s="83"/>
      <c r="Q40" s="83"/>
      <c r="R40" s="83"/>
      <c r="S40" s="83"/>
      <c r="T40" s="83"/>
      <c r="U40" s="83"/>
      <c r="V40" s="83"/>
    </row>
    <row r="41" spans="1:22" ht="24.95" customHeight="1">
      <c r="A41" s="130"/>
      <c r="B41" s="79"/>
      <c r="C41" s="79"/>
      <c r="D41" s="79"/>
      <c r="E41" s="79"/>
      <c r="F41" s="79"/>
      <c r="G41" s="79"/>
      <c r="H41" s="79"/>
      <c r="I41" s="79"/>
      <c r="J41" s="79"/>
      <c r="K41" s="79"/>
      <c r="L41" s="79"/>
      <c r="M41" s="131"/>
      <c r="N41" s="83"/>
      <c r="O41" s="83"/>
      <c r="P41" s="83"/>
      <c r="Q41" s="83"/>
      <c r="R41" s="83"/>
      <c r="S41" s="83"/>
      <c r="T41" s="83"/>
      <c r="U41" s="83"/>
      <c r="V41" s="83"/>
    </row>
    <row r="42" spans="1:22" ht="24.95" customHeight="1">
      <c r="N42" s="83"/>
      <c r="O42" s="83"/>
      <c r="P42" s="83"/>
      <c r="Q42" s="83"/>
      <c r="R42" s="83"/>
      <c r="S42" s="83"/>
      <c r="T42" s="83"/>
      <c r="U42" s="83"/>
      <c r="V42" s="83"/>
    </row>
    <row r="43" spans="1:22" ht="24.95" customHeight="1">
      <c r="N43" s="83"/>
      <c r="O43" s="83"/>
      <c r="P43" s="83"/>
      <c r="Q43" s="83"/>
      <c r="R43" s="83"/>
      <c r="S43" s="83"/>
      <c r="T43" s="83"/>
      <c r="U43" s="83"/>
      <c r="V43" s="83"/>
    </row>
    <row r="44" spans="1:22" ht="24.95" customHeight="1">
      <c r="L44" s="118" t="s">
        <v>394</v>
      </c>
      <c r="N44" s="83"/>
      <c r="O44" s="83"/>
      <c r="P44" s="83"/>
      <c r="Q44" s="83"/>
      <c r="R44" s="83"/>
      <c r="S44" s="83"/>
      <c r="T44" s="83"/>
      <c r="U44" s="83"/>
      <c r="V44" s="83"/>
    </row>
    <row r="45" spans="1:22" ht="24.95" customHeight="1">
      <c r="A45" s="677" t="s">
        <v>393</v>
      </c>
      <c r="B45" s="677"/>
      <c r="C45" s="677"/>
      <c r="D45" s="677"/>
      <c r="E45" s="677"/>
      <c r="F45" s="677"/>
      <c r="G45" s="677"/>
      <c r="H45" s="677"/>
      <c r="I45" s="677"/>
      <c r="J45" s="677"/>
      <c r="K45" s="677"/>
      <c r="L45" s="677"/>
      <c r="M45" s="677"/>
      <c r="N45" s="135"/>
      <c r="O45" s="135"/>
      <c r="P45" s="135"/>
      <c r="Q45" s="135"/>
      <c r="R45" s="135"/>
      <c r="S45" s="83"/>
      <c r="T45" s="83"/>
      <c r="U45" s="83"/>
      <c r="V45" s="83"/>
    </row>
    <row r="46" spans="1:22" ht="24.95" customHeight="1">
      <c r="A46" s="677" t="s">
        <v>958</v>
      </c>
      <c r="B46" s="677"/>
      <c r="C46" s="677"/>
      <c r="D46" s="677"/>
      <c r="E46" s="677"/>
      <c r="F46" s="677"/>
      <c r="G46" s="677"/>
      <c r="H46" s="677"/>
      <c r="I46" s="677"/>
      <c r="J46" s="677"/>
      <c r="K46" s="677"/>
      <c r="L46" s="677"/>
      <c r="M46" s="141" t="s">
        <v>795</v>
      </c>
      <c r="N46" s="83"/>
      <c r="O46" s="83"/>
      <c r="P46" s="83"/>
      <c r="Q46" s="83"/>
      <c r="R46" s="83"/>
      <c r="S46" s="83"/>
      <c r="T46" s="83"/>
      <c r="U46" s="83"/>
      <c r="V46" s="83"/>
    </row>
    <row r="47" spans="1:22" ht="24.95" customHeight="1">
      <c r="A47" s="677" t="s">
        <v>1349</v>
      </c>
      <c r="B47" s="677"/>
      <c r="C47" s="677"/>
      <c r="D47" s="677"/>
      <c r="E47" s="677"/>
      <c r="F47" s="677"/>
      <c r="G47" s="677"/>
      <c r="H47" s="677"/>
      <c r="I47" s="677"/>
      <c r="J47" s="677"/>
      <c r="K47" s="677"/>
      <c r="L47" s="677"/>
      <c r="M47" s="673"/>
      <c r="N47" s="83"/>
      <c r="O47" s="83"/>
      <c r="P47" s="83"/>
      <c r="Q47" s="83"/>
      <c r="R47" s="83"/>
      <c r="S47" s="83"/>
      <c r="T47" s="83"/>
      <c r="U47" s="83"/>
      <c r="V47" s="83"/>
    </row>
    <row r="48" spans="1:22" ht="24.95" customHeight="1" thickBot="1">
      <c r="A48" s="690"/>
      <c r="B48" s="690"/>
      <c r="C48" s="690"/>
      <c r="D48" s="690"/>
      <c r="E48" s="690"/>
      <c r="F48" s="690"/>
      <c r="G48" s="690"/>
      <c r="H48" s="690"/>
      <c r="I48" s="690"/>
      <c r="J48" s="998" t="s">
        <v>959</v>
      </c>
      <c r="K48" s="998"/>
      <c r="L48" s="998"/>
      <c r="M48" s="690"/>
      <c r="N48" s="83"/>
      <c r="O48" s="83"/>
      <c r="P48" s="83"/>
      <c r="Q48" s="83"/>
      <c r="R48" s="83"/>
      <c r="S48" s="83"/>
      <c r="T48" s="83"/>
      <c r="U48" s="83"/>
      <c r="V48" s="83"/>
    </row>
    <row r="49" spans="1:22" ht="24.95" customHeight="1" thickTop="1">
      <c r="A49" s="999" t="s">
        <v>960</v>
      </c>
      <c r="B49" s="1000"/>
      <c r="C49" s="1000"/>
      <c r="D49" s="1001"/>
      <c r="E49" s="1012" t="s">
        <v>961</v>
      </c>
      <c r="F49" s="1012" t="s">
        <v>962</v>
      </c>
      <c r="G49" s="1012" t="s">
        <v>963</v>
      </c>
      <c r="H49" s="1049" t="s">
        <v>1382</v>
      </c>
      <c r="I49" s="941"/>
      <c r="J49" s="941"/>
      <c r="K49" s="941"/>
      <c r="L49" s="942"/>
      <c r="M49" s="1012" t="s">
        <v>964</v>
      </c>
      <c r="N49" s="83"/>
      <c r="O49" s="83"/>
      <c r="P49" s="83"/>
      <c r="Q49" s="83"/>
      <c r="R49" s="83"/>
      <c r="S49" s="83"/>
      <c r="T49" s="83"/>
      <c r="U49" s="83"/>
      <c r="V49" s="83"/>
    </row>
    <row r="50" spans="1:22" ht="24.95" customHeight="1">
      <c r="A50" s="1002"/>
      <c r="B50" s="1003"/>
      <c r="C50" s="1003"/>
      <c r="D50" s="1004"/>
      <c r="E50" s="1013"/>
      <c r="F50" s="1013"/>
      <c r="G50" s="1015"/>
      <c r="H50" s="1050" t="s">
        <v>1381</v>
      </c>
      <c r="I50" s="1050" t="s">
        <v>969</v>
      </c>
      <c r="J50" s="1050" t="s">
        <v>970</v>
      </c>
      <c r="K50" s="1050" t="s">
        <v>971</v>
      </c>
      <c r="L50" s="1050" t="s">
        <v>972</v>
      </c>
      <c r="M50" s="1015"/>
      <c r="N50" s="83"/>
      <c r="O50" s="83"/>
      <c r="P50" s="83"/>
      <c r="Q50" s="83"/>
      <c r="R50" s="83"/>
      <c r="S50" s="83"/>
      <c r="T50" s="83"/>
      <c r="U50" s="83"/>
      <c r="V50" s="83"/>
    </row>
    <row r="51" spans="1:22" ht="24.95" customHeight="1" thickBot="1">
      <c r="A51" s="1005"/>
      <c r="B51" s="1006"/>
      <c r="C51" s="1006"/>
      <c r="D51" s="1007"/>
      <c r="E51" s="1014"/>
      <c r="F51" s="1014"/>
      <c r="G51" s="1016"/>
      <c r="H51" s="1051"/>
      <c r="I51" s="1051"/>
      <c r="J51" s="1051"/>
      <c r="K51" s="1051"/>
      <c r="L51" s="1051"/>
      <c r="M51" s="1016"/>
      <c r="N51" s="83"/>
      <c r="O51" s="83"/>
      <c r="P51" s="83"/>
      <c r="Q51" s="83"/>
      <c r="R51" s="83"/>
      <c r="S51" s="83"/>
      <c r="T51" s="83"/>
      <c r="U51" s="83"/>
      <c r="V51" s="83"/>
    </row>
    <row r="52" spans="1:22" ht="24.95" customHeight="1" thickTop="1">
      <c r="A52" s="979" t="s">
        <v>1495</v>
      </c>
      <c r="B52" s="979"/>
      <c r="C52" s="979"/>
      <c r="D52" s="979"/>
      <c r="E52" s="644" t="s">
        <v>1497</v>
      </c>
      <c r="F52" s="342">
        <v>2800000</v>
      </c>
      <c r="G52" s="342"/>
      <c r="H52" s="342">
        <f>F52*0.05</f>
        <v>140000</v>
      </c>
      <c r="I52" s="342"/>
      <c r="J52" s="342"/>
      <c r="K52" s="342"/>
      <c r="L52" s="342">
        <f>F52-H52</f>
        <v>2660000</v>
      </c>
      <c r="M52" s="641"/>
      <c r="N52" s="83"/>
      <c r="O52" s="83"/>
      <c r="P52" s="83"/>
      <c r="Q52" s="83"/>
      <c r="R52" s="83"/>
      <c r="S52" s="83"/>
      <c r="T52" s="83"/>
      <c r="U52" s="83"/>
      <c r="V52" s="83"/>
    </row>
    <row r="53" spans="1:22" ht="24.95" customHeight="1">
      <c r="A53" s="979" t="s">
        <v>1496</v>
      </c>
      <c r="B53" s="979"/>
      <c r="C53" s="979"/>
      <c r="D53" s="979"/>
      <c r="E53" s="645" t="s">
        <v>1498</v>
      </c>
      <c r="F53" s="349">
        <v>2000000</v>
      </c>
      <c r="G53" s="349"/>
      <c r="H53" s="342">
        <f>F53*0.05</f>
        <v>100000</v>
      </c>
      <c r="I53" s="349"/>
      <c r="J53" s="349"/>
      <c r="K53" s="349"/>
      <c r="L53" s="342">
        <f t="shared" ref="L53:L55" si="0">F53-H53</f>
        <v>1900000</v>
      </c>
      <c r="M53" s="643"/>
      <c r="N53" s="83"/>
      <c r="O53" s="83"/>
      <c r="P53" s="83"/>
      <c r="Q53" s="83"/>
      <c r="R53" s="83"/>
      <c r="S53" s="83"/>
      <c r="T53" s="83"/>
      <c r="U53" s="83"/>
      <c r="V53" s="83"/>
    </row>
    <row r="54" spans="1:22" ht="24.95" customHeight="1">
      <c r="A54" s="1017" t="s">
        <v>1504</v>
      </c>
      <c r="B54" s="979"/>
      <c r="C54" s="979"/>
      <c r="D54" s="979"/>
      <c r="E54" s="645" t="s">
        <v>1499</v>
      </c>
      <c r="F54" s="349">
        <v>696000</v>
      </c>
      <c r="G54" s="349"/>
      <c r="H54" s="342">
        <f>F54*0.05</f>
        <v>34800</v>
      </c>
      <c r="I54" s="349"/>
      <c r="J54" s="349"/>
      <c r="K54" s="349"/>
      <c r="L54" s="342">
        <f t="shared" si="0"/>
        <v>661200</v>
      </c>
      <c r="M54" s="643"/>
      <c r="N54" s="83"/>
      <c r="O54" s="83"/>
      <c r="P54" s="83"/>
      <c r="Q54" s="83"/>
      <c r="R54" s="83"/>
      <c r="S54" s="83"/>
      <c r="T54" s="83"/>
      <c r="U54" s="83"/>
      <c r="V54" s="83"/>
    </row>
    <row r="55" spans="1:22" ht="24.95" customHeight="1">
      <c r="A55" s="1017" t="s">
        <v>1503</v>
      </c>
      <c r="B55" s="979"/>
      <c r="C55" s="979"/>
      <c r="D55" s="979"/>
      <c r="E55" s="645" t="s">
        <v>1500</v>
      </c>
      <c r="F55" s="349">
        <v>1485000</v>
      </c>
      <c r="G55" s="349"/>
      <c r="H55" s="349">
        <f>F55*0.05</f>
        <v>74250</v>
      </c>
      <c r="I55" s="349"/>
      <c r="J55" s="349"/>
      <c r="K55" s="349"/>
      <c r="L55" s="342">
        <f t="shared" si="0"/>
        <v>1410750</v>
      </c>
      <c r="M55" s="643"/>
      <c r="N55" s="83"/>
      <c r="O55" s="83"/>
      <c r="P55" s="83"/>
      <c r="Q55" s="83"/>
      <c r="R55" s="83"/>
      <c r="S55" s="83"/>
      <c r="T55" s="83"/>
      <c r="U55" s="83"/>
      <c r="V55" s="83"/>
    </row>
    <row r="56" spans="1:22" ht="24.95" customHeight="1">
      <c r="A56" s="979"/>
      <c r="B56" s="979"/>
      <c r="C56" s="979"/>
      <c r="D56" s="979"/>
      <c r="E56" s="645"/>
      <c r="F56" s="349"/>
      <c r="G56" s="349"/>
      <c r="H56" s="349"/>
      <c r="I56" s="349"/>
      <c r="J56" s="349"/>
      <c r="K56" s="349"/>
      <c r="L56" s="342"/>
      <c r="M56" s="643"/>
      <c r="N56" s="83"/>
      <c r="O56" s="83"/>
      <c r="P56" s="83"/>
      <c r="Q56" s="83"/>
      <c r="R56" s="83"/>
      <c r="S56" s="83"/>
      <c r="T56" s="83"/>
      <c r="U56" s="83"/>
      <c r="V56" s="83"/>
    </row>
    <row r="57" spans="1:22" ht="24.95" customHeight="1">
      <c r="A57" s="979"/>
      <c r="B57" s="979"/>
      <c r="C57" s="979"/>
      <c r="D57" s="979"/>
      <c r="E57" s="645"/>
      <c r="F57" s="349"/>
      <c r="G57" s="349"/>
      <c r="H57" s="349"/>
      <c r="I57" s="349"/>
      <c r="J57" s="349"/>
      <c r="K57" s="349"/>
      <c r="L57" s="349"/>
      <c r="M57" s="643"/>
      <c r="N57" s="83"/>
      <c r="O57" s="83"/>
      <c r="P57" s="83"/>
      <c r="Q57" s="83"/>
      <c r="R57" s="83"/>
      <c r="S57" s="83"/>
      <c r="T57" s="83"/>
      <c r="U57" s="83"/>
      <c r="V57" s="83"/>
    </row>
    <row r="58" spans="1:22" ht="24.95" customHeight="1">
      <c r="A58" s="979"/>
      <c r="B58" s="979"/>
      <c r="C58" s="979"/>
      <c r="D58" s="979"/>
      <c r="E58" s="645"/>
      <c r="F58" s="349"/>
      <c r="G58" s="349"/>
      <c r="H58" s="349"/>
      <c r="I58" s="349"/>
      <c r="J58" s="349"/>
      <c r="K58" s="349"/>
      <c r="L58" s="349"/>
      <c r="M58" s="643"/>
      <c r="N58" s="83"/>
      <c r="O58" s="83"/>
      <c r="P58" s="83"/>
      <c r="Q58" s="83"/>
      <c r="R58" s="83"/>
      <c r="S58" s="83"/>
      <c r="T58" s="83"/>
      <c r="U58" s="83"/>
      <c r="V58" s="83"/>
    </row>
    <row r="59" spans="1:22" ht="24.95" customHeight="1">
      <c r="A59" s="979"/>
      <c r="B59" s="979"/>
      <c r="C59" s="979"/>
      <c r="D59" s="979"/>
      <c r="E59" s="645"/>
      <c r="F59" s="349"/>
      <c r="G59" s="349"/>
      <c r="H59" s="349"/>
      <c r="I59" s="349"/>
      <c r="J59" s="349"/>
      <c r="K59" s="349"/>
      <c r="L59" s="349"/>
      <c r="M59" s="643"/>
      <c r="N59" s="83"/>
      <c r="O59" s="83"/>
      <c r="P59" s="83"/>
      <c r="Q59" s="83"/>
      <c r="R59" s="83"/>
      <c r="S59" s="83"/>
      <c r="T59" s="83"/>
      <c r="U59" s="83"/>
      <c r="V59" s="83"/>
    </row>
    <row r="60" spans="1:22" ht="24.95" customHeight="1">
      <c r="A60" s="985"/>
      <c r="B60" s="985"/>
      <c r="C60" s="985"/>
      <c r="D60" s="985"/>
      <c r="E60" s="84"/>
      <c r="F60" s="7"/>
      <c r="G60" s="7"/>
      <c r="H60" s="7"/>
      <c r="I60" s="7"/>
      <c r="J60" s="7"/>
      <c r="K60" s="7"/>
      <c r="L60" s="7"/>
      <c r="M60" s="7"/>
      <c r="N60" s="83"/>
      <c r="O60" s="83"/>
      <c r="P60" s="83"/>
      <c r="Q60" s="83"/>
      <c r="R60" s="83"/>
      <c r="S60" s="83"/>
      <c r="T60" s="83"/>
      <c r="U60" s="83"/>
      <c r="V60" s="83"/>
    </row>
    <row r="61" spans="1:22" ht="24.95" customHeight="1">
      <c r="A61" s="985"/>
      <c r="B61" s="985"/>
      <c r="C61" s="985"/>
      <c r="D61" s="985"/>
      <c r="E61" s="84"/>
      <c r="F61" s="7"/>
      <c r="G61" s="7"/>
      <c r="H61" s="7"/>
      <c r="I61" s="7"/>
      <c r="J61" s="7"/>
      <c r="K61" s="7"/>
      <c r="L61" s="7"/>
      <c r="M61" s="7"/>
      <c r="N61" s="83"/>
      <c r="O61" s="83"/>
      <c r="P61" s="83"/>
      <c r="Q61" s="83"/>
      <c r="R61" s="83"/>
      <c r="S61" s="83"/>
      <c r="T61" s="83"/>
      <c r="U61" s="83"/>
      <c r="V61" s="83"/>
    </row>
    <row r="62" spans="1:22" ht="24.95" customHeight="1">
      <c r="A62" s="985"/>
      <c r="B62" s="985"/>
      <c r="C62" s="985"/>
      <c r="D62" s="985"/>
      <c r="E62" s="84"/>
      <c r="F62" s="7"/>
      <c r="G62" s="7"/>
      <c r="H62" s="7"/>
      <c r="I62" s="7"/>
      <c r="J62" s="7"/>
      <c r="K62" s="7"/>
      <c r="L62" s="7"/>
      <c r="M62" s="7"/>
      <c r="N62" s="83"/>
      <c r="O62" s="83"/>
      <c r="P62" s="83"/>
      <c r="Q62" s="83"/>
      <c r="R62" s="83"/>
      <c r="S62" s="83"/>
      <c r="T62" s="83"/>
      <c r="U62" s="83"/>
      <c r="V62" s="83"/>
    </row>
    <row r="63" spans="1:22" ht="24.95" customHeight="1">
      <c r="A63" s="985"/>
      <c r="B63" s="985"/>
      <c r="C63" s="985"/>
      <c r="D63" s="985"/>
      <c r="E63" s="84"/>
      <c r="F63" s="7"/>
      <c r="G63" s="7"/>
      <c r="H63" s="7"/>
      <c r="I63" s="7"/>
      <c r="J63" s="7"/>
      <c r="K63" s="7"/>
      <c r="L63" s="7"/>
      <c r="M63" s="7"/>
      <c r="N63" s="83"/>
      <c r="O63" s="83"/>
      <c r="P63" s="83"/>
      <c r="Q63" s="83"/>
      <c r="R63" s="83"/>
      <c r="S63" s="83"/>
      <c r="T63" s="83"/>
      <c r="U63" s="83"/>
      <c r="V63" s="83"/>
    </row>
    <row r="64" spans="1:22" ht="24.95" customHeight="1">
      <c r="A64" s="985"/>
      <c r="B64" s="985"/>
      <c r="C64" s="985"/>
      <c r="D64" s="985"/>
      <c r="E64" s="84"/>
      <c r="F64" s="7"/>
      <c r="G64" s="7"/>
      <c r="H64" s="7"/>
      <c r="I64" s="7"/>
      <c r="J64" s="7"/>
      <c r="K64" s="7"/>
      <c r="L64" s="7"/>
      <c r="M64" s="7"/>
      <c r="N64" s="83"/>
      <c r="O64" s="83"/>
      <c r="P64" s="83"/>
      <c r="Q64" s="83"/>
      <c r="R64" s="83"/>
      <c r="S64" s="83"/>
      <c r="T64" s="83"/>
      <c r="U64" s="83"/>
      <c r="V64" s="83"/>
    </row>
    <row r="65" spans="1:22" ht="24.95" customHeight="1">
      <c r="A65" s="985"/>
      <c r="B65" s="985"/>
      <c r="C65" s="985"/>
      <c r="D65" s="985"/>
      <c r="E65" s="84"/>
      <c r="F65" s="7"/>
      <c r="G65" s="7"/>
      <c r="H65" s="7"/>
      <c r="I65" s="7"/>
      <c r="J65" s="7"/>
      <c r="K65" s="7"/>
      <c r="L65" s="7"/>
      <c r="M65" s="7"/>
      <c r="N65" s="83"/>
      <c r="O65" s="83"/>
      <c r="P65" s="83"/>
      <c r="Q65" s="83"/>
      <c r="R65" s="83"/>
      <c r="S65" s="83"/>
      <c r="T65" s="83"/>
      <c r="U65" s="83"/>
      <c r="V65" s="83"/>
    </row>
    <row r="66" spans="1:22" ht="24.95" customHeight="1">
      <c r="A66" s="985" t="s">
        <v>975</v>
      </c>
      <c r="B66" s="985"/>
      <c r="C66" s="985"/>
      <c r="D66" s="985"/>
      <c r="E66" s="84" t="s">
        <v>99</v>
      </c>
      <c r="F66" s="7">
        <f t="shared" ref="F66:M66" si="1">SUM(F52:F65)</f>
        <v>6981000</v>
      </c>
      <c r="G66" s="7">
        <f t="shared" si="1"/>
        <v>0</v>
      </c>
      <c r="H66" s="7">
        <f t="shared" si="1"/>
        <v>349050</v>
      </c>
      <c r="I66" s="7">
        <f t="shared" si="1"/>
        <v>0</v>
      </c>
      <c r="J66" s="7">
        <f t="shared" si="1"/>
        <v>0</v>
      </c>
      <c r="K66" s="7">
        <f t="shared" si="1"/>
        <v>0</v>
      </c>
      <c r="L66" s="7">
        <f t="shared" si="1"/>
        <v>6631950</v>
      </c>
      <c r="M66" s="7">
        <f t="shared" si="1"/>
        <v>0</v>
      </c>
      <c r="N66" s="83"/>
      <c r="O66" s="83"/>
      <c r="P66" s="83"/>
      <c r="Q66" s="83"/>
      <c r="R66" s="83"/>
      <c r="S66" s="83"/>
      <c r="T66" s="83"/>
      <c r="U66" s="83"/>
      <c r="V66" s="83"/>
    </row>
    <row r="67" spans="1:22" ht="24.95" customHeight="1">
      <c r="A67" s="986" t="s">
        <v>974</v>
      </c>
      <c r="B67" s="986"/>
      <c r="C67" s="986"/>
      <c r="D67" s="986"/>
      <c r="E67" s="986"/>
      <c r="F67" s="986"/>
      <c r="G67" s="986"/>
      <c r="H67" s="986"/>
      <c r="I67" s="986"/>
      <c r="J67" s="986"/>
      <c r="K67" s="986"/>
      <c r="L67" s="986"/>
      <c r="M67" s="118" t="s">
        <v>973</v>
      </c>
      <c r="N67" s="83"/>
      <c r="O67" s="83"/>
      <c r="P67" s="83"/>
      <c r="Q67" s="83"/>
      <c r="R67" s="83"/>
      <c r="S67" s="83"/>
      <c r="T67" s="83"/>
      <c r="U67" s="83"/>
      <c r="V67" s="83"/>
    </row>
    <row r="68" spans="1:22" ht="24.95" customHeight="1">
      <c r="A68" s="677" t="s">
        <v>1501</v>
      </c>
      <c r="B68" s="677"/>
      <c r="C68" s="677"/>
      <c r="D68" s="677"/>
      <c r="E68" s="677"/>
      <c r="F68" s="677"/>
      <c r="G68" s="677"/>
      <c r="H68" s="677"/>
      <c r="I68" s="677"/>
      <c r="J68" s="677"/>
      <c r="K68" s="677"/>
      <c r="L68" s="677"/>
      <c r="M68" s="141" t="s">
        <v>795</v>
      </c>
      <c r="N68" s="83"/>
      <c r="O68" s="83"/>
      <c r="P68" s="83"/>
      <c r="Q68" s="83"/>
      <c r="R68" s="83"/>
      <c r="S68" s="83"/>
      <c r="T68" s="83"/>
      <c r="U68" s="83"/>
      <c r="V68" s="83"/>
    </row>
    <row r="69" spans="1:22" ht="24.95" customHeight="1">
      <c r="A69" s="677" t="s">
        <v>978</v>
      </c>
      <c r="B69" s="677"/>
      <c r="C69" s="677"/>
      <c r="D69" s="677"/>
      <c r="E69" s="677"/>
      <c r="F69" s="677"/>
      <c r="G69" s="677"/>
      <c r="H69" s="677"/>
      <c r="I69" s="677"/>
      <c r="J69" s="677"/>
      <c r="K69" s="677"/>
      <c r="L69" s="677"/>
      <c r="M69" s="673"/>
      <c r="N69" s="83"/>
      <c r="O69" s="83"/>
      <c r="P69" s="83"/>
      <c r="Q69" s="83"/>
      <c r="R69" s="83"/>
      <c r="S69" s="83"/>
      <c r="T69" s="83"/>
      <c r="U69" s="83"/>
      <c r="V69" s="83"/>
    </row>
    <row r="70" spans="1:22" ht="24.95" customHeight="1" thickBot="1">
      <c r="A70" s="690"/>
      <c r="B70" s="690"/>
      <c r="C70" s="690"/>
      <c r="D70" s="690"/>
      <c r="E70" s="690"/>
      <c r="F70" s="690"/>
      <c r="G70" s="690"/>
      <c r="H70" s="690"/>
      <c r="I70" s="690"/>
      <c r="J70" s="998" t="s">
        <v>959</v>
      </c>
      <c r="K70" s="998"/>
      <c r="L70" s="998"/>
      <c r="M70" s="690"/>
      <c r="N70" s="83"/>
      <c r="O70" s="83"/>
      <c r="P70" s="83"/>
      <c r="Q70" s="83"/>
      <c r="R70" s="83"/>
      <c r="S70" s="83"/>
      <c r="T70" s="83"/>
      <c r="U70" s="83"/>
      <c r="V70" s="83"/>
    </row>
    <row r="71" spans="1:22" ht="24.95" customHeight="1" thickTop="1">
      <c r="A71" s="999" t="s">
        <v>960</v>
      </c>
      <c r="B71" s="1000"/>
      <c r="C71" s="1000"/>
      <c r="D71" s="1001"/>
      <c r="E71" s="1012" t="s">
        <v>961</v>
      </c>
      <c r="F71" s="1012" t="s">
        <v>962</v>
      </c>
      <c r="G71" s="1012" t="s">
        <v>979</v>
      </c>
      <c r="H71" s="1008"/>
      <c r="I71" s="1009"/>
      <c r="J71" s="1009"/>
      <c r="K71" s="1009"/>
      <c r="L71" s="1009"/>
      <c r="M71" s="927"/>
      <c r="N71" s="83"/>
      <c r="O71" s="83"/>
      <c r="P71" s="83"/>
      <c r="Q71" s="83"/>
      <c r="R71" s="83"/>
      <c r="S71" s="83"/>
      <c r="T71" s="83"/>
      <c r="U71" s="83"/>
      <c r="V71" s="83"/>
    </row>
    <row r="72" spans="1:22" ht="24.95" customHeight="1">
      <c r="A72" s="1002"/>
      <c r="B72" s="1003"/>
      <c r="C72" s="1003"/>
      <c r="D72" s="1004"/>
      <c r="E72" s="1013"/>
      <c r="F72" s="1013"/>
      <c r="G72" s="1015"/>
      <c r="H72" s="1010" t="s">
        <v>1383</v>
      </c>
      <c r="I72" s="1010" t="s">
        <v>1384</v>
      </c>
      <c r="J72" s="1010" t="s">
        <v>1385</v>
      </c>
      <c r="K72" s="1010" t="s">
        <v>1386</v>
      </c>
      <c r="L72" s="1010" t="s">
        <v>1387</v>
      </c>
      <c r="M72" s="1010" t="s">
        <v>1388</v>
      </c>
      <c r="N72" s="83"/>
      <c r="O72" s="83"/>
      <c r="P72" s="83"/>
      <c r="Q72" s="83"/>
      <c r="R72" s="83"/>
      <c r="S72" s="83"/>
      <c r="T72" s="83"/>
      <c r="U72" s="83"/>
      <c r="V72" s="83"/>
    </row>
    <row r="73" spans="1:22" ht="24.95" customHeight="1" thickBot="1">
      <c r="A73" s="1005"/>
      <c r="B73" s="1006"/>
      <c r="C73" s="1006"/>
      <c r="D73" s="1007"/>
      <c r="E73" s="1014"/>
      <c r="F73" s="1014"/>
      <c r="G73" s="1016"/>
      <c r="H73" s="1011"/>
      <c r="I73" s="1011"/>
      <c r="J73" s="1011"/>
      <c r="K73" s="1011"/>
      <c r="L73" s="1011"/>
      <c r="M73" s="1011"/>
      <c r="N73" s="83"/>
      <c r="O73" s="83"/>
      <c r="P73" s="83"/>
      <c r="Q73" s="83"/>
      <c r="R73" s="83"/>
      <c r="S73" s="83"/>
      <c r="T73" s="83"/>
      <c r="U73" s="83"/>
      <c r="V73" s="83"/>
    </row>
    <row r="74" spans="1:22" ht="24.95" customHeight="1" thickTop="1">
      <c r="A74" s="979" t="s">
        <v>1495</v>
      </c>
      <c r="B74" s="979"/>
      <c r="C74" s="979"/>
      <c r="D74" s="979"/>
      <c r="E74" s="644" t="s">
        <v>1497</v>
      </c>
      <c r="F74" s="342">
        <v>5000000</v>
      </c>
      <c r="G74" s="397" t="s">
        <v>1502</v>
      </c>
      <c r="H74" s="342">
        <v>2800000</v>
      </c>
      <c r="I74" s="349">
        <v>1200000</v>
      </c>
      <c r="J74" s="349">
        <v>1000000</v>
      </c>
      <c r="K74" s="349">
        <v>1000000</v>
      </c>
      <c r="L74" s="349">
        <v>0</v>
      </c>
      <c r="M74" s="349">
        <v>0</v>
      </c>
      <c r="N74" s="83"/>
      <c r="O74" s="83"/>
      <c r="P74" s="83"/>
      <c r="Q74" s="83"/>
      <c r="R74" s="83"/>
      <c r="S74" s="83"/>
      <c r="T74" s="83"/>
      <c r="U74" s="83"/>
      <c r="V74" s="83"/>
    </row>
    <row r="75" spans="1:22" ht="24.95" customHeight="1">
      <c r="A75" s="979" t="s">
        <v>1496</v>
      </c>
      <c r="B75" s="979"/>
      <c r="C75" s="979"/>
      <c r="D75" s="979"/>
      <c r="E75" s="645" t="s">
        <v>1498</v>
      </c>
      <c r="F75" s="349">
        <v>5073000</v>
      </c>
      <c r="G75" s="397" t="s">
        <v>1502</v>
      </c>
      <c r="H75" s="349">
        <v>2000000</v>
      </c>
      <c r="I75" s="342">
        <v>2000000</v>
      </c>
      <c r="J75" s="342">
        <v>1073000</v>
      </c>
      <c r="K75" s="342">
        <v>0</v>
      </c>
      <c r="L75" s="342">
        <v>0</v>
      </c>
      <c r="M75" s="342">
        <v>0</v>
      </c>
      <c r="N75" s="83"/>
      <c r="O75" s="83"/>
      <c r="P75" s="83"/>
      <c r="Q75" s="83"/>
      <c r="R75" s="83"/>
      <c r="S75" s="83"/>
      <c r="T75" s="83"/>
      <c r="U75" s="83"/>
      <c r="V75" s="83"/>
    </row>
    <row r="76" spans="1:22" ht="24.95" customHeight="1">
      <c r="A76" s="1017" t="s">
        <v>1504</v>
      </c>
      <c r="B76" s="979"/>
      <c r="C76" s="979"/>
      <c r="D76" s="979"/>
      <c r="E76" s="645" t="s">
        <v>1499</v>
      </c>
      <c r="F76" s="349">
        <v>2000000</v>
      </c>
      <c r="G76" s="397" t="s">
        <v>1502</v>
      </c>
      <c r="H76" s="349">
        <v>696000</v>
      </c>
      <c r="I76" s="349">
        <v>300000</v>
      </c>
      <c r="J76" s="349">
        <v>500000</v>
      </c>
      <c r="K76" s="349">
        <v>504000</v>
      </c>
      <c r="L76" s="349">
        <v>0</v>
      </c>
      <c r="M76" s="349">
        <v>0</v>
      </c>
      <c r="N76" s="83"/>
      <c r="O76" s="83"/>
      <c r="P76" s="83"/>
      <c r="Q76" s="83"/>
      <c r="R76" s="83"/>
      <c r="S76" s="83"/>
      <c r="T76" s="83"/>
      <c r="U76" s="83"/>
      <c r="V76" s="83"/>
    </row>
    <row r="77" spans="1:22" ht="24.95" customHeight="1">
      <c r="A77" s="1017" t="s">
        <v>1503</v>
      </c>
      <c r="B77" s="979"/>
      <c r="C77" s="979"/>
      <c r="D77" s="979"/>
      <c r="E77" s="645" t="s">
        <v>1500</v>
      </c>
      <c r="F77" s="349">
        <v>2500000</v>
      </c>
      <c r="G77" s="397" t="s">
        <v>1502</v>
      </c>
      <c r="H77" s="349">
        <v>1485000</v>
      </c>
      <c r="I77" s="349">
        <v>300000</v>
      </c>
      <c r="J77" s="349">
        <v>350000</v>
      </c>
      <c r="K77" s="349">
        <f>F77-H77-I77-J77</f>
        <v>365000</v>
      </c>
      <c r="L77" s="349">
        <v>0</v>
      </c>
      <c r="M77" s="349">
        <v>0</v>
      </c>
      <c r="N77" s="83"/>
      <c r="O77" s="83"/>
      <c r="P77" s="83"/>
      <c r="Q77" s="83"/>
      <c r="R77" s="83"/>
      <c r="S77" s="83"/>
      <c r="T77" s="83"/>
      <c r="U77" s="83"/>
      <c r="V77" s="83"/>
    </row>
    <row r="78" spans="1:22" ht="24.95" customHeight="1">
      <c r="A78" s="979"/>
      <c r="B78" s="979"/>
      <c r="C78" s="979"/>
      <c r="D78" s="979"/>
      <c r="E78" s="645"/>
      <c r="F78" s="349"/>
      <c r="G78" s="397"/>
      <c r="H78" s="349"/>
      <c r="I78" s="349"/>
      <c r="J78" s="349"/>
      <c r="K78" s="349"/>
      <c r="L78" s="349"/>
      <c r="M78" s="349"/>
      <c r="N78" s="83"/>
      <c r="O78" s="83"/>
      <c r="P78" s="83"/>
      <c r="Q78" s="83"/>
      <c r="R78" s="83"/>
      <c r="S78" s="83"/>
      <c r="T78" s="83"/>
      <c r="U78" s="83"/>
      <c r="V78" s="83"/>
    </row>
    <row r="79" spans="1:22" ht="24.95" customHeight="1">
      <c r="A79" s="979"/>
      <c r="B79" s="979"/>
      <c r="C79" s="979"/>
      <c r="D79" s="979"/>
      <c r="E79" s="642"/>
      <c r="F79" s="349"/>
      <c r="G79" s="397"/>
      <c r="H79" s="349"/>
      <c r="I79" s="349"/>
      <c r="J79" s="349"/>
      <c r="K79" s="349"/>
      <c r="L79" s="349"/>
      <c r="M79" s="349"/>
      <c r="N79" s="83"/>
      <c r="O79" s="83"/>
      <c r="P79" s="83"/>
      <c r="Q79" s="83"/>
      <c r="R79" s="83"/>
      <c r="S79" s="83"/>
      <c r="T79" s="83"/>
      <c r="U79" s="83"/>
      <c r="V79" s="83"/>
    </row>
    <row r="80" spans="1:22" ht="24.95" customHeight="1">
      <c r="A80" s="979"/>
      <c r="B80" s="979"/>
      <c r="C80" s="979"/>
      <c r="D80" s="979"/>
      <c r="E80" s="642"/>
      <c r="F80" s="349"/>
      <c r="G80" s="397"/>
      <c r="H80" s="349"/>
      <c r="I80" s="349"/>
      <c r="J80" s="349"/>
      <c r="K80" s="349"/>
      <c r="L80" s="349"/>
      <c r="M80" s="349"/>
      <c r="N80" s="83"/>
      <c r="O80" s="83"/>
      <c r="P80" s="83"/>
      <c r="Q80" s="83"/>
      <c r="R80" s="83"/>
      <c r="S80" s="83"/>
      <c r="T80" s="83"/>
      <c r="U80" s="83"/>
      <c r="V80" s="83"/>
    </row>
    <row r="81" spans="1:22" ht="24.95" customHeight="1">
      <c r="A81" s="979"/>
      <c r="B81" s="979"/>
      <c r="C81" s="979"/>
      <c r="D81" s="979"/>
      <c r="E81" s="642"/>
      <c r="F81" s="349"/>
      <c r="G81" s="397"/>
      <c r="H81" s="349"/>
      <c r="I81" s="349"/>
      <c r="J81" s="349"/>
      <c r="K81" s="349"/>
      <c r="L81" s="349"/>
      <c r="M81" s="349"/>
      <c r="N81" s="83"/>
      <c r="O81" s="83"/>
      <c r="P81" s="83"/>
      <c r="Q81" s="83"/>
      <c r="R81" s="83"/>
      <c r="S81" s="83"/>
      <c r="T81" s="83"/>
      <c r="U81" s="83"/>
      <c r="V81" s="83"/>
    </row>
    <row r="82" spans="1:22" ht="24.95" customHeight="1">
      <c r="A82" s="985"/>
      <c r="B82" s="985"/>
      <c r="C82" s="985"/>
      <c r="D82" s="985"/>
      <c r="E82" s="84"/>
      <c r="F82" s="7"/>
      <c r="G82" s="164"/>
      <c r="H82" s="7"/>
      <c r="I82" s="7"/>
      <c r="J82" s="7"/>
      <c r="K82" s="7"/>
      <c r="L82" s="7"/>
      <c r="M82" s="7"/>
      <c r="N82" s="83"/>
      <c r="O82" s="83"/>
      <c r="P82" s="83"/>
      <c r="Q82" s="83"/>
      <c r="R82" s="83"/>
      <c r="S82" s="83"/>
      <c r="T82" s="83"/>
      <c r="U82" s="83"/>
      <c r="V82" s="83"/>
    </row>
    <row r="83" spans="1:22" ht="24.95" customHeight="1">
      <c r="A83" s="985"/>
      <c r="B83" s="985"/>
      <c r="C83" s="985"/>
      <c r="D83" s="985"/>
      <c r="E83" s="84"/>
      <c r="F83" s="7"/>
      <c r="G83" s="164"/>
      <c r="H83" s="7"/>
      <c r="I83" s="7"/>
      <c r="J83" s="7"/>
      <c r="K83" s="7"/>
      <c r="L83" s="7"/>
      <c r="M83" s="7"/>
      <c r="N83" s="83"/>
      <c r="O83" s="83"/>
      <c r="P83" s="83"/>
      <c r="Q83" s="83"/>
      <c r="R83" s="83"/>
      <c r="S83" s="83"/>
      <c r="T83" s="83"/>
      <c r="U83" s="83"/>
      <c r="V83" s="83"/>
    </row>
    <row r="84" spans="1:22" ht="24.95" customHeight="1">
      <c r="A84" s="985"/>
      <c r="B84" s="985"/>
      <c r="C84" s="985"/>
      <c r="D84" s="985"/>
      <c r="E84" s="84"/>
      <c r="F84" s="7"/>
      <c r="G84" s="164"/>
      <c r="H84" s="7"/>
      <c r="I84" s="7"/>
      <c r="J84" s="7"/>
      <c r="K84" s="7"/>
      <c r="L84" s="7"/>
      <c r="M84" s="7"/>
      <c r="N84" s="83"/>
      <c r="O84" s="83"/>
      <c r="P84" s="83"/>
      <c r="Q84" s="83"/>
      <c r="R84" s="83"/>
      <c r="S84" s="83"/>
      <c r="T84" s="83"/>
      <c r="U84" s="83"/>
      <c r="V84" s="83"/>
    </row>
    <row r="85" spans="1:22" ht="24.95" customHeight="1">
      <c r="A85" s="985"/>
      <c r="B85" s="985"/>
      <c r="C85" s="985"/>
      <c r="D85" s="985"/>
      <c r="E85" s="84"/>
      <c r="F85" s="7"/>
      <c r="G85" s="164"/>
      <c r="H85" s="7"/>
      <c r="I85" s="7"/>
      <c r="J85" s="7"/>
      <c r="K85" s="7"/>
      <c r="L85" s="7"/>
      <c r="M85" s="7"/>
      <c r="N85" s="83"/>
      <c r="O85" s="83"/>
      <c r="P85" s="83"/>
      <c r="Q85" s="83"/>
      <c r="R85" s="83"/>
      <c r="S85" s="83"/>
      <c r="T85" s="83"/>
      <c r="U85" s="83"/>
      <c r="V85" s="83"/>
    </row>
    <row r="86" spans="1:22" ht="24.95" customHeight="1">
      <c r="A86" s="985"/>
      <c r="B86" s="985"/>
      <c r="C86" s="985"/>
      <c r="D86" s="985"/>
      <c r="E86" s="84"/>
      <c r="F86" s="7"/>
      <c r="G86" s="164"/>
      <c r="H86" s="7"/>
      <c r="I86" s="7"/>
      <c r="J86" s="7"/>
      <c r="K86" s="7"/>
      <c r="L86" s="7"/>
      <c r="M86" s="7"/>
      <c r="N86" s="83"/>
      <c r="O86" s="83"/>
      <c r="P86" s="83"/>
      <c r="Q86" s="83"/>
      <c r="R86" s="83"/>
      <c r="S86" s="83"/>
      <c r="T86" s="83"/>
      <c r="U86" s="83"/>
      <c r="V86" s="83"/>
    </row>
    <row r="87" spans="1:22" ht="24.95" customHeight="1">
      <c r="A87" s="985"/>
      <c r="B87" s="985"/>
      <c r="C87" s="985"/>
      <c r="D87" s="985"/>
      <c r="E87" s="84"/>
      <c r="F87" s="7"/>
      <c r="G87" s="164"/>
      <c r="H87" s="7"/>
      <c r="I87" s="7"/>
      <c r="J87" s="7"/>
      <c r="K87" s="7"/>
      <c r="L87" s="7"/>
      <c r="M87" s="7"/>
      <c r="N87" s="83"/>
      <c r="O87" s="83"/>
      <c r="P87" s="83"/>
      <c r="Q87" s="83"/>
      <c r="R87" s="83"/>
      <c r="S87" s="83"/>
      <c r="T87" s="83"/>
      <c r="U87" s="83"/>
      <c r="V87" s="83"/>
    </row>
    <row r="88" spans="1:22" ht="24.95" customHeight="1">
      <c r="A88" s="985" t="s">
        <v>975</v>
      </c>
      <c r="B88" s="985"/>
      <c r="C88" s="985"/>
      <c r="D88" s="985"/>
      <c r="E88" s="84" t="s">
        <v>100</v>
      </c>
      <c r="F88" s="7">
        <f>SUM(F74:F77)</f>
        <v>14573000</v>
      </c>
      <c r="G88" s="164"/>
      <c r="H88" s="7">
        <f t="shared" ref="H88:M88" si="2">SUM(H74:H87)</f>
        <v>6981000</v>
      </c>
      <c r="I88" s="7">
        <f t="shared" si="2"/>
        <v>3800000</v>
      </c>
      <c r="J88" s="7">
        <f t="shared" si="2"/>
        <v>2923000</v>
      </c>
      <c r="K88" s="7">
        <f t="shared" si="2"/>
        <v>1869000</v>
      </c>
      <c r="L88" s="7">
        <f t="shared" si="2"/>
        <v>0</v>
      </c>
      <c r="M88" s="7">
        <f t="shared" si="2"/>
        <v>0</v>
      </c>
      <c r="N88" s="83"/>
      <c r="O88" s="83"/>
      <c r="P88" s="83"/>
      <c r="Q88" s="83"/>
      <c r="R88" s="83"/>
      <c r="S88" s="83"/>
      <c r="T88" s="83"/>
      <c r="U88" s="83"/>
      <c r="V88" s="83"/>
    </row>
    <row r="89" spans="1:22" ht="24.95" customHeight="1">
      <c r="A89" s="986" t="s">
        <v>976</v>
      </c>
      <c r="B89" s="986"/>
      <c r="C89" s="986"/>
      <c r="D89" s="986"/>
      <c r="E89" s="986"/>
      <c r="F89" s="986"/>
      <c r="G89" s="986"/>
      <c r="H89" s="986"/>
      <c r="I89" s="986"/>
      <c r="J89" s="986"/>
      <c r="K89" s="986"/>
      <c r="L89" s="986"/>
      <c r="M89" s="118" t="s">
        <v>977</v>
      </c>
      <c r="N89" s="83"/>
      <c r="O89" s="83"/>
      <c r="P89" s="83"/>
      <c r="Q89" s="83"/>
      <c r="R89" s="83"/>
      <c r="S89" s="83"/>
      <c r="T89" s="83"/>
      <c r="U89" s="83"/>
      <c r="V89" s="83"/>
    </row>
    <row r="90" spans="1:22" ht="24.95" customHeight="1">
      <c r="A90" s="677" t="s">
        <v>1508</v>
      </c>
      <c r="B90" s="677"/>
      <c r="C90" s="677"/>
      <c r="D90" s="677"/>
      <c r="E90" s="677"/>
      <c r="F90" s="677"/>
      <c r="G90" s="677"/>
      <c r="H90" s="677"/>
      <c r="I90" s="677"/>
      <c r="J90" s="677"/>
      <c r="K90" s="677"/>
      <c r="L90" s="677"/>
      <c r="M90" s="141" t="s">
        <v>795</v>
      </c>
      <c r="N90" s="83"/>
      <c r="O90" s="83"/>
      <c r="P90" s="83"/>
      <c r="Q90" s="83"/>
      <c r="R90" s="83"/>
      <c r="S90" s="83"/>
      <c r="T90" s="83"/>
      <c r="U90" s="83"/>
      <c r="V90" s="83"/>
    </row>
    <row r="91" spans="1:22" ht="24.95" customHeight="1">
      <c r="A91" s="677" t="s">
        <v>553</v>
      </c>
      <c r="B91" s="677"/>
      <c r="C91" s="677"/>
      <c r="D91" s="677"/>
      <c r="E91" s="677"/>
      <c r="F91" s="677"/>
      <c r="G91" s="677"/>
      <c r="H91" s="677"/>
      <c r="I91" s="677"/>
      <c r="J91" s="677"/>
      <c r="K91" s="677"/>
      <c r="L91" s="677"/>
      <c r="M91" s="673"/>
      <c r="N91" s="83"/>
      <c r="O91" s="83"/>
      <c r="P91" s="83"/>
      <c r="Q91" s="83"/>
      <c r="R91" s="83"/>
      <c r="S91" s="83"/>
      <c r="T91" s="83"/>
      <c r="U91" s="83"/>
      <c r="V91" s="83"/>
    </row>
    <row r="92" spans="1:22" ht="24.95" customHeight="1" thickBot="1">
      <c r="A92" s="690"/>
      <c r="B92" s="690"/>
      <c r="C92" s="690"/>
      <c r="D92" s="690"/>
      <c r="E92" s="690"/>
      <c r="F92" s="690"/>
      <c r="G92" s="690"/>
      <c r="H92" s="690"/>
      <c r="I92" s="690"/>
      <c r="J92" s="998" t="s">
        <v>959</v>
      </c>
      <c r="K92" s="998"/>
      <c r="L92" s="998"/>
      <c r="M92" s="729"/>
      <c r="N92" s="83"/>
      <c r="O92" s="83"/>
      <c r="P92" s="83"/>
      <c r="Q92" s="83"/>
      <c r="R92" s="83"/>
      <c r="S92" s="83"/>
      <c r="T92" s="83"/>
      <c r="U92" s="83"/>
      <c r="V92" s="83"/>
    </row>
    <row r="93" spans="1:22" ht="24.95" customHeight="1" thickTop="1">
      <c r="A93" s="989" t="s">
        <v>558</v>
      </c>
      <c r="B93" s="989"/>
      <c r="C93" s="1046" t="s">
        <v>793</v>
      </c>
      <c r="D93" s="989" t="s">
        <v>559</v>
      </c>
      <c r="E93" s="1057" t="s">
        <v>560</v>
      </c>
      <c r="F93" s="942"/>
      <c r="G93" s="989" t="s">
        <v>562</v>
      </c>
      <c r="H93" s="989" t="s">
        <v>563</v>
      </c>
      <c r="I93" s="989" t="s">
        <v>564</v>
      </c>
      <c r="J93" s="1057" t="s">
        <v>197</v>
      </c>
      <c r="K93" s="941"/>
      <c r="L93" s="941"/>
      <c r="M93" s="942"/>
      <c r="N93" s="83"/>
      <c r="O93" s="83"/>
      <c r="P93" s="83"/>
      <c r="Q93" s="83"/>
      <c r="R93" s="83"/>
      <c r="S93" s="83"/>
      <c r="T93" s="83"/>
      <c r="U93" s="83"/>
      <c r="V93" s="83"/>
    </row>
    <row r="94" spans="1:22" ht="24.95" customHeight="1">
      <c r="A94" s="990"/>
      <c r="B94" s="990"/>
      <c r="C94" s="1047"/>
      <c r="D94" s="990"/>
      <c r="E94" s="1058" t="s">
        <v>1389</v>
      </c>
      <c r="F94" s="1056" t="s">
        <v>561</v>
      </c>
      <c r="G94" s="990"/>
      <c r="H94" s="990"/>
      <c r="I94" s="990"/>
      <c r="J94" s="1056" t="s">
        <v>554</v>
      </c>
      <c r="K94" s="1056" t="s">
        <v>555</v>
      </c>
      <c r="L94" s="1056" t="s">
        <v>556</v>
      </c>
      <c r="M94" s="1056" t="s">
        <v>557</v>
      </c>
      <c r="N94" s="83"/>
      <c r="O94" s="83"/>
      <c r="P94" s="83"/>
      <c r="Q94" s="83"/>
      <c r="R94" s="83"/>
      <c r="S94" s="83"/>
      <c r="T94" s="83"/>
      <c r="U94" s="83"/>
      <c r="V94" s="83"/>
    </row>
    <row r="95" spans="1:22" ht="24.95" customHeight="1" thickBot="1">
      <c r="A95" s="991"/>
      <c r="B95" s="991"/>
      <c r="C95" s="1048"/>
      <c r="D95" s="991"/>
      <c r="E95" s="991"/>
      <c r="F95" s="991"/>
      <c r="G95" s="991"/>
      <c r="H95" s="991"/>
      <c r="I95" s="991"/>
      <c r="J95" s="991"/>
      <c r="K95" s="991"/>
      <c r="L95" s="991"/>
      <c r="M95" s="991"/>
      <c r="N95" s="83"/>
      <c r="O95" s="83"/>
      <c r="P95" s="83"/>
      <c r="Q95" s="83"/>
      <c r="R95" s="83"/>
      <c r="S95" s="83"/>
      <c r="T95" s="83"/>
      <c r="U95" s="83"/>
      <c r="V95" s="83"/>
    </row>
    <row r="96" spans="1:22" ht="24.95" customHeight="1" thickTop="1">
      <c r="A96" s="1054" t="s">
        <v>1505</v>
      </c>
      <c r="B96" s="1055"/>
      <c r="C96" s="647"/>
      <c r="D96" s="342">
        <v>2800000</v>
      </c>
      <c r="E96" s="373">
        <v>140000</v>
      </c>
      <c r="F96" s="349"/>
      <c r="G96" s="342"/>
      <c r="H96" s="349"/>
      <c r="I96" s="349"/>
      <c r="J96" s="349">
        <f>D96-E96-F96-G96-H96-I96</f>
        <v>2660000</v>
      </c>
      <c r="K96" s="365"/>
      <c r="L96" s="365"/>
      <c r="M96" s="648"/>
      <c r="N96" s="83"/>
      <c r="O96" s="83"/>
      <c r="P96" s="83"/>
      <c r="Q96" s="83"/>
      <c r="R96" s="83"/>
      <c r="S96" s="83"/>
      <c r="T96" s="83"/>
      <c r="U96" s="83"/>
      <c r="V96" s="83"/>
    </row>
    <row r="97" spans="1:22" ht="24.95" customHeight="1">
      <c r="A97" s="1044" t="s">
        <v>1506</v>
      </c>
      <c r="B97" s="1045"/>
      <c r="C97" s="647"/>
      <c r="D97" s="349">
        <v>2000000</v>
      </c>
      <c r="E97" s="373">
        <v>100000</v>
      </c>
      <c r="F97" s="349"/>
      <c r="G97" s="349"/>
      <c r="H97" s="349"/>
      <c r="I97" s="349"/>
      <c r="J97" s="349">
        <f>D97-E97-F97</f>
        <v>1900000</v>
      </c>
      <c r="K97" s="349"/>
      <c r="L97" s="349"/>
      <c r="M97" s="643"/>
      <c r="N97" s="83"/>
      <c r="O97" s="83"/>
      <c r="P97" s="83"/>
      <c r="Q97" s="83"/>
      <c r="R97" s="83"/>
      <c r="S97" s="83"/>
      <c r="T97" s="83"/>
      <c r="U97" s="83"/>
      <c r="V97" s="83"/>
    </row>
    <row r="98" spans="1:22" ht="24.95" customHeight="1">
      <c r="A98" s="1052" t="s">
        <v>1504</v>
      </c>
      <c r="B98" s="1053"/>
      <c r="C98" s="647"/>
      <c r="D98" s="349">
        <v>696000</v>
      </c>
      <c r="E98" s="373">
        <v>34800</v>
      </c>
      <c r="F98" s="349"/>
      <c r="G98" s="349"/>
      <c r="H98" s="349"/>
      <c r="I98" s="349"/>
      <c r="J98" s="349">
        <f>D98-E98-F98-G98-H98-I98</f>
        <v>661200</v>
      </c>
      <c r="K98" s="349"/>
      <c r="L98" s="349"/>
      <c r="M98" s="643"/>
      <c r="N98" s="83"/>
      <c r="O98" s="83"/>
      <c r="P98" s="83"/>
      <c r="Q98" s="83"/>
      <c r="R98" s="83"/>
      <c r="S98" s="83"/>
      <c r="T98" s="83"/>
      <c r="U98" s="83"/>
      <c r="V98" s="83"/>
    </row>
    <row r="99" spans="1:22" ht="24.95" customHeight="1">
      <c r="A99" s="1044" t="s">
        <v>1507</v>
      </c>
      <c r="B99" s="1045"/>
      <c r="C99" s="647"/>
      <c r="D99" s="349">
        <v>1485000</v>
      </c>
      <c r="E99" s="373">
        <v>74250</v>
      </c>
      <c r="F99" s="349"/>
      <c r="G99" s="349"/>
      <c r="H99" s="349"/>
      <c r="I99" s="349"/>
      <c r="J99" s="349">
        <f>D99-E99-F99-G99-H99-I99</f>
        <v>1410750</v>
      </c>
      <c r="K99" s="349"/>
      <c r="L99" s="349"/>
      <c r="M99" s="643"/>
      <c r="N99" s="83"/>
      <c r="O99" s="83"/>
      <c r="P99" s="83"/>
      <c r="Q99" s="83"/>
      <c r="R99" s="83"/>
      <c r="S99" s="83"/>
      <c r="T99" s="83"/>
      <c r="U99" s="83"/>
      <c r="V99" s="83"/>
    </row>
    <row r="100" spans="1:22" ht="24.95" customHeight="1">
      <c r="A100" s="1086"/>
      <c r="B100" s="1087"/>
      <c r="C100" s="992"/>
      <c r="D100" s="349"/>
      <c r="E100" s="994"/>
      <c r="F100" s="996"/>
      <c r="G100" s="996"/>
      <c r="H100" s="996"/>
      <c r="I100" s="996"/>
      <c r="J100" s="996"/>
      <c r="K100" s="996"/>
      <c r="L100" s="996"/>
      <c r="M100" s="992"/>
      <c r="N100" s="83"/>
      <c r="O100" s="83"/>
      <c r="P100" s="83"/>
      <c r="Q100" s="83"/>
      <c r="R100" s="83"/>
      <c r="S100" s="83"/>
      <c r="T100" s="83"/>
      <c r="U100" s="83"/>
      <c r="V100" s="83"/>
    </row>
    <row r="101" spans="1:22" ht="24.95" customHeight="1">
      <c r="A101" s="1088"/>
      <c r="B101" s="1089"/>
      <c r="C101" s="993"/>
      <c r="D101" s="349"/>
      <c r="E101" s="995"/>
      <c r="F101" s="997"/>
      <c r="G101" s="997"/>
      <c r="H101" s="997"/>
      <c r="I101" s="997"/>
      <c r="J101" s="997"/>
      <c r="K101" s="997"/>
      <c r="L101" s="997"/>
      <c r="M101" s="1064"/>
      <c r="N101" s="83"/>
      <c r="O101" s="83"/>
      <c r="P101" s="83"/>
      <c r="Q101" s="83"/>
      <c r="R101" s="83"/>
      <c r="S101" s="83"/>
      <c r="T101" s="83"/>
      <c r="U101" s="83"/>
      <c r="V101" s="83"/>
    </row>
    <row r="102" spans="1:22" ht="24.95" customHeight="1">
      <c r="A102" s="1090"/>
      <c r="B102" s="1091"/>
      <c r="C102" s="992"/>
      <c r="D102" s="349"/>
      <c r="E102" s="994"/>
      <c r="F102" s="996"/>
      <c r="G102" s="996"/>
      <c r="H102" s="996"/>
      <c r="I102" s="996"/>
      <c r="J102" s="996"/>
      <c r="K102" s="996"/>
      <c r="L102" s="996"/>
      <c r="M102" s="992"/>
      <c r="N102" s="83"/>
      <c r="O102" s="83"/>
      <c r="P102" s="83"/>
      <c r="Q102" s="83"/>
      <c r="R102" s="83"/>
      <c r="S102" s="83"/>
      <c r="T102" s="83"/>
      <c r="U102" s="83"/>
      <c r="V102" s="83"/>
    </row>
    <row r="103" spans="1:22" ht="24.95" customHeight="1">
      <c r="A103" s="1088"/>
      <c r="B103" s="1089"/>
      <c r="C103" s="993"/>
      <c r="D103" s="349"/>
      <c r="E103" s="995"/>
      <c r="F103" s="997"/>
      <c r="G103" s="997"/>
      <c r="H103" s="997"/>
      <c r="I103" s="997"/>
      <c r="J103" s="997"/>
      <c r="K103" s="997"/>
      <c r="L103" s="997"/>
      <c r="M103" s="1064"/>
      <c r="N103" s="83"/>
      <c r="O103" s="83"/>
      <c r="P103" s="83"/>
      <c r="Q103" s="83"/>
      <c r="R103" s="83"/>
      <c r="S103" s="83"/>
      <c r="T103" s="83"/>
      <c r="U103" s="83"/>
      <c r="V103" s="83"/>
    </row>
    <row r="104" spans="1:22" ht="24.95" customHeight="1">
      <c r="A104" s="979"/>
      <c r="B104" s="979"/>
      <c r="C104" s="647"/>
      <c r="D104" s="349"/>
      <c r="E104" s="373"/>
      <c r="F104" s="349"/>
      <c r="G104" s="349"/>
      <c r="H104" s="349"/>
      <c r="I104" s="349"/>
      <c r="J104" s="349"/>
      <c r="K104" s="349"/>
      <c r="L104" s="349"/>
      <c r="M104" s="643"/>
      <c r="N104" s="83"/>
      <c r="O104" s="83"/>
      <c r="P104" s="83"/>
      <c r="Q104" s="83"/>
      <c r="R104" s="83"/>
      <c r="S104" s="83"/>
      <c r="T104" s="83"/>
      <c r="U104" s="83"/>
      <c r="V104" s="83"/>
    </row>
    <row r="105" spans="1:22" ht="24.95" customHeight="1">
      <c r="A105" s="985"/>
      <c r="B105" s="985"/>
      <c r="C105" s="227"/>
      <c r="D105" s="227"/>
      <c r="E105" s="7"/>
      <c r="F105" s="7"/>
      <c r="G105" s="7"/>
      <c r="H105" s="7"/>
      <c r="I105" s="7"/>
      <c r="J105" s="7"/>
      <c r="K105" s="7"/>
      <c r="L105" s="7"/>
      <c r="M105" s="7"/>
      <c r="N105" s="83"/>
      <c r="O105" s="83"/>
      <c r="P105" s="83"/>
      <c r="Q105" s="83"/>
      <c r="R105" s="83"/>
      <c r="S105" s="83"/>
      <c r="T105" s="83"/>
      <c r="U105" s="83"/>
      <c r="V105" s="83"/>
    </row>
    <row r="106" spans="1:22" ht="24.95" customHeight="1">
      <c r="A106" s="985"/>
      <c r="B106" s="985"/>
      <c r="C106" s="227"/>
      <c r="D106" s="227"/>
      <c r="E106" s="7"/>
      <c r="F106" s="7"/>
      <c r="G106" s="7"/>
      <c r="H106" s="7"/>
      <c r="I106" s="7"/>
      <c r="J106" s="7"/>
      <c r="K106" s="7"/>
      <c r="L106" s="7"/>
      <c r="M106" s="7"/>
      <c r="N106" s="83"/>
      <c r="O106" s="83"/>
      <c r="P106" s="83"/>
      <c r="Q106" s="83"/>
      <c r="R106" s="83"/>
      <c r="S106" s="83"/>
      <c r="T106" s="83"/>
      <c r="U106" s="83"/>
      <c r="V106" s="83"/>
    </row>
    <row r="107" spans="1:22" ht="24.95" customHeight="1">
      <c r="A107" s="985"/>
      <c r="B107" s="985"/>
      <c r="C107" s="227"/>
      <c r="D107" s="227"/>
      <c r="E107" s="7"/>
      <c r="F107" s="7"/>
      <c r="G107" s="7"/>
      <c r="H107" s="7"/>
      <c r="I107" s="7"/>
      <c r="J107" s="7"/>
      <c r="K107" s="7"/>
      <c r="L107" s="7"/>
      <c r="M107" s="7"/>
      <c r="N107" s="83"/>
      <c r="O107" s="83"/>
      <c r="P107" s="83"/>
      <c r="Q107" s="83"/>
      <c r="R107" s="83"/>
      <c r="S107" s="83"/>
      <c r="T107" s="83"/>
      <c r="U107" s="83"/>
      <c r="V107" s="83"/>
    </row>
    <row r="108" spans="1:22" ht="24.95" customHeight="1">
      <c r="A108" s="985"/>
      <c r="B108" s="985"/>
      <c r="C108" s="227"/>
      <c r="D108" s="227"/>
      <c r="E108" s="7"/>
      <c r="F108" s="7"/>
      <c r="G108" s="7"/>
      <c r="H108" s="7"/>
      <c r="I108" s="7"/>
      <c r="J108" s="7"/>
      <c r="K108" s="7"/>
      <c r="L108" s="7"/>
      <c r="M108" s="7"/>
      <c r="N108" s="83"/>
      <c r="O108" s="83"/>
      <c r="P108" s="83"/>
      <c r="Q108" s="83"/>
      <c r="R108" s="83"/>
      <c r="S108" s="83"/>
      <c r="T108" s="83"/>
      <c r="U108" s="83"/>
      <c r="V108" s="83"/>
    </row>
    <row r="109" spans="1:22" ht="24.95" customHeight="1">
      <c r="A109" s="985"/>
      <c r="B109" s="985"/>
      <c r="C109" s="227"/>
      <c r="D109" s="227"/>
      <c r="E109" s="7"/>
      <c r="F109" s="7"/>
      <c r="G109" s="7"/>
      <c r="H109" s="7"/>
      <c r="I109" s="7"/>
      <c r="J109" s="7"/>
      <c r="K109" s="7"/>
      <c r="L109" s="7"/>
      <c r="M109" s="7"/>
      <c r="N109" s="83"/>
      <c r="O109" s="83"/>
      <c r="P109" s="83"/>
      <c r="Q109" s="83"/>
      <c r="R109" s="83"/>
      <c r="S109" s="83"/>
      <c r="T109" s="83"/>
      <c r="U109" s="83"/>
      <c r="V109" s="83"/>
    </row>
    <row r="110" spans="1:22" ht="24.95" customHeight="1" thickBot="1">
      <c r="A110" s="1094" t="s">
        <v>570</v>
      </c>
      <c r="B110" s="1094"/>
      <c r="C110" s="229" t="s">
        <v>101</v>
      </c>
      <c r="D110" s="228">
        <f>SUM(D96:D109)</f>
        <v>6981000</v>
      </c>
      <c r="E110" s="228">
        <f t="shared" ref="E110:M110" si="3">SUM(E96:E109)</f>
        <v>349050</v>
      </c>
      <c r="F110" s="228">
        <f t="shared" si="3"/>
        <v>0</v>
      </c>
      <c r="G110" s="228">
        <f t="shared" si="3"/>
        <v>0</v>
      </c>
      <c r="H110" s="228">
        <f t="shared" si="3"/>
        <v>0</v>
      </c>
      <c r="I110" s="228">
        <f t="shared" si="3"/>
        <v>0</v>
      </c>
      <c r="J110" s="228">
        <f t="shared" si="3"/>
        <v>6631950</v>
      </c>
      <c r="K110" s="228">
        <f t="shared" si="3"/>
        <v>0</v>
      </c>
      <c r="L110" s="228">
        <f t="shared" si="3"/>
        <v>0</v>
      </c>
      <c r="M110" s="228">
        <f t="shared" si="3"/>
        <v>0</v>
      </c>
      <c r="N110" s="83"/>
      <c r="O110" s="83"/>
      <c r="P110" s="83"/>
      <c r="Q110" s="83"/>
      <c r="R110" s="83"/>
      <c r="S110" s="83"/>
      <c r="T110" s="83"/>
      <c r="U110" s="83"/>
      <c r="V110" s="83"/>
    </row>
    <row r="111" spans="1:22" ht="24.95" customHeight="1" thickTop="1">
      <c r="A111" s="1021" t="s">
        <v>984</v>
      </c>
      <c r="B111" s="1021"/>
      <c r="C111" s="1021"/>
      <c r="D111" s="1021"/>
      <c r="E111" s="1021"/>
      <c r="F111" s="1021"/>
      <c r="G111" s="1021"/>
      <c r="H111" s="1021"/>
      <c r="I111" s="1021"/>
      <c r="J111" s="1021"/>
      <c r="K111" s="1021"/>
      <c r="L111" s="1021"/>
      <c r="M111" s="118" t="s">
        <v>985</v>
      </c>
      <c r="N111" s="83"/>
      <c r="O111" s="83"/>
      <c r="P111" s="83"/>
      <c r="Q111" s="83"/>
      <c r="R111" s="83"/>
      <c r="S111" s="83"/>
      <c r="T111" s="83"/>
      <c r="U111" s="83"/>
      <c r="V111" s="83"/>
    </row>
    <row r="112" spans="1:22" ht="24.95" customHeight="1">
      <c r="A112" s="1095" t="s">
        <v>1390</v>
      </c>
      <c r="B112" s="1095"/>
      <c r="C112" s="1095"/>
      <c r="D112" s="1095"/>
      <c r="E112" s="1095"/>
      <c r="F112" s="1095"/>
      <c r="G112" s="1095"/>
      <c r="H112" s="1095"/>
      <c r="I112" s="1095"/>
      <c r="J112" s="1095"/>
      <c r="K112" s="1095"/>
      <c r="L112" s="1095"/>
      <c r="M112" s="141" t="s">
        <v>795</v>
      </c>
      <c r="N112" s="83"/>
      <c r="O112" s="83"/>
      <c r="P112" s="83"/>
      <c r="Q112" s="83"/>
      <c r="R112" s="83"/>
      <c r="S112" s="83"/>
      <c r="T112" s="83"/>
      <c r="U112" s="83"/>
      <c r="V112" s="83"/>
    </row>
    <row r="113" spans="1:22" ht="24.95" customHeight="1">
      <c r="A113" s="674" t="s">
        <v>629</v>
      </c>
      <c r="B113" s="674"/>
      <c r="C113" s="674"/>
      <c r="D113" s="674"/>
      <c r="E113" s="674"/>
      <c r="F113" s="674"/>
      <c r="G113" s="674"/>
      <c r="H113" s="674"/>
      <c r="I113" s="674"/>
      <c r="J113" s="674"/>
      <c r="K113" s="674"/>
      <c r="L113" s="674"/>
      <c r="N113" s="83"/>
      <c r="O113" s="83"/>
      <c r="P113" s="83"/>
      <c r="Q113" s="83"/>
      <c r="R113" s="83"/>
      <c r="S113" s="83"/>
      <c r="T113" s="83"/>
      <c r="U113" s="83"/>
      <c r="V113" s="83"/>
    </row>
    <row r="114" spans="1:22" ht="24.95" customHeight="1">
      <c r="A114" s="984" t="s">
        <v>635</v>
      </c>
      <c r="B114" s="984"/>
      <c r="C114" s="984"/>
      <c r="D114" s="984"/>
      <c r="E114" s="984"/>
      <c r="F114" s="984"/>
      <c r="G114" s="984"/>
      <c r="H114" s="984"/>
      <c r="I114" s="984"/>
      <c r="J114" s="984"/>
      <c r="K114" s="984"/>
      <c r="L114" s="984"/>
      <c r="N114" s="83"/>
      <c r="O114" s="83"/>
      <c r="P114" s="83"/>
      <c r="Q114" s="83"/>
      <c r="R114" s="83"/>
      <c r="S114" s="83"/>
      <c r="T114" s="83"/>
      <c r="U114" s="83"/>
      <c r="V114" s="83"/>
    </row>
    <row r="115" spans="1:22" ht="24.95" customHeight="1">
      <c r="A115" s="984"/>
      <c r="B115" s="984"/>
      <c r="C115" s="984"/>
      <c r="D115" s="984"/>
      <c r="E115" s="984"/>
      <c r="F115" s="984"/>
      <c r="G115" s="984"/>
      <c r="H115" s="984"/>
      <c r="I115" s="984"/>
      <c r="J115" s="984"/>
      <c r="K115" s="984"/>
      <c r="L115" s="984"/>
      <c r="N115" s="83"/>
      <c r="O115" s="83"/>
      <c r="P115" s="83"/>
      <c r="Q115" s="83"/>
      <c r="R115" s="83"/>
      <c r="S115" s="83"/>
      <c r="T115" s="83"/>
      <c r="U115" s="83"/>
      <c r="V115" s="83"/>
    </row>
    <row r="116" spans="1:22" ht="15" customHeight="1">
      <c r="A116" s="145" t="s">
        <v>636</v>
      </c>
      <c r="B116" s="1060">
        <f>L130</f>
        <v>172020494.47000003</v>
      </c>
      <c r="C116" s="1060"/>
      <c r="D116" s="1060"/>
      <c r="E116" s="673" t="s">
        <v>637</v>
      </c>
      <c r="F116" s="673"/>
      <c r="G116" s="673"/>
      <c r="H116" s="673"/>
      <c r="I116" s="673"/>
      <c r="J116" s="673"/>
      <c r="K116" s="673"/>
      <c r="L116" s="673"/>
      <c r="N116" s="83"/>
      <c r="O116" s="83"/>
      <c r="P116" s="83"/>
      <c r="Q116" s="83"/>
      <c r="R116" s="83"/>
      <c r="S116" s="83"/>
      <c r="T116" s="83"/>
      <c r="U116" s="83"/>
      <c r="V116" s="83"/>
    </row>
    <row r="117" spans="1:22" ht="15" customHeight="1">
      <c r="A117" s="145" t="s">
        <v>659</v>
      </c>
      <c r="B117" s="1060">
        <f>J131</f>
        <v>0</v>
      </c>
      <c r="C117" s="1060"/>
      <c r="D117" s="1060"/>
      <c r="E117" s="673" t="s">
        <v>638</v>
      </c>
      <c r="F117" s="673"/>
      <c r="G117" s="673"/>
      <c r="H117" s="673"/>
      <c r="I117" s="673"/>
      <c r="J117" s="673"/>
      <c r="K117" s="673"/>
      <c r="L117" s="673"/>
      <c r="N117" s="83"/>
      <c r="O117" s="83"/>
      <c r="P117" s="83"/>
      <c r="Q117" s="83"/>
      <c r="R117" s="83"/>
      <c r="S117" s="83"/>
      <c r="T117" s="83"/>
      <c r="U117" s="83"/>
      <c r="V117" s="83"/>
    </row>
    <row r="118" spans="1:22" ht="15" customHeight="1">
      <c r="A118" s="145" t="s">
        <v>660</v>
      </c>
      <c r="B118" s="1060">
        <f>L134</f>
        <v>0</v>
      </c>
      <c r="C118" s="1060"/>
      <c r="D118" s="1060"/>
      <c r="E118" s="673" t="s">
        <v>656</v>
      </c>
      <c r="F118" s="673"/>
      <c r="G118" s="673"/>
      <c r="H118" s="673"/>
      <c r="I118" s="673"/>
      <c r="J118" s="673"/>
      <c r="K118" s="673"/>
      <c r="L118" s="673"/>
      <c r="N118" s="83"/>
      <c r="O118" s="83"/>
      <c r="P118" s="83"/>
      <c r="Q118" s="83"/>
      <c r="R118" s="83"/>
      <c r="S118" s="83"/>
      <c r="T118" s="83"/>
      <c r="U118" s="83"/>
      <c r="V118" s="83"/>
    </row>
    <row r="119" spans="1:22" ht="15" customHeight="1">
      <c r="B119" s="1066"/>
      <c r="C119" s="1066"/>
      <c r="D119" s="1066"/>
      <c r="E119" s="1061" t="s">
        <v>657</v>
      </c>
      <c r="F119" s="1061"/>
      <c r="G119" s="1061"/>
      <c r="H119" s="1061"/>
      <c r="I119" s="1061"/>
      <c r="J119" s="1061"/>
      <c r="K119" s="1061"/>
      <c r="L119" s="1061"/>
      <c r="N119" s="83"/>
      <c r="O119" s="83"/>
      <c r="P119" s="83"/>
      <c r="Q119" s="83"/>
      <c r="R119" s="83"/>
      <c r="S119" s="83"/>
      <c r="T119" s="83"/>
      <c r="U119" s="83"/>
      <c r="V119" s="83"/>
    </row>
    <row r="120" spans="1:22" ht="15" customHeight="1">
      <c r="B120" s="673"/>
      <c r="C120" s="673"/>
      <c r="D120" s="673"/>
      <c r="E120" s="1061" t="s">
        <v>658</v>
      </c>
      <c r="F120" s="1061"/>
      <c r="G120" s="1061"/>
      <c r="H120" s="1061"/>
      <c r="I120" s="1061"/>
      <c r="J120" s="1061"/>
      <c r="K120" s="1061"/>
      <c r="L120" s="1061"/>
      <c r="N120" s="83"/>
      <c r="O120" s="83"/>
      <c r="P120" s="83"/>
      <c r="Q120" s="83"/>
      <c r="R120" s="83"/>
      <c r="S120" s="83"/>
      <c r="T120" s="83"/>
      <c r="U120" s="83"/>
      <c r="V120" s="83"/>
    </row>
    <row r="121" spans="1:22" ht="15" customHeight="1">
      <c r="A121" s="145" t="s">
        <v>661</v>
      </c>
      <c r="B121" s="1060">
        <v>0</v>
      </c>
      <c r="C121" s="1060"/>
      <c r="D121" s="1060"/>
      <c r="E121" s="1062" t="s">
        <v>1101</v>
      </c>
      <c r="F121" s="857"/>
      <c r="G121" s="857"/>
      <c r="H121" s="857"/>
      <c r="I121" s="857"/>
      <c r="J121" s="857"/>
      <c r="K121" s="857"/>
      <c r="L121" s="857"/>
      <c r="N121" s="83"/>
      <c r="O121" s="83"/>
      <c r="P121" s="83"/>
      <c r="Q121" s="83"/>
      <c r="R121" s="83"/>
      <c r="S121" s="83"/>
      <c r="T121" s="83"/>
      <c r="U121" s="83"/>
      <c r="V121" s="83"/>
    </row>
    <row r="122" spans="1:22" ht="15" customHeight="1">
      <c r="A122" s="271" t="s">
        <v>1100</v>
      </c>
      <c r="B122" s="1060">
        <f>L135</f>
        <v>2272630.16</v>
      </c>
      <c r="C122" s="1060"/>
      <c r="D122" s="1060"/>
      <c r="E122" s="713" t="s">
        <v>1102</v>
      </c>
      <c r="F122" s="673"/>
      <c r="G122" s="673"/>
      <c r="I122" s="146"/>
      <c r="J122" s="109"/>
      <c r="N122" s="83"/>
      <c r="O122" s="83"/>
      <c r="P122" s="83"/>
      <c r="Q122" s="83"/>
      <c r="R122" s="83"/>
      <c r="S122" s="83"/>
      <c r="T122" s="83"/>
      <c r="U122" s="83"/>
      <c r="V122" s="83"/>
    </row>
    <row r="123" spans="1:22" ht="24.95" customHeight="1">
      <c r="B123" s="680" t="s">
        <v>40</v>
      </c>
      <c r="C123" s="680"/>
      <c r="D123" s="673"/>
      <c r="E123" s="792" t="s">
        <v>310</v>
      </c>
      <c r="F123" s="688"/>
      <c r="G123" s="987"/>
      <c r="H123" s="792" t="s">
        <v>311</v>
      </c>
      <c r="I123" s="793"/>
      <c r="J123" s="1059"/>
      <c r="K123" s="119" t="s">
        <v>312</v>
      </c>
      <c r="L123" s="210"/>
      <c r="M123" s="147"/>
      <c r="N123" s="143"/>
      <c r="O123" s="144"/>
      <c r="P123" s="144"/>
      <c r="Q123" s="144"/>
      <c r="R123" s="144"/>
      <c r="S123" s="83"/>
      <c r="T123" s="83"/>
      <c r="U123" s="83"/>
      <c r="V123" s="83"/>
    </row>
    <row r="124" spans="1:22" ht="24.95" customHeight="1">
      <c r="B124" s="789" t="s">
        <v>105</v>
      </c>
      <c r="C124" s="789"/>
      <c r="E124" s="1063"/>
      <c r="F124" s="688"/>
      <c r="G124" s="987"/>
      <c r="H124" s="692"/>
      <c r="I124" s="793"/>
      <c r="J124" s="1059"/>
      <c r="K124" s="91"/>
      <c r="L124" s="91"/>
      <c r="M124" s="91"/>
      <c r="N124" s="91"/>
      <c r="O124" s="91"/>
      <c r="P124" s="91"/>
      <c r="Q124" s="91"/>
      <c r="R124" s="91"/>
      <c r="S124" s="83"/>
      <c r="T124" s="83"/>
      <c r="U124" s="83"/>
      <c r="V124" s="83"/>
    </row>
    <row r="125" spans="1:22" ht="24.95" customHeight="1">
      <c r="A125" s="91"/>
      <c r="B125" s="91"/>
      <c r="C125" s="91"/>
      <c r="D125" s="91"/>
      <c r="E125" s="1063"/>
      <c r="F125" s="688"/>
      <c r="G125" s="987"/>
      <c r="H125" s="692"/>
      <c r="I125" s="793"/>
      <c r="J125" s="1059"/>
      <c r="K125" s="119" t="s">
        <v>313</v>
      </c>
      <c r="L125" s="987"/>
      <c r="M125" s="147"/>
      <c r="N125" s="143"/>
      <c r="O125" s="144"/>
      <c r="P125" s="144"/>
      <c r="Q125" s="144"/>
      <c r="R125" s="144"/>
      <c r="S125" s="83"/>
      <c r="T125" s="83"/>
      <c r="U125" s="83"/>
      <c r="V125" s="83"/>
    </row>
    <row r="126" spans="1:22" ht="24.95" customHeight="1">
      <c r="A126" s="673" t="s">
        <v>663</v>
      </c>
      <c r="B126" s="673"/>
      <c r="C126" s="673"/>
      <c r="D126" s="673"/>
      <c r="E126" s="673"/>
      <c r="F126" s="674" t="s">
        <v>662</v>
      </c>
      <c r="G126" s="673"/>
      <c r="H126" s="673"/>
      <c r="I126" s="673"/>
      <c r="L126" s="988"/>
      <c r="N126" s="83"/>
      <c r="O126" s="83"/>
      <c r="P126" s="83"/>
      <c r="Q126" s="83"/>
      <c r="R126" s="83"/>
      <c r="S126" s="83"/>
      <c r="T126" s="83"/>
      <c r="U126" s="83"/>
      <c r="V126" s="83"/>
    </row>
    <row r="127" spans="1:22" ht="21.75" customHeight="1">
      <c r="A127" s="969" t="s">
        <v>597</v>
      </c>
      <c r="B127" s="728"/>
      <c r="C127" s="728"/>
      <c r="D127" s="728"/>
      <c r="E127" s="728"/>
      <c r="F127" s="728"/>
      <c r="G127" s="728"/>
      <c r="H127" s="728"/>
      <c r="I127" s="728"/>
      <c r="J127" s="754"/>
      <c r="K127" s="84" t="s">
        <v>806</v>
      </c>
      <c r="L127" s="967">
        <f>'Sh 4-11a'!C6</f>
        <v>250000</v>
      </c>
      <c r="M127" s="968"/>
      <c r="N127" s="83"/>
      <c r="O127" s="83"/>
      <c r="P127" s="83"/>
      <c r="Q127" s="83"/>
      <c r="R127" s="83"/>
      <c r="S127" s="83"/>
      <c r="T127" s="83"/>
      <c r="U127" s="83"/>
      <c r="V127" s="83"/>
    </row>
    <row r="128" spans="1:22" ht="24.95" customHeight="1">
      <c r="A128" s="969" t="s">
        <v>598</v>
      </c>
      <c r="B128" s="728"/>
      <c r="C128" s="728"/>
      <c r="D128" s="728"/>
      <c r="E128" s="728"/>
      <c r="F128" s="728"/>
      <c r="G128" s="728"/>
      <c r="H128" s="728"/>
      <c r="I128" s="728"/>
      <c r="J128" s="754"/>
      <c r="K128" s="84" t="s">
        <v>51</v>
      </c>
      <c r="L128" s="967">
        <f>'Sh 4-11a'!C471</f>
        <v>106171994.47999999</v>
      </c>
      <c r="M128" s="968"/>
      <c r="N128" s="83"/>
      <c r="O128" s="83"/>
      <c r="P128" s="83"/>
      <c r="Q128" s="83"/>
      <c r="R128" s="83"/>
      <c r="S128" s="83"/>
      <c r="T128" s="83"/>
      <c r="U128" s="83"/>
      <c r="V128" s="83"/>
    </row>
    <row r="129" spans="1:22" ht="24.95" customHeight="1">
      <c r="A129" s="969" t="s">
        <v>1073</v>
      </c>
      <c r="B129" s="728"/>
      <c r="C129" s="728"/>
      <c r="D129" s="728"/>
      <c r="E129" s="728"/>
      <c r="F129" s="728"/>
      <c r="G129" s="728"/>
      <c r="H129" s="728"/>
      <c r="I129" s="728"/>
      <c r="J129" s="754"/>
      <c r="K129" s="84" t="s">
        <v>369</v>
      </c>
      <c r="L129" s="967">
        <f>'Sh 4-11a'!C483</f>
        <v>2507600</v>
      </c>
      <c r="M129" s="968"/>
      <c r="N129" s="83"/>
      <c r="O129" s="83"/>
      <c r="P129" s="83"/>
      <c r="Q129" s="83"/>
      <c r="R129" s="83"/>
      <c r="S129" s="83"/>
      <c r="T129" s="83"/>
      <c r="U129" s="83"/>
      <c r="V129" s="83"/>
    </row>
    <row r="130" spans="1:22" ht="24.95" customHeight="1">
      <c r="A130" s="728" t="s">
        <v>269</v>
      </c>
      <c r="B130" s="728"/>
      <c r="C130" s="728"/>
      <c r="D130" s="728"/>
      <c r="E130" s="728"/>
      <c r="F130" s="728"/>
      <c r="G130" s="728"/>
      <c r="H130" s="728"/>
      <c r="I130" s="728"/>
      <c r="J130" s="754"/>
      <c r="K130" s="84" t="s">
        <v>602</v>
      </c>
      <c r="L130" s="967">
        <f>'Sh 4-11a'!C487</f>
        <v>172020494.47000003</v>
      </c>
      <c r="M130" s="968"/>
      <c r="N130" s="83"/>
      <c r="O130" s="83"/>
      <c r="P130" s="83"/>
      <c r="Q130" s="83"/>
      <c r="R130" s="83"/>
      <c r="S130" s="83"/>
      <c r="T130" s="83"/>
      <c r="U130" s="83"/>
      <c r="V130" s="83"/>
    </row>
    <row r="131" spans="1:22" ht="24.95" customHeight="1">
      <c r="A131" s="1067" t="s">
        <v>268</v>
      </c>
      <c r="B131" s="1067"/>
      <c r="C131" s="1067"/>
      <c r="D131" s="1067"/>
      <c r="E131" s="1067"/>
      <c r="F131" s="1067"/>
      <c r="G131" s="1067"/>
      <c r="H131" s="1068"/>
      <c r="I131" s="262" t="s">
        <v>603</v>
      </c>
      <c r="J131" s="967">
        <f>L154</f>
        <v>0</v>
      </c>
      <c r="K131" s="968"/>
      <c r="L131" s="1065"/>
      <c r="M131" s="1066"/>
      <c r="N131" s="83"/>
      <c r="O131" s="83"/>
      <c r="P131" s="83"/>
      <c r="Q131" s="83"/>
      <c r="R131" s="83"/>
      <c r="S131" s="83"/>
      <c r="T131" s="83"/>
      <c r="U131" s="83"/>
      <c r="V131" s="83"/>
    </row>
    <row r="132" spans="1:22" ht="18" customHeight="1">
      <c r="A132" s="969" t="s">
        <v>270</v>
      </c>
      <c r="B132" s="728"/>
      <c r="C132" s="728"/>
      <c r="D132" s="728"/>
      <c r="E132" s="728"/>
      <c r="F132" s="728"/>
      <c r="G132" s="728"/>
      <c r="H132" s="754"/>
      <c r="I132" s="84" t="s">
        <v>604</v>
      </c>
      <c r="J132" s="967">
        <f>'Sh 4-11a'!C488</f>
        <v>0</v>
      </c>
      <c r="K132" s="968"/>
      <c r="L132" s="970"/>
      <c r="M132" s="729"/>
      <c r="O132" s="83"/>
      <c r="P132" s="83"/>
      <c r="Q132" s="83"/>
      <c r="R132" s="83"/>
      <c r="S132" s="83"/>
      <c r="T132" s="83"/>
      <c r="U132" s="83"/>
      <c r="V132" s="83"/>
    </row>
    <row r="133" spans="1:22" ht="17.25" customHeight="1">
      <c r="A133" s="1099" t="s">
        <v>599</v>
      </c>
      <c r="B133" s="728"/>
      <c r="C133" s="728"/>
      <c r="D133" s="728"/>
      <c r="E133" s="728"/>
      <c r="F133" s="728"/>
      <c r="G133" s="728"/>
      <c r="H133" s="728"/>
      <c r="I133" s="728"/>
      <c r="J133" s="728"/>
      <c r="K133" s="754"/>
      <c r="L133" s="1077">
        <f>SUM(J131:J132)</f>
        <v>0</v>
      </c>
      <c r="M133" s="1078"/>
      <c r="N133" s="83"/>
      <c r="O133" s="83"/>
      <c r="P133" s="83"/>
      <c r="Q133" s="83"/>
      <c r="R133" s="83"/>
      <c r="S133" s="83"/>
      <c r="T133" s="83"/>
      <c r="U133" s="83"/>
      <c r="V133" s="83"/>
    </row>
    <row r="134" spans="1:22" ht="24.95" customHeight="1">
      <c r="A134" s="1067" t="s">
        <v>271</v>
      </c>
      <c r="B134" s="1067"/>
      <c r="C134" s="1067"/>
      <c r="D134" s="1067"/>
      <c r="E134" s="1067"/>
      <c r="F134" s="1067"/>
      <c r="G134" s="1067"/>
      <c r="H134" s="1067"/>
      <c r="I134" s="1067"/>
      <c r="J134" s="1068"/>
      <c r="K134" s="84" t="s">
        <v>604</v>
      </c>
      <c r="L134" s="967">
        <f>'Sh 4-11a'!C488</f>
        <v>0</v>
      </c>
      <c r="M134" s="968"/>
      <c r="N134" s="83"/>
      <c r="O134" s="83"/>
      <c r="P134" s="83"/>
      <c r="Q134" s="83"/>
      <c r="R134" s="83"/>
      <c r="S134" s="83"/>
      <c r="T134" s="83"/>
      <c r="U134" s="83"/>
      <c r="V134" s="83"/>
    </row>
    <row r="135" spans="1:22" ht="19.5" customHeight="1" thickBot="1">
      <c r="A135" s="1096" t="s">
        <v>1103</v>
      </c>
      <c r="B135" s="1097"/>
      <c r="C135" s="1097"/>
      <c r="D135" s="1097"/>
      <c r="E135" s="1097"/>
      <c r="F135" s="1097"/>
      <c r="G135" s="1097"/>
      <c r="H135" s="1097"/>
      <c r="I135" s="1097"/>
      <c r="J135" s="1098"/>
      <c r="K135" s="272" t="s">
        <v>1098</v>
      </c>
      <c r="L135" s="967">
        <f>'Sh 4-11a'!C489</f>
        <v>2272630.16</v>
      </c>
      <c r="M135" s="968"/>
      <c r="N135" s="83"/>
      <c r="O135" s="83"/>
      <c r="P135" s="83"/>
      <c r="Q135" s="83"/>
      <c r="R135" s="83"/>
      <c r="S135" s="83"/>
      <c r="T135" s="83"/>
      <c r="U135" s="83"/>
      <c r="V135" s="83"/>
    </row>
    <row r="136" spans="1:22" ht="24" customHeight="1" thickBot="1">
      <c r="A136" s="1083" t="s">
        <v>600</v>
      </c>
      <c r="B136" s="776"/>
      <c r="C136" s="776"/>
      <c r="D136" s="776"/>
      <c r="E136" s="776"/>
      <c r="F136" s="776"/>
      <c r="G136" s="776"/>
      <c r="H136" s="776"/>
      <c r="I136" s="776"/>
      <c r="J136" s="777"/>
      <c r="K136" s="85" t="s">
        <v>54</v>
      </c>
      <c r="L136" s="1081">
        <f>SUM(L127:L135)</f>
        <v>283222719.11000007</v>
      </c>
      <c r="M136" s="1082"/>
      <c r="N136" s="83"/>
      <c r="O136" s="83"/>
      <c r="P136" s="83"/>
      <c r="Q136" s="83"/>
      <c r="R136" s="83"/>
      <c r="S136" s="83"/>
      <c r="T136" s="83"/>
      <c r="U136" s="83"/>
      <c r="V136" s="83"/>
    </row>
    <row r="137" spans="1:22" ht="24.95" customHeight="1" thickTop="1">
      <c r="A137" s="677" t="s">
        <v>601</v>
      </c>
      <c r="B137" s="677"/>
      <c r="C137" s="677"/>
      <c r="D137" s="677"/>
      <c r="E137" s="677"/>
      <c r="F137" s="677"/>
      <c r="G137" s="677"/>
      <c r="H137" s="677"/>
      <c r="I137" s="677"/>
      <c r="J137" s="677"/>
      <c r="K137" s="677"/>
      <c r="L137" s="677"/>
      <c r="M137" s="677"/>
      <c r="N137" s="83"/>
      <c r="O137" s="83"/>
      <c r="P137" s="83"/>
      <c r="Q137" s="83"/>
      <c r="R137" s="83"/>
      <c r="S137" s="83"/>
      <c r="T137" s="83"/>
      <c r="U137" s="83"/>
      <c r="V137" s="83"/>
    </row>
    <row r="138" spans="1:22" ht="24.95" customHeight="1" thickBot="1">
      <c r="A138" s="677" t="s">
        <v>605</v>
      </c>
      <c r="B138" s="677"/>
      <c r="C138" s="677"/>
      <c r="D138" s="677"/>
      <c r="E138" s="677"/>
      <c r="F138" s="677"/>
      <c r="G138" s="677"/>
      <c r="H138" s="677"/>
      <c r="I138" s="677"/>
      <c r="J138" s="677"/>
      <c r="K138" s="677"/>
      <c r="L138" s="677"/>
      <c r="M138" s="148" t="s">
        <v>795</v>
      </c>
      <c r="N138" s="83"/>
      <c r="O138" s="83"/>
      <c r="P138" s="83"/>
      <c r="Q138" s="83"/>
      <c r="R138" s="83"/>
      <c r="S138" s="83"/>
      <c r="T138" s="83"/>
      <c r="U138" s="83"/>
      <c r="V138" s="83"/>
    </row>
    <row r="139" spans="1:22" ht="24.95" customHeight="1" thickTop="1">
      <c r="A139" s="750" t="s">
        <v>606</v>
      </c>
      <c r="B139" s="1069"/>
      <c r="C139" s="1069"/>
      <c r="D139" s="1069"/>
      <c r="E139" s="1069"/>
      <c r="F139" s="1069"/>
      <c r="G139" s="1069"/>
      <c r="H139" s="1069"/>
      <c r="I139" s="1069"/>
      <c r="J139" s="1069"/>
      <c r="K139" s="149" t="s">
        <v>620</v>
      </c>
      <c r="L139" s="971" t="s">
        <v>621</v>
      </c>
      <c r="M139" s="972"/>
      <c r="N139" s="83"/>
      <c r="O139" s="83"/>
      <c r="P139" s="83"/>
      <c r="Q139" s="83"/>
      <c r="R139" s="83"/>
      <c r="S139" s="83"/>
      <c r="T139" s="83"/>
      <c r="U139" s="83"/>
      <c r="V139" s="83"/>
    </row>
    <row r="140" spans="1:22" ht="24.95" customHeight="1">
      <c r="A140" s="1092" t="s">
        <v>607</v>
      </c>
      <c r="B140" s="1093"/>
      <c r="C140" s="1093"/>
      <c r="D140" s="1093"/>
      <c r="E140" s="1093"/>
      <c r="F140" s="1093"/>
      <c r="G140" s="1093"/>
      <c r="H140" s="1093"/>
      <c r="I140" s="1093"/>
      <c r="J140" s="1093"/>
      <c r="K140" s="30" t="s">
        <v>620</v>
      </c>
      <c r="L140" s="1073" t="s">
        <v>621</v>
      </c>
      <c r="M140" s="1074"/>
      <c r="N140" s="83"/>
      <c r="O140" s="83"/>
      <c r="P140" s="83"/>
      <c r="Q140" s="83"/>
      <c r="R140" s="83"/>
      <c r="S140" s="83"/>
      <c r="T140" s="83"/>
      <c r="U140" s="83"/>
      <c r="V140" s="83"/>
    </row>
    <row r="141" spans="1:22" ht="24.95" customHeight="1">
      <c r="A141" s="1084" t="s">
        <v>608</v>
      </c>
      <c r="B141" s="1085"/>
      <c r="C141" s="1085"/>
      <c r="D141" s="1085"/>
      <c r="E141" s="1085"/>
      <c r="F141" s="1085"/>
      <c r="G141" s="1085"/>
      <c r="H141" s="1085"/>
      <c r="I141" s="1085"/>
      <c r="J141" s="1085"/>
      <c r="K141" s="84" t="s">
        <v>56</v>
      </c>
      <c r="L141" s="976">
        <f>'Sh 12-30a'!C319</f>
        <v>193828404.852</v>
      </c>
      <c r="M141" s="967"/>
      <c r="N141" s="83"/>
      <c r="O141" s="83"/>
      <c r="P141" s="83"/>
      <c r="Q141" s="83"/>
      <c r="R141" s="83"/>
      <c r="S141" s="83"/>
      <c r="T141" s="83"/>
      <c r="U141" s="83"/>
      <c r="V141" s="83"/>
    </row>
    <row r="142" spans="1:22" ht="24.95" customHeight="1">
      <c r="A142" s="974" t="s">
        <v>609</v>
      </c>
      <c r="B142" s="975"/>
      <c r="C142" s="975"/>
      <c r="D142" s="975"/>
      <c r="E142" s="975"/>
      <c r="F142" s="975"/>
      <c r="G142" s="975"/>
      <c r="H142" s="975"/>
      <c r="I142" s="975"/>
      <c r="J142" s="975"/>
      <c r="K142" s="84" t="s">
        <v>59</v>
      </c>
      <c r="L142" s="976">
        <f>'Sh 12-30a'!C373</f>
        <v>24260717.939999998</v>
      </c>
      <c r="M142" s="967"/>
      <c r="N142" s="83"/>
      <c r="O142" s="83"/>
      <c r="P142" s="83"/>
      <c r="Q142" s="83"/>
      <c r="R142" s="83"/>
      <c r="S142" s="83"/>
      <c r="T142" s="83"/>
      <c r="U142" s="83"/>
      <c r="V142" s="83"/>
    </row>
    <row r="143" spans="1:22" ht="24.95" customHeight="1">
      <c r="A143" s="974" t="s">
        <v>610</v>
      </c>
      <c r="B143" s="975"/>
      <c r="C143" s="975"/>
      <c r="D143" s="975"/>
      <c r="E143" s="975"/>
      <c r="F143" s="975"/>
      <c r="G143" s="975"/>
      <c r="H143" s="975"/>
      <c r="I143" s="975"/>
      <c r="J143" s="975"/>
      <c r="K143" s="84" t="s">
        <v>160</v>
      </c>
      <c r="L143" s="976">
        <f>'Sh 12-30a'!C385</f>
        <v>568496.30000000005</v>
      </c>
      <c r="M143" s="967"/>
      <c r="N143" s="83"/>
      <c r="O143" s="83"/>
      <c r="P143" s="83"/>
      <c r="Q143" s="83"/>
      <c r="R143" s="83"/>
      <c r="S143" s="83"/>
      <c r="T143" s="83"/>
      <c r="U143" s="83"/>
      <c r="V143" s="83"/>
    </row>
    <row r="144" spans="1:22" ht="24.95" customHeight="1">
      <c r="A144" s="1075" t="s">
        <v>611</v>
      </c>
      <c r="B144" s="1076"/>
      <c r="C144" s="1076"/>
      <c r="D144" s="1076"/>
      <c r="E144" s="1076"/>
      <c r="F144" s="1076"/>
      <c r="G144" s="1076"/>
      <c r="H144" s="1076"/>
      <c r="I144" s="1076"/>
      <c r="J144" s="1076"/>
      <c r="K144" s="30" t="s">
        <v>620</v>
      </c>
      <c r="L144" s="1073" t="s">
        <v>621</v>
      </c>
      <c r="M144" s="1074"/>
      <c r="N144" s="83"/>
      <c r="O144" s="83"/>
      <c r="P144" s="83"/>
      <c r="Q144" s="83"/>
      <c r="R144" s="83"/>
      <c r="S144" s="83"/>
      <c r="T144" s="83"/>
      <c r="U144" s="83"/>
      <c r="V144" s="83"/>
    </row>
    <row r="145" spans="1:22" ht="24.95" customHeight="1">
      <c r="A145" s="974" t="s">
        <v>612</v>
      </c>
      <c r="B145" s="975"/>
      <c r="C145" s="975"/>
      <c r="D145" s="975"/>
      <c r="E145" s="975"/>
      <c r="F145" s="975"/>
      <c r="G145" s="975"/>
      <c r="H145" s="975"/>
      <c r="I145" s="975"/>
      <c r="J145" s="975"/>
      <c r="K145" s="84" t="s">
        <v>66</v>
      </c>
      <c r="L145" s="976">
        <f>'Sh 12-30a'!C688</f>
        <v>29251760.478</v>
      </c>
      <c r="M145" s="967"/>
      <c r="N145" s="83"/>
      <c r="O145" s="83"/>
      <c r="P145" s="83"/>
      <c r="Q145" s="83"/>
      <c r="R145" s="83"/>
      <c r="S145" s="83"/>
      <c r="T145" s="83"/>
      <c r="U145" s="83"/>
      <c r="V145" s="83"/>
    </row>
    <row r="146" spans="1:22" ht="24.95" customHeight="1">
      <c r="A146" s="974" t="s">
        <v>613</v>
      </c>
      <c r="B146" s="975"/>
      <c r="C146" s="975"/>
      <c r="D146" s="975"/>
      <c r="E146" s="975"/>
      <c r="F146" s="975"/>
      <c r="G146" s="975"/>
      <c r="H146" s="975"/>
      <c r="I146" s="975"/>
      <c r="J146" s="975"/>
      <c r="K146" s="84" t="s">
        <v>69</v>
      </c>
      <c r="L146" s="976">
        <f>'Sh 12-30a'!C732</f>
        <v>350000</v>
      </c>
      <c r="M146" s="967"/>
      <c r="N146" s="83"/>
      <c r="O146" s="83"/>
      <c r="P146" s="83"/>
      <c r="Q146" s="83"/>
      <c r="R146" s="83"/>
      <c r="S146" s="83"/>
      <c r="T146" s="83"/>
      <c r="U146" s="83"/>
      <c r="V146" s="83"/>
    </row>
    <row r="147" spans="1:22" ht="24.95" customHeight="1">
      <c r="A147" s="974" t="s">
        <v>614</v>
      </c>
      <c r="B147" s="975"/>
      <c r="C147" s="975"/>
      <c r="D147" s="975"/>
      <c r="E147" s="975"/>
      <c r="F147" s="975"/>
      <c r="G147" s="975"/>
      <c r="H147" s="975"/>
      <c r="I147" s="975"/>
      <c r="J147" s="975"/>
      <c r="K147" s="84" t="s">
        <v>70</v>
      </c>
      <c r="L147" s="976">
        <f>'Sh 12-30a'!C774</f>
        <v>15521630.09</v>
      </c>
      <c r="M147" s="967"/>
      <c r="N147" s="83"/>
      <c r="O147" s="83"/>
      <c r="P147" s="83"/>
      <c r="Q147" s="83"/>
      <c r="R147" s="83"/>
      <c r="S147" s="83"/>
      <c r="T147" s="83"/>
      <c r="U147" s="83"/>
      <c r="V147" s="83"/>
    </row>
    <row r="148" spans="1:22" ht="24.95" customHeight="1">
      <c r="A148" s="974" t="s">
        <v>619</v>
      </c>
      <c r="B148" s="975"/>
      <c r="C148" s="975"/>
      <c r="D148" s="975"/>
      <c r="E148" s="975"/>
      <c r="F148" s="975"/>
      <c r="G148" s="975"/>
      <c r="H148" s="975"/>
      <c r="I148" s="975"/>
      <c r="J148" s="975"/>
      <c r="K148" s="84" t="s">
        <v>71</v>
      </c>
      <c r="L148" s="1079">
        <f>'Sh 12-30a'!C789</f>
        <v>2578000</v>
      </c>
      <c r="M148" s="1080"/>
      <c r="N148" s="83"/>
      <c r="O148" s="83"/>
      <c r="P148" s="83"/>
      <c r="Q148" s="83"/>
      <c r="R148" s="83"/>
      <c r="S148" s="83"/>
      <c r="T148" s="83"/>
      <c r="U148" s="83"/>
      <c r="V148" s="83"/>
    </row>
    <row r="149" spans="1:22" ht="24.95" customHeight="1">
      <c r="A149" s="974" t="s">
        <v>615</v>
      </c>
      <c r="B149" s="975"/>
      <c r="C149" s="975"/>
      <c r="D149" s="975"/>
      <c r="E149" s="975"/>
      <c r="F149" s="975"/>
      <c r="G149" s="975"/>
      <c r="H149" s="975"/>
      <c r="I149" s="975"/>
      <c r="J149" s="975"/>
      <c r="K149" s="84" t="s">
        <v>275</v>
      </c>
      <c r="L149" s="976">
        <f>'Sh 12-30a'!C790</f>
        <v>50000</v>
      </c>
      <c r="M149" s="967"/>
      <c r="N149" s="83"/>
      <c r="O149" s="83"/>
      <c r="P149" s="83"/>
      <c r="Q149" s="83"/>
      <c r="R149" s="83"/>
      <c r="S149" s="83"/>
      <c r="T149" s="83"/>
      <c r="U149" s="83"/>
      <c r="V149" s="83"/>
    </row>
    <row r="150" spans="1:22" ht="24.95" customHeight="1">
      <c r="A150" s="974" t="s">
        <v>174</v>
      </c>
      <c r="B150" s="975"/>
      <c r="C150" s="975"/>
      <c r="D150" s="975"/>
      <c r="E150" s="975"/>
      <c r="F150" s="975"/>
      <c r="G150" s="975"/>
      <c r="H150" s="975"/>
      <c r="I150" s="975"/>
      <c r="J150" s="975"/>
      <c r="K150" s="84" t="s">
        <v>274</v>
      </c>
      <c r="L150" s="976">
        <f>'Sh 12-30a'!C791</f>
        <v>0</v>
      </c>
      <c r="M150" s="967"/>
      <c r="N150" s="83"/>
      <c r="O150" s="83"/>
      <c r="P150" s="83"/>
      <c r="Q150" s="83"/>
      <c r="R150" s="83"/>
      <c r="S150" s="83"/>
      <c r="T150" s="83"/>
      <c r="U150" s="83"/>
      <c r="V150" s="83"/>
    </row>
    <row r="151" spans="1:22" ht="24.95" customHeight="1">
      <c r="A151" s="974" t="s">
        <v>610</v>
      </c>
      <c r="B151" s="975"/>
      <c r="C151" s="975"/>
      <c r="D151" s="975"/>
      <c r="E151" s="975"/>
      <c r="F151" s="975"/>
      <c r="G151" s="975"/>
      <c r="H151" s="975"/>
      <c r="I151" s="975"/>
      <c r="J151" s="975"/>
      <c r="K151" s="84" t="s">
        <v>160</v>
      </c>
      <c r="L151" s="976">
        <f>'Sh 12-30a'!C793</f>
        <v>0</v>
      </c>
      <c r="M151" s="967"/>
      <c r="N151" s="83"/>
      <c r="O151" s="83"/>
      <c r="P151" s="83"/>
      <c r="Q151" s="83"/>
      <c r="R151" s="83"/>
      <c r="S151" s="83"/>
      <c r="T151" s="83"/>
      <c r="U151" s="83"/>
      <c r="V151" s="83"/>
    </row>
    <row r="152" spans="1:22" ht="24.95" customHeight="1">
      <c r="A152" s="974" t="s">
        <v>616</v>
      </c>
      <c r="B152" s="975"/>
      <c r="C152" s="975"/>
      <c r="D152" s="975"/>
      <c r="E152" s="975"/>
      <c r="F152" s="975"/>
      <c r="G152" s="975"/>
      <c r="H152" s="975"/>
      <c r="I152" s="975"/>
      <c r="J152" s="975"/>
      <c r="K152" s="84" t="s">
        <v>75</v>
      </c>
      <c r="L152" s="976">
        <f>'Sh 12-30a'!C822</f>
        <v>0</v>
      </c>
      <c r="M152" s="967"/>
      <c r="N152" s="83"/>
      <c r="O152" s="83"/>
      <c r="P152" s="83"/>
      <c r="Q152" s="83"/>
      <c r="R152" s="83"/>
      <c r="S152" s="83"/>
      <c r="T152" s="83"/>
      <c r="U152" s="83"/>
      <c r="V152" s="83"/>
    </row>
    <row r="153" spans="1:22" ht="24.95" customHeight="1">
      <c r="A153" s="974" t="s">
        <v>496</v>
      </c>
      <c r="B153" s="975"/>
      <c r="C153" s="975"/>
      <c r="D153" s="975"/>
      <c r="E153" s="975"/>
      <c r="F153" s="975"/>
      <c r="G153" s="975"/>
      <c r="H153" s="975"/>
      <c r="I153" s="975"/>
      <c r="J153" s="975"/>
      <c r="K153" s="84" t="s">
        <v>304</v>
      </c>
      <c r="L153" s="976">
        <f>'Sh 12-30a'!C828</f>
        <v>16813709.449999999</v>
      </c>
      <c r="M153" s="967"/>
      <c r="N153" s="83"/>
      <c r="O153" s="83"/>
      <c r="P153" s="83"/>
      <c r="Q153" s="83"/>
      <c r="R153" s="83"/>
      <c r="S153" s="83"/>
      <c r="T153" s="83"/>
      <c r="U153" s="83"/>
      <c r="V153" s="83"/>
    </row>
    <row r="154" spans="1:22" ht="24.95" customHeight="1">
      <c r="A154" s="978" t="s">
        <v>617</v>
      </c>
      <c r="B154" s="979"/>
      <c r="C154" s="979"/>
      <c r="D154" s="979"/>
      <c r="E154" s="979"/>
      <c r="F154" s="979"/>
      <c r="G154" s="979"/>
      <c r="H154" s="979"/>
      <c r="I154" s="979"/>
      <c r="J154" s="979"/>
      <c r="K154" s="84" t="s">
        <v>603</v>
      </c>
      <c r="L154" s="976">
        <v>0</v>
      </c>
      <c r="M154" s="967"/>
      <c r="N154" s="83"/>
      <c r="O154" s="83"/>
      <c r="P154" s="83"/>
      <c r="Q154" s="83"/>
      <c r="R154" s="83"/>
      <c r="S154" s="83"/>
      <c r="T154" s="83"/>
      <c r="U154" s="83"/>
      <c r="V154" s="83"/>
    </row>
    <row r="155" spans="1:22" ht="24.95" customHeight="1" thickBot="1">
      <c r="A155" s="980" t="s">
        <v>377</v>
      </c>
      <c r="B155" s="981"/>
      <c r="C155" s="981"/>
      <c r="D155" s="981"/>
      <c r="E155" s="981"/>
      <c r="F155" s="981"/>
      <c r="G155" s="981"/>
      <c r="H155" s="981"/>
      <c r="I155" s="981"/>
      <c r="J155" s="981"/>
      <c r="K155" s="85" t="s">
        <v>78</v>
      </c>
      <c r="L155" s="1070">
        <f>SUM(L141:L154)</f>
        <v>283222719.11000001</v>
      </c>
      <c r="M155" s="1071"/>
      <c r="N155" s="649">
        <f>L155-L136</f>
        <v>0</v>
      </c>
      <c r="O155" s="83"/>
      <c r="P155" s="83"/>
      <c r="Q155" s="83"/>
      <c r="R155" s="83"/>
      <c r="S155" s="83"/>
      <c r="T155" s="83"/>
      <c r="U155" s="83"/>
      <c r="V155" s="83"/>
    </row>
    <row r="156" spans="1:22" ht="24.95" customHeight="1" thickTop="1">
      <c r="A156" s="982" t="s">
        <v>1391</v>
      </c>
      <c r="B156" s="983"/>
      <c r="C156" s="983"/>
      <c r="D156" s="983"/>
      <c r="E156" s="983"/>
      <c r="F156" s="983"/>
      <c r="G156" s="983"/>
      <c r="H156" s="983"/>
      <c r="I156" s="983"/>
      <c r="J156" s="983"/>
      <c r="K156" s="983"/>
      <c r="L156" s="983"/>
      <c r="M156" s="983"/>
      <c r="N156" s="83"/>
      <c r="O156" s="83"/>
      <c r="P156" s="83"/>
      <c r="Q156" s="83"/>
      <c r="R156" s="83"/>
      <c r="S156" s="83"/>
      <c r="T156" s="83"/>
      <c r="U156" s="83"/>
      <c r="V156" s="83"/>
    </row>
    <row r="157" spans="1:22" ht="24.95" customHeight="1">
      <c r="A157" s="984"/>
      <c r="B157" s="984"/>
      <c r="C157" s="984"/>
      <c r="D157" s="984"/>
      <c r="E157" s="984"/>
      <c r="F157" s="984"/>
      <c r="G157" s="984"/>
      <c r="H157" s="984"/>
      <c r="I157" s="984"/>
      <c r="J157" s="984"/>
      <c r="K157" s="984"/>
      <c r="L157" s="984"/>
      <c r="M157" s="984"/>
      <c r="N157" s="83"/>
      <c r="O157" s="83"/>
      <c r="P157" s="83"/>
      <c r="Q157" s="83"/>
      <c r="R157" s="83"/>
      <c r="S157" s="83"/>
      <c r="T157" s="83"/>
      <c r="U157" s="83"/>
      <c r="V157" s="83"/>
    </row>
    <row r="158" spans="1:22" ht="24.95" customHeight="1">
      <c r="A158" s="673"/>
      <c r="B158" s="673"/>
      <c r="C158" s="673"/>
      <c r="D158" s="673"/>
      <c r="E158" s="713" t="s">
        <v>1392</v>
      </c>
      <c r="F158" s="673"/>
      <c r="G158" s="673"/>
      <c r="H158" s="673"/>
      <c r="I158" s="673"/>
      <c r="J158" s="673"/>
      <c r="K158" s="673"/>
      <c r="L158" s="673"/>
      <c r="M158" s="673"/>
      <c r="N158" s="83"/>
      <c r="O158" s="83"/>
      <c r="P158" s="83"/>
      <c r="Q158" s="83"/>
      <c r="R158" s="83"/>
      <c r="S158" s="83"/>
      <c r="T158" s="83"/>
      <c r="U158" s="83"/>
      <c r="V158" s="83"/>
    </row>
    <row r="159" spans="1:22" ht="24.95" customHeight="1">
      <c r="A159" s="677" t="s">
        <v>618</v>
      </c>
      <c r="B159" s="677"/>
      <c r="C159" s="677"/>
      <c r="D159" s="677"/>
      <c r="E159" s="677"/>
      <c r="F159" s="677"/>
      <c r="G159" s="677"/>
      <c r="H159" s="677"/>
      <c r="I159" s="677"/>
      <c r="J159" s="677"/>
      <c r="K159" s="677"/>
      <c r="L159" s="677"/>
      <c r="M159" s="677"/>
      <c r="N159" s="83"/>
      <c r="O159" s="83"/>
      <c r="P159" s="83"/>
      <c r="Q159" s="83"/>
      <c r="R159" s="83"/>
      <c r="S159" s="83"/>
      <c r="T159" s="83"/>
      <c r="U159" s="83"/>
      <c r="V159" s="83"/>
    </row>
    <row r="160" spans="1:22" ht="24.95" customHeight="1">
      <c r="A160" s="1072" t="s">
        <v>741</v>
      </c>
      <c r="B160" s="1072"/>
      <c r="C160" s="1072"/>
      <c r="D160" s="1072"/>
      <c r="E160" s="1072"/>
      <c r="F160" s="1072"/>
      <c r="G160" s="1072"/>
      <c r="H160" s="1072"/>
      <c r="I160" s="1072"/>
      <c r="J160" s="1072"/>
      <c r="K160" s="1072"/>
      <c r="L160" s="1072"/>
      <c r="M160" s="148" t="s">
        <v>795</v>
      </c>
      <c r="N160" s="83"/>
      <c r="O160" s="83"/>
      <c r="P160" s="83"/>
      <c r="Q160" s="83"/>
      <c r="R160" s="83"/>
      <c r="S160" s="83"/>
      <c r="T160" s="83"/>
      <c r="U160" s="83"/>
      <c r="V160" s="83"/>
    </row>
    <row r="161" spans="2:22" ht="24.95" customHeight="1">
      <c r="C161" s="673" t="s">
        <v>742</v>
      </c>
      <c r="D161" s="673"/>
      <c r="E161" s="673"/>
      <c r="J161" s="713" t="s">
        <v>1397</v>
      </c>
      <c r="K161" s="673"/>
      <c r="N161" s="83"/>
      <c r="O161" s="83"/>
      <c r="P161" s="83"/>
      <c r="Q161" s="83"/>
      <c r="R161" s="83"/>
      <c r="S161" s="83"/>
      <c r="T161" s="83"/>
      <c r="U161" s="83"/>
      <c r="V161" s="83"/>
    </row>
    <row r="162" spans="2:22" ht="24.95" customHeight="1">
      <c r="N162" s="83"/>
      <c r="O162" s="83"/>
      <c r="P162" s="83"/>
      <c r="Q162" s="83"/>
      <c r="R162" s="83"/>
      <c r="S162" s="83"/>
      <c r="T162" s="83"/>
      <c r="U162" s="83"/>
      <c r="V162" s="83"/>
    </row>
    <row r="163" spans="2:22" ht="24.95" customHeight="1">
      <c r="B163" s="787" t="s">
        <v>1398</v>
      </c>
      <c r="C163" s="977"/>
      <c r="D163" s="977"/>
      <c r="E163" s="977"/>
      <c r="F163" s="977"/>
      <c r="G163" s="977"/>
      <c r="H163" s="977"/>
      <c r="I163" s="977"/>
      <c r="J163" s="977"/>
      <c r="K163" s="977"/>
      <c r="L163" s="977"/>
      <c r="N163" s="83"/>
      <c r="O163" s="83"/>
      <c r="P163" s="83"/>
      <c r="Q163" s="83"/>
      <c r="R163" s="83"/>
      <c r="S163" s="83"/>
      <c r="T163" s="83"/>
      <c r="U163" s="83"/>
      <c r="V163" s="83"/>
    </row>
    <row r="164" spans="2:22" ht="24.95" customHeight="1">
      <c r="B164" s="150" t="s">
        <v>744</v>
      </c>
      <c r="N164" s="83"/>
      <c r="O164" s="83"/>
      <c r="P164" s="83"/>
      <c r="Q164" s="83"/>
      <c r="R164" s="83"/>
      <c r="S164" s="83"/>
      <c r="T164" s="83"/>
      <c r="U164" s="83"/>
      <c r="V164" s="83"/>
    </row>
    <row r="165" spans="2:22" ht="24.95" customHeight="1">
      <c r="B165" s="150"/>
      <c r="N165" s="83"/>
      <c r="O165" s="83"/>
      <c r="P165" s="83"/>
      <c r="Q165" s="83"/>
      <c r="R165" s="83"/>
      <c r="S165" s="83"/>
      <c r="T165" s="83"/>
      <c r="U165" s="83"/>
      <c r="V165" s="83"/>
    </row>
    <row r="166" spans="2:22" ht="24.95" customHeight="1">
      <c r="B166" s="150"/>
      <c r="N166" s="83"/>
      <c r="O166" s="83"/>
      <c r="P166" s="83"/>
      <c r="Q166" s="83"/>
      <c r="R166" s="83"/>
      <c r="S166" s="83"/>
      <c r="T166" s="83"/>
      <c r="U166" s="83"/>
      <c r="V166" s="83"/>
    </row>
    <row r="167" spans="2:22" ht="24.95" customHeight="1">
      <c r="B167" s="150" t="s">
        <v>745</v>
      </c>
      <c r="N167" s="83"/>
      <c r="O167" s="83"/>
      <c r="P167" s="83"/>
      <c r="Q167" s="83"/>
      <c r="R167" s="83"/>
      <c r="S167" s="83"/>
      <c r="T167" s="83"/>
      <c r="U167" s="83"/>
      <c r="V167" s="83"/>
    </row>
    <row r="168" spans="2:22" ht="24.95" customHeight="1">
      <c r="B168" s="150"/>
      <c r="N168" s="83"/>
      <c r="O168" s="83"/>
      <c r="P168" s="83"/>
      <c r="Q168" s="83"/>
      <c r="R168" s="83"/>
      <c r="S168" s="83"/>
      <c r="T168" s="83"/>
      <c r="U168" s="83"/>
      <c r="V168" s="83"/>
    </row>
    <row r="169" spans="2:22" ht="24.95" customHeight="1">
      <c r="B169" s="150"/>
      <c r="N169" s="83"/>
      <c r="O169" s="83"/>
      <c r="P169" s="83"/>
      <c r="Q169" s="83"/>
      <c r="R169" s="83"/>
      <c r="S169" s="83"/>
      <c r="T169" s="83"/>
      <c r="U169" s="83"/>
      <c r="V169" s="83"/>
    </row>
    <row r="170" spans="2:22" ht="24.95" customHeight="1">
      <c r="B170" s="150" t="s">
        <v>746</v>
      </c>
      <c r="F170" s="973"/>
      <c r="G170" s="973"/>
      <c r="H170" s="973"/>
      <c r="I170" s="973"/>
      <c r="N170" s="83"/>
      <c r="O170" s="83"/>
      <c r="P170" s="83"/>
      <c r="Q170" s="83"/>
      <c r="R170" s="83"/>
      <c r="S170" s="83"/>
      <c r="T170" s="83"/>
      <c r="U170" s="83"/>
      <c r="V170" s="83"/>
    </row>
    <row r="171" spans="2:22" ht="24.95" customHeight="1">
      <c r="B171" s="150"/>
      <c r="F171" s="973"/>
      <c r="G171" s="973"/>
      <c r="H171" s="973"/>
      <c r="I171" s="973"/>
      <c r="N171" s="83"/>
      <c r="O171" s="83"/>
      <c r="P171" s="83"/>
      <c r="Q171" s="83"/>
      <c r="R171" s="83"/>
      <c r="S171" s="83"/>
      <c r="T171" s="83"/>
      <c r="U171" s="83"/>
      <c r="V171" s="83"/>
    </row>
    <row r="172" spans="2:22" ht="24.95" customHeight="1">
      <c r="B172" s="150"/>
      <c r="N172" s="83"/>
      <c r="O172" s="83"/>
      <c r="P172" s="83"/>
      <c r="Q172" s="83"/>
      <c r="R172" s="83"/>
      <c r="S172" s="83"/>
      <c r="T172" s="83"/>
      <c r="U172" s="83"/>
      <c r="V172" s="83"/>
    </row>
    <row r="173" spans="2:22" ht="24.95" customHeight="1">
      <c r="B173" s="150" t="s">
        <v>747</v>
      </c>
      <c r="N173" s="83"/>
      <c r="O173" s="83"/>
      <c r="P173" s="83"/>
      <c r="Q173" s="83"/>
      <c r="R173" s="83"/>
      <c r="S173" s="83"/>
      <c r="T173" s="83"/>
      <c r="U173" s="83"/>
      <c r="V173" s="83"/>
    </row>
    <row r="174" spans="2:22" ht="24.95" customHeight="1">
      <c r="B174" s="150"/>
      <c r="N174" s="83"/>
      <c r="O174" s="83"/>
      <c r="P174" s="83"/>
      <c r="Q174" s="83"/>
      <c r="R174" s="83"/>
      <c r="S174" s="83"/>
      <c r="T174" s="83"/>
      <c r="U174" s="83"/>
      <c r="V174" s="83"/>
    </row>
    <row r="175" spans="2:22" ht="24.95" customHeight="1">
      <c r="B175" s="150"/>
      <c r="N175" s="83"/>
      <c r="O175" s="83"/>
      <c r="P175" s="83"/>
      <c r="Q175" s="83"/>
      <c r="R175" s="83"/>
      <c r="S175" s="83"/>
      <c r="T175" s="83"/>
      <c r="U175" s="83"/>
      <c r="V175" s="83"/>
    </row>
    <row r="176" spans="2:22" ht="24.95" customHeight="1">
      <c r="B176" s="965" t="s">
        <v>1104</v>
      </c>
      <c r="C176" s="966"/>
      <c r="D176" s="966"/>
      <c r="E176" s="966"/>
      <c r="F176" s="966"/>
      <c r="G176" s="966"/>
      <c r="H176" s="966"/>
      <c r="I176" s="966"/>
      <c r="J176" s="966"/>
      <c r="K176" s="966"/>
      <c r="L176" s="966"/>
      <c r="N176" s="83"/>
      <c r="O176" s="83"/>
      <c r="P176" s="83"/>
      <c r="Q176" s="83"/>
      <c r="R176" s="83"/>
      <c r="S176" s="83"/>
      <c r="T176" s="83"/>
      <c r="U176" s="83"/>
      <c r="V176" s="83"/>
    </row>
    <row r="177" spans="1:22" ht="24.95" customHeight="1">
      <c r="B177" s="966"/>
      <c r="C177" s="966"/>
      <c r="D177" s="966"/>
      <c r="E177" s="966"/>
      <c r="F177" s="966"/>
      <c r="G177" s="966"/>
      <c r="H177" s="966"/>
      <c r="I177" s="966"/>
      <c r="J177" s="966"/>
      <c r="K177" s="966"/>
      <c r="L177" s="966"/>
      <c r="N177" s="83"/>
      <c r="O177" s="83"/>
      <c r="P177" s="83"/>
      <c r="Q177" s="83"/>
      <c r="R177" s="83"/>
      <c r="S177" s="83"/>
      <c r="T177" s="83"/>
      <c r="U177" s="83"/>
      <c r="V177" s="83"/>
    </row>
    <row r="178" spans="1:22" ht="24.95" customHeight="1">
      <c r="N178" s="83"/>
      <c r="O178" s="83"/>
      <c r="P178" s="83"/>
      <c r="Q178" s="83"/>
      <c r="R178" s="83"/>
      <c r="S178" s="83"/>
      <c r="T178" s="83"/>
      <c r="U178" s="83"/>
      <c r="V178" s="83"/>
    </row>
    <row r="179" spans="1:22" ht="24.95" customHeight="1">
      <c r="C179" s="108"/>
      <c r="D179" s="108"/>
      <c r="E179" s="211"/>
      <c r="J179" s="729"/>
      <c r="K179" s="729"/>
      <c r="L179" s="729"/>
      <c r="N179" s="83"/>
      <c r="O179" s="83"/>
      <c r="P179" s="83"/>
      <c r="Q179" s="83"/>
      <c r="R179" s="83"/>
      <c r="S179" s="83"/>
      <c r="T179" s="83"/>
      <c r="U179" s="83"/>
      <c r="V179" s="83"/>
    </row>
    <row r="180" spans="1:22" ht="24.95" customHeight="1">
      <c r="C180" s="151"/>
      <c r="D180" s="151"/>
      <c r="E180" s="152" t="s">
        <v>748</v>
      </c>
      <c r="J180" s="746" t="s">
        <v>749</v>
      </c>
      <c r="K180" s="746"/>
      <c r="L180" s="746"/>
      <c r="N180" s="83"/>
      <c r="O180" s="83"/>
      <c r="P180" s="83"/>
      <c r="Q180" s="83"/>
      <c r="R180" s="83"/>
      <c r="S180" s="83"/>
      <c r="T180" s="83"/>
      <c r="U180" s="83"/>
      <c r="V180" s="83"/>
    </row>
    <row r="181" spans="1:22" ht="24.95" customHeight="1">
      <c r="A181" s="677" t="s">
        <v>743</v>
      </c>
      <c r="B181" s="677"/>
      <c r="C181" s="677"/>
      <c r="D181" s="677"/>
      <c r="E181" s="677"/>
      <c r="F181" s="677"/>
      <c r="G181" s="677"/>
      <c r="H181" s="677"/>
      <c r="I181" s="677"/>
      <c r="J181" s="677"/>
      <c r="K181" s="677"/>
      <c r="L181" s="677"/>
      <c r="M181" s="677"/>
      <c r="N181" s="83"/>
      <c r="O181" s="83"/>
      <c r="P181" s="83"/>
      <c r="Q181" s="83"/>
      <c r="R181" s="83"/>
      <c r="S181" s="83"/>
      <c r="T181" s="83"/>
      <c r="U181" s="83"/>
      <c r="V181" s="83"/>
    </row>
    <row r="182" spans="1:22" ht="24.95" customHeight="1">
      <c r="N182" s="83"/>
      <c r="O182" s="83"/>
      <c r="P182" s="83"/>
      <c r="Q182" s="83"/>
      <c r="R182" s="83"/>
      <c r="S182" s="83"/>
      <c r="T182" s="83"/>
      <c r="U182" s="83"/>
      <c r="V182" s="83"/>
    </row>
    <row r="183" spans="1:22" ht="24.95" customHeight="1">
      <c r="N183" s="83"/>
      <c r="O183" s="83"/>
      <c r="P183" s="83"/>
      <c r="Q183" s="83"/>
      <c r="R183" s="83"/>
      <c r="S183" s="83"/>
      <c r="T183" s="83"/>
      <c r="U183" s="83"/>
      <c r="V183" s="83"/>
    </row>
  </sheetData>
  <mergeCells count="242">
    <mergeCell ref="A104:B104"/>
    <mergeCell ref="A105:B105"/>
    <mergeCell ref="A106:B106"/>
    <mergeCell ref="A107:B107"/>
    <mergeCell ref="A100:B101"/>
    <mergeCell ref="A102:B103"/>
    <mergeCell ref="A140:J140"/>
    <mergeCell ref="B118:D118"/>
    <mergeCell ref="A110:B110"/>
    <mergeCell ref="A111:L111"/>
    <mergeCell ref="A114:L115"/>
    <mergeCell ref="A112:L112"/>
    <mergeCell ref="B121:D121"/>
    <mergeCell ref="B119:D119"/>
    <mergeCell ref="E117:L117"/>
    <mergeCell ref="B120:D120"/>
    <mergeCell ref="B122:D122"/>
    <mergeCell ref="F123:F125"/>
    <mergeCell ref="E122:G122"/>
    <mergeCell ref="A135:J135"/>
    <mergeCell ref="L135:M135"/>
    <mergeCell ref="A108:B108"/>
    <mergeCell ref="A133:K133"/>
    <mergeCell ref="L127:M127"/>
    <mergeCell ref="A148:J148"/>
    <mergeCell ref="A149:J149"/>
    <mergeCell ref="L144:M144"/>
    <mergeCell ref="A144:J144"/>
    <mergeCell ref="J131:K131"/>
    <mergeCell ref="J132:K132"/>
    <mergeCell ref="L133:M133"/>
    <mergeCell ref="L148:M148"/>
    <mergeCell ref="L149:M149"/>
    <mergeCell ref="L147:M147"/>
    <mergeCell ref="A137:M137"/>
    <mergeCell ref="L136:M136"/>
    <mergeCell ref="A134:J134"/>
    <mergeCell ref="A136:J136"/>
    <mergeCell ref="L140:M140"/>
    <mergeCell ref="A146:J146"/>
    <mergeCell ref="A145:J145"/>
    <mergeCell ref="L141:M141"/>
    <mergeCell ref="L145:M145"/>
    <mergeCell ref="L146:M146"/>
    <mergeCell ref="A141:J141"/>
    <mergeCell ref="A147:J147"/>
    <mergeCell ref="L143:M143"/>
    <mergeCell ref="A143:J143"/>
    <mergeCell ref="C161:E161"/>
    <mergeCell ref="J161:K161"/>
    <mergeCell ref="L155:M155"/>
    <mergeCell ref="L154:M154"/>
    <mergeCell ref="E158:M158"/>
    <mergeCell ref="A158:D158"/>
    <mergeCell ref="A160:L160"/>
    <mergeCell ref="L151:M151"/>
    <mergeCell ref="L150:M150"/>
    <mergeCell ref="L131:M131"/>
    <mergeCell ref="A131:H131"/>
    <mergeCell ref="L130:M130"/>
    <mergeCell ref="A130:J130"/>
    <mergeCell ref="A139:J139"/>
    <mergeCell ref="A132:H132"/>
    <mergeCell ref="A138:L138"/>
    <mergeCell ref="L134:M134"/>
    <mergeCell ref="A127:J127"/>
    <mergeCell ref="L102:L103"/>
    <mergeCell ref="C102:C103"/>
    <mergeCell ref="M100:M101"/>
    <mergeCell ref="M102:M103"/>
    <mergeCell ref="K100:K101"/>
    <mergeCell ref="L100:L101"/>
    <mergeCell ref="E102:E103"/>
    <mergeCell ref="F102:F103"/>
    <mergeCell ref="G102:G103"/>
    <mergeCell ref="J102:J103"/>
    <mergeCell ref="K102:K103"/>
    <mergeCell ref="I100:I101"/>
    <mergeCell ref="J100:J101"/>
    <mergeCell ref="J123:J125"/>
    <mergeCell ref="A109:B109"/>
    <mergeCell ref="B116:D116"/>
    <mergeCell ref="A113:L113"/>
    <mergeCell ref="E116:L116"/>
    <mergeCell ref="I123:I125"/>
    <mergeCell ref="E120:L120"/>
    <mergeCell ref="E121:L121"/>
    <mergeCell ref="E123:E125"/>
    <mergeCell ref="E118:L118"/>
    <mergeCell ref="E119:L119"/>
    <mergeCell ref="B117:D117"/>
    <mergeCell ref="M91:M92"/>
    <mergeCell ref="A92:I92"/>
    <mergeCell ref="J92:L92"/>
    <mergeCell ref="H93:H95"/>
    <mergeCell ref="I93:I95"/>
    <mergeCell ref="A93:B95"/>
    <mergeCell ref="E93:F93"/>
    <mergeCell ref="J93:M93"/>
    <mergeCell ref="E94:E95"/>
    <mergeCell ref="F94:F95"/>
    <mergeCell ref="A91:L91"/>
    <mergeCell ref="M94:M95"/>
    <mergeCell ref="A98:B98"/>
    <mergeCell ref="A99:B99"/>
    <mergeCell ref="A96:B96"/>
    <mergeCell ref="J94:J95"/>
    <mergeCell ref="K94:K95"/>
    <mergeCell ref="L94:L95"/>
    <mergeCell ref="I50:I51"/>
    <mergeCell ref="J50:J51"/>
    <mergeCell ref="A57:D57"/>
    <mergeCell ref="A58:D58"/>
    <mergeCell ref="A59:D59"/>
    <mergeCell ref="A60:D60"/>
    <mergeCell ref="A61:D61"/>
    <mergeCell ref="A62:D62"/>
    <mergeCell ref="A63:D63"/>
    <mergeCell ref="A64:D64"/>
    <mergeCell ref="A65:D65"/>
    <mergeCell ref="A66:D66"/>
    <mergeCell ref="A67:L67"/>
    <mergeCell ref="A68:L68"/>
    <mergeCell ref="A69:L69"/>
    <mergeCell ref="A79:D79"/>
    <mergeCell ref="A80:D80"/>
    <mergeCell ref="A81:D81"/>
    <mergeCell ref="B30:M30"/>
    <mergeCell ref="B31:M31"/>
    <mergeCell ref="B32:M32"/>
    <mergeCell ref="A97:B97"/>
    <mergeCell ref="B33:M33"/>
    <mergeCell ref="B34:M34"/>
    <mergeCell ref="A45:M45"/>
    <mergeCell ref="G93:G95"/>
    <mergeCell ref="C93:C95"/>
    <mergeCell ref="A49:D51"/>
    <mergeCell ref="E49:E51"/>
    <mergeCell ref="F49:F51"/>
    <mergeCell ref="G49:G51"/>
    <mergeCell ref="H49:L49"/>
    <mergeCell ref="M49:M51"/>
    <mergeCell ref="H50:H51"/>
    <mergeCell ref="K50:K51"/>
    <mergeCell ref="L50:L51"/>
    <mergeCell ref="A52:D52"/>
    <mergeCell ref="A53:D53"/>
    <mergeCell ref="A54:D54"/>
    <mergeCell ref="A55:D55"/>
    <mergeCell ref="A56:D56"/>
    <mergeCell ref="A46:L46"/>
    <mergeCell ref="F9:L9"/>
    <mergeCell ref="G11:L11"/>
    <mergeCell ref="M1:M2"/>
    <mergeCell ref="A23:M23"/>
    <mergeCell ref="A47:L47"/>
    <mergeCell ref="G12:L12"/>
    <mergeCell ref="F14:L14"/>
    <mergeCell ref="B28:M28"/>
    <mergeCell ref="F19:L19"/>
    <mergeCell ref="B27:M27"/>
    <mergeCell ref="A24:L24"/>
    <mergeCell ref="A14:E14"/>
    <mergeCell ref="G16:L16"/>
    <mergeCell ref="G17:L17"/>
    <mergeCell ref="G18:L18"/>
    <mergeCell ref="A1:L2"/>
    <mergeCell ref="A4:L4"/>
    <mergeCell ref="A5:L5"/>
    <mergeCell ref="A6:L6"/>
    <mergeCell ref="A7:L7"/>
    <mergeCell ref="M47:M48"/>
    <mergeCell ref="A48:I48"/>
    <mergeCell ref="J48:L48"/>
    <mergeCell ref="B29:M29"/>
    <mergeCell ref="M69:M70"/>
    <mergeCell ref="A70:I70"/>
    <mergeCell ref="J70:L70"/>
    <mergeCell ref="A78:D78"/>
    <mergeCell ref="A71:D73"/>
    <mergeCell ref="H71:M71"/>
    <mergeCell ref="H72:H73"/>
    <mergeCell ref="I72:I73"/>
    <mergeCell ref="J72:J73"/>
    <mergeCell ref="K72:K73"/>
    <mergeCell ref="L72:L73"/>
    <mergeCell ref="M72:M73"/>
    <mergeCell ref="E71:E73"/>
    <mergeCell ref="F71:F73"/>
    <mergeCell ref="G71:G73"/>
    <mergeCell ref="A74:D74"/>
    <mergeCell ref="A75:D75"/>
    <mergeCell ref="A76:D76"/>
    <mergeCell ref="A77:D77"/>
    <mergeCell ref="A82:D82"/>
    <mergeCell ref="A83:D83"/>
    <mergeCell ref="A84:D84"/>
    <mergeCell ref="A85:D85"/>
    <mergeCell ref="A86:D86"/>
    <mergeCell ref="A87:D87"/>
    <mergeCell ref="A88:D88"/>
    <mergeCell ref="A89:L89"/>
    <mergeCell ref="G123:G125"/>
    <mergeCell ref="L125:L126"/>
    <mergeCell ref="F126:I126"/>
    <mergeCell ref="B124:C124"/>
    <mergeCell ref="H123:H125"/>
    <mergeCell ref="A126:E126"/>
    <mergeCell ref="D93:D95"/>
    <mergeCell ref="A90:L90"/>
    <mergeCell ref="C100:C101"/>
    <mergeCell ref="E100:E101"/>
    <mergeCell ref="F100:F101"/>
    <mergeCell ref="G100:G101"/>
    <mergeCell ref="H100:H101"/>
    <mergeCell ref="B123:D123"/>
    <mergeCell ref="H102:H103"/>
    <mergeCell ref="I102:I103"/>
    <mergeCell ref="A181:M181"/>
    <mergeCell ref="J179:L179"/>
    <mergeCell ref="J180:L180"/>
    <mergeCell ref="B176:L177"/>
    <mergeCell ref="L128:M128"/>
    <mergeCell ref="L129:M129"/>
    <mergeCell ref="A129:J129"/>
    <mergeCell ref="A128:J128"/>
    <mergeCell ref="L132:M132"/>
    <mergeCell ref="L139:M139"/>
    <mergeCell ref="F170:I171"/>
    <mergeCell ref="A151:J151"/>
    <mergeCell ref="A150:J150"/>
    <mergeCell ref="A142:J142"/>
    <mergeCell ref="L142:M142"/>
    <mergeCell ref="B163:L163"/>
    <mergeCell ref="L152:M152"/>
    <mergeCell ref="L153:M153"/>
    <mergeCell ref="A154:J154"/>
    <mergeCell ref="A155:J155"/>
    <mergeCell ref="A159:M159"/>
    <mergeCell ref="A156:M157"/>
    <mergeCell ref="A152:J152"/>
    <mergeCell ref="A153:J153"/>
  </mergeCells>
  <phoneticPr fontId="0" type="noConversion"/>
  <pageMargins left="0.5" right="0.5" top="0.5" bottom="0.5" header="0.5" footer="0.5"/>
  <pageSetup paperSize="5" scale="90" orientation="landscape" r:id="rId1"/>
  <headerFooter alignWithMargins="0"/>
  <rowBreaks count="7" manualBreakCount="7">
    <brk id="23" max="12" man="1"/>
    <brk id="45" max="12" man="1"/>
    <brk id="67" max="12" man="1"/>
    <brk id="89" max="12" man="1"/>
    <brk id="111" max="12" man="1"/>
    <brk id="137" max="12" man="1"/>
    <brk id="159" max="12" man="1"/>
  </rowBreaks>
  <legacyDrawing r:id="rId2"/>
</worksheet>
</file>

<file path=xl/worksheets/sheet9.xml><?xml version="1.0" encoding="utf-8"?>
<worksheet xmlns="http://schemas.openxmlformats.org/spreadsheetml/2006/main" xmlns:r="http://schemas.openxmlformats.org/officeDocument/2006/relationships">
  <sheetPr>
    <tabColor rgb="FFFF0000"/>
  </sheetPr>
  <dimension ref="A1:Q25"/>
  <sheetViews>
    <sheetView view="pageBreakPreview" zoomScale="80" zoomScaleNormal="75" zoomScaleSheetLayoutView="80" workbookViewId="0">
      <selection activeCell="O28" sqref="O28"/>
    </sheetView>
  </sheetViews>
  <sheetFormatPr defaultRowHeight="21.95" customHeight="1"/>
  <cols>
    <col min="3" max="4" width="7.42578125" customWidth="1"/>
    <col min="5" max="7" width="13.140625" customWidth="1"/>
    <col min="9" max="9" width="21.7109375" customWidth="1"/>
    <col min="10" max="10" width="10.42578125" customWidth="1"/>
    <col min="11" max="14" width="13.140625" customWidth="1"/>
  </cols>
  <sheetData>
    <row r="1" spans="1:17" ht="21.95" customHeight="1">
      <c r="A1" s="1116" t="s">
        <v>175</v>
      </c>
      <c r="B1" s="923"/>
      <c r="C1" s="923"/>
      <c r="D1" s="923"/>
      <c r="E1" s="923"/>
      <c r="F1" s="923"/>
      <c r="G1" s="923"/>
      <c r="H1" s="923"/>
      <c r="I1" s="923"/>
      <c r="J1" s="923"/>
      <c r="K1" s="923"/>
      <c r="L1" s="923"/>
      <c r="M1" s="923"/>
      <c r="N1" s="235" t="s">
        <v>795</v>
      </c>
      <c r="O1" s="91"/>
      <c r="P1" s="91"/>
      <c r="Q1" s="91"/>
    </row>
    <row r="2" spans="1:17" ht="21.95" customHeight="1">
      <c r="A2" s="1117" t="s">
        <v>751</v>
      </c>
      <c r="B2" s="1118"/>
      <c r="C2" s="1118"/>
      <c r="D2" s="1126" t="s">
        <v>793</v>
      </c>
      <c r="E2" s="1127" t="s">
        <v>522</v>
      </c>
      <c r="F2" s="1127"/>
      <c r="G2" s="1128" t="s">
        <v>1393</v>
      </c>
      <c r="H2" s="1130" t="s">
        <v>756</v>
      </c>
      <c r="I2" s="1131"/>
      <c r="J2" s="1126" t="s">
        <v>793</v>
      </c>
      <c r="K2" s="925" t="s">
        <v>523</v>
      </c>
      <c r="L2" s="925"/>
      <c r="M2" s="1123" t="s">
        <v>1364</v>
      </c>
      <c r="N2" s="925"/>
    </row>
    <row r="3" spans="1:17" ht="21.95" customHeight="1">
      <c r="A3" s="1119"/>
      <c r="B3" s="1120"/>
      <c r="C3" s="1120"/>
      <c r="D3" s="932"/>
      <c r="E3" s="299" t="s">
        <v>1349</v>
      </c>
      <c r="F3" s="299" t="s">
        <v>1266</v>
      </c>
      <c r="G3" s="1129"/>
      <c r="H3" s="1132"/>
      <c r="I3" s="1133"/>
      <c r="J3" s="932"/>
      <c r="K3" s="273" t="s">
        <v>1396</v>
      </c>
      <c r="L3" s="273" t="s">
        <v>1266</v>
      </c>
      <c r="M3" s="155" t="s">
        <v>925</v>
      </c>
      <c r="N3" s="154" t="s">
        <v>927</v>
      </c>
    </row>
    <row r="4" spans="1:17" ht="21.95" customHeight="1">
      <c r="A4" s="1121" t="s">
        <v>752</v>
      </c>
      <c r="B4" s="1122"/>
      <c r="C4" s="1122"/>
      <c r="D4" s="153" t="s">
        <v>102</v>
      </c>
      <c r="E4" s="49"/>
      <c r="F4" s="49"/>
      <c r="G4" s="156"/>
      <c r="H4" s="1124" t="s">
        <v>757</v>
      </c>
      <c r="I4" s="1068"/>
      <c r="J4" s="233"/>
      <c r="K4" s="153" t="s">
        <v>122</v>
      </c>
      <c r="L4" s="153" t="s">
        <v>122</v>
      </c>
      <c r="M4" s="153" t="s">
        <v>122</v>
      </c>
      <c r="N4" s="153" t="s">
        <v>122</v>
      </c>
    </row>
    <row r="5" spans="1:17" ht="21.95" customHeight="1">
      <c r="A5" s="774"/>
      <c r="B5" s="728"/>
      <c r="C5" s="728"/>
      <c r="D5" s="153"/>
      <c r="E5" s="49"/>
      <c r="F5" s="49"/>
      <c r="G5" s="156"/>
      <c r="H5" s="1111" t="s">
        <v>949</v>
      </c>
      <c r="I5" s="1112"/>
      <c r="J5" s="234" t="s">
        <v>639</v>
      </c>
      <c r="K5" s="49"/>
      <c r="L5" s="49"/>
      <c r="M5" s="49"/>
      <c r="N5" s="49"/>
    </row>
    <row r="6" spans="1:17" ht="21.95" customHeight="1">
      <c r="A6" s="1125" t="s">
        <v>753</v>
      </c>
      <c r="B6" s="720"/>
      <c r="C6" s="720"/>
      <c r="D6" s="153" t="s">
        <v>103</v>
      </c>
      <c r="E6" s="49"/>
      <c r="F6" s="49"/>
      <c r="G6" s="156"/>
      <c r="H6" s="1111" t="s">
        <v>929</v>
      </c>
      <c r="I6" s="1112"/>
      <c r="J6" s="234" t="s">
        <v>640</v>
      </c>
      <c r="K6" s="49"/>
      <c r="L6" s="49"/>
      <c r="M6" s="49"/>
      <c r="N6" s="49"/>
    </row>
    <row r="7" spans="1:17" ht="21.95" customHeight="1">
      <c r="A7" s="774"/>
      <c r="B7" s="728"/>
      <c r="C7" s="728"/>
      <c r="D7" s="153"/>
      <c r="E7" s="49"/>
      <c r="F7" s="49"/>
      <c r="G7" s="156"/>
      <c r="H7" s="1124" t="s">
        <v>758</v>
      </c>
      <c r="I7" s="1068"/>
      <c r="J7" s="234"/>
      <c r="K7" s="153" t="s">
        <v>122</v>
      </c>
      <c r="L7" s="153" t="s">
        <v>122</v>
      </c>
      <c r="M7" s="153" t="s">
        <v>122</v>
      </c>
      <c r="N7" s="153" t="s">
        <v>122</v>
      </c>
    </row>
    <row r="8" spans="1:17" ht="21.95" customHeight="1">
      <c r="A8" s="1125" t="s">
        <v>754</v>
      </c>
      <c r="B8" s="720"/>
      <c r="C8" s="720"/>
      <c r="D8" s="153"/>
      <c r="E8" s="49"/>
      <c r="F8" s="49"/>
      <c r="G8" s="156"/>
      <c r="H8" s="1111" t="s">
        <v>949</v>
      </c>
      <c r="I8" s="1112"/>
      <c r="J8" s="234" t="s">
        <v>641</v>
      </c>
      <c r="K8" s="49"/>
      <c r="L8" s="49"/>
      <c r="M8" s="49"/>
      <c r="N8" s="49"/>
    </row>
    <row r="9" spans="1:17" ht="21.95" customHeight="1">
      <c r="A9" s="774"/>
      <c r="B9" s="728"/>
      <c r="C9" s="728"/>
      <c r="D9" s="153"/>
      <c r="E9" s="49"/>
      <c r="F9" s="49"/>
      <c r="G9" s="156"/>
      <c r="H9" s="1111" t="s">
        <v>929</v>
      </c>
      <c r="I9" s="1112"/>
      <c r="J9" s="234" t="s">
        <v>642</v>
      </c>
      <c r="K9" s="49"/>
      <c r="L9" s="49"/>
      <c r="M9" s="49"/>
      <c r="N9" s="49"/>
    </row>
    <row r="10" spans="1:17" ht="21.95" customHeight="1">
      <c r="A10" s="774"/>
      <c r="B10" s="728"/>
      <c r="C10" s="728"/>
      <c r="D10" s="153"/>
      <c r="E10" s="49"/>
      <c r="F10" s="49"/>
      <c r="G10" s="156"/>
      <c r="H10" s="1109" t="s">
        <v>759</v>
      </c>
      <c r="I10" s="754"/>
      <c r="J10" s="234"/>
      <c r="K10" s="153" t="s">
        <v>122</v>
      </c>
      <c r="L10" s="153" t="s">
        <v>122</v>
      </c>
      <c r="M10" s="153" t="s">
        <v>122</v>
      </c>
      <c r="N10" s="153" t="s">
        <v>122</v>
      </c>
    </row>
    <row r="11" spans="1:17" ht="21.95" customHeight="1">
      <c r="A11" s="774"/>
      <c r="B11" s="728"/>
      <c r="C11" s="728"/>
      <c r="D11" s="153"/>
      <c r="E11" s="49"/>
      <c r="F11" s="49"/>
      <c r="G11" s="156"/>
      <c r="H11" s="1111" t="s">
        <v>949</v>
      </c>
      <c r="I11" s="1112"/>
      <c r="J11" s="234" t="s">
        <v>643</v>
      </c>
      <c r="K11" s="7"/>
      <c r="L11" s="49"/>
      <c r="M11" s="49"/>
      <c r="N11" s="49"/>
    </row>
    <row r="12" spans="1:17" ht="21.95" customHeight="1">
      <c r="A12" s="774"/>
      <c r="B12" s="728"/>
      <c r="C12" s="728"/>
      <c r="D12" s="153"/>
      <c r="E12" s="49"/>
      <c r="F12" s="49"/>
      <c r="G12" s="156"/>
      <c r="H12" s="1111" t="s">
        <v>929</v>
      </c>
      <c r="I12" s="1112"/>
      <c r="J12" s="234" t="s">
        <v>644</v>
      </c>
      <c r="K12" s="49"/>
      <c r="L12" s="49"/>
      <c r="M12" s="49"/>
      <c r="N12" s="49"/>
    </row>
    <row r="13" spans="1:17" ht="21.95" customHeight="1">
      <c r="A13" s="774"/>
      <c r="B13" s="728"/>
      <c r="C13" s="728"/>
      <c r="D13" s="153"/>
      <c r="E13" s="49"/>
      <c r="F13" s="49"/>
      <c r="G13" s="156"/>
      <c r="H13" s="1109"/>
      <c r="I13" s="754"/>
      <c r="J13" s="234"/>
      <c r="K13" s="49"/>
      <c r="L13" s="49"/>
      <c r="M13" s="49"/>
      <c r="N13" s="49"/>
    </row>
    <row r="14" spans="1:17" ht="21.95" customHeight="1">
      <c r="A14" s="774"/>
      <c r="B14" s="728"/>
      <c r="C14" s="728"/>
      <c r="D14" s="153"/>
      <c r="E14" s="49"/>
      <c r="F14" s="49"/>
      <c r="G14" s="156"/>
      <c r="H14" s="1124" t="s">
        <v>760</v>
      </c>
      <c r="I14" s="1068"/>
      <c r="J14" s="234" t="s">
        <v>645</v>
      </c>
      <c r="K14" s="49"/>
      <c r="L14" s="49"/>
      <c r="M14" s="49"/>
      <c r="N14" s="49"/>
    </row>
    <row r="15" spans="1:17" ht="21.95" customHeight="1">
      <c r="A15" s="774"/>
      <c r="B15" s="728"/>
      <c r="C15" s="728"/>
      <c r="D15" s="153"/>
      <c r="E15" s="49"/>
      <c r="F15" s="49"/>
      <c r="G15" s="156"/>
      <c r="H15" s="1109" t="s">
        <v>761</v>
      </c>
      <c r="I15" s="754"/>
      <c r="J15" s="234" t="s">
        <v>646</v>
      </c>
      <c r="K15" s="49"/>
      <c r="L15" s="49"/>
      <c r="M15" s="49"/>
      <c r="N15" s="49"/>
    </row>
    <row r="16" spans="1:17" ht="21.95" customHeight="1" thickBot="1">
      <c r="A16" s="230" t="s">
        <v>755</v>
      </c>
      <c r="B16" s="231"/>
      <c r="C16" s="231"/>
      <c r="D16" s="232" t="s">
        <v>104</v>
      </c>
      <c r="E16" s="157"/>
      <c r="F16" s="157"/>
      <c r="G16" s="88"/>
      <c r="H16" s="1109" t="s">
        <v>527</v>
      </c>
      <c r="I16" s="754"/>
      <c r="J16" s="234" t="s">
        <v>647</v>
      </c>
      <c r="K16" s="49"/>
      <c r="L16" s="49"/>
      <c r="M16" s="49"/>
      <c r="N16" s="49"/>
    </row>
    <row r="17" spans="1:14" ht="21.95" customHeight="1" thickTop="1">
      <c r="A17" s="1100" t="s">
        <v>765</v>
      </c>
      <c r="B17" s="1101"/>
      <c r="C17" s="1101"/>
      <c r="D17" s="1101"/>
      <c r="E17" s="1101"/>
      <c r="F17" s="1101"/>
      <c r="G17" s="1102"/>
      <c r="H17" s="1109" t="s">
        <v>530</v>
      </c>
      <c r="I17" s="754"/>
      <c r="J17" s="234"/>
      <c r="K17" s="153" t="s">
        <v>122</v>
      </c>
      <c r="L17" s="153" t="s">
        <v>122</v>
      </c>
      <c r="M17" s="153" t="s">
        <v>122</v>
      </c>
      <c r="N17" s="153" t="s">
        <v>122</v>
      </c>
    </row>
    <row r="18" spans="1:14" ht="21.95" customHeight="1">
      <c r="A18" s="1103" t="s">
        <v>766</v>
      </c>
      <c r="B18" s="1104"/>
      <c r="C18" s="1104"/>
      <c r="D18" s="1104"/>
      <c r="E18" s="1104"/>
      <c r="F18" s="163"/>
      <c r="G18" s="236" t="s">
        <v>654</v>
      </c>
      <c r="H18" s="1111" t="s">
        <v>246</v>
      </c>
      <c r="I18" s="1112"/>
      <c r="J18" s="234" t="s">
        <v>648</v>
      </c>
      <c r="K18" s="49"/>
      <c r="L18" s="49"/>
      <c r="M18" s="49"/>
      <c r="N18" s="153" t="s">
        <v>122</v>
      </c>
    </row>
    <row r="19" spans="1:14" ht="21.95" customHeight="1">
      <c r="A19" s="1105" t="s">
        <v>767</v>
      </c>
      <c r="B19" s="1106"/>
      <c r="C19" s="1106"/>
      <c r="D19" s="1106"/>
      <c r="E19" s="1106"/>
      <c r="F19" s="160"/>
      <c r="G19" s="158"/>
      <c r="H19" s="1114" t="s">
        <v>762</v>
      </c>
      <c r="I19" s="1115"/>
      <c r="J19" s="234" t="s">
        <v>649</v>
      </c>
      <c r="K19" s="49"/>
      <c r="L19" s="49"/>
      <c r="M19" s="49"/>
      <c r="N19" s="153" t="s">
        <v>122</v>
      </c>
    </row>
    <row r="20" spans="1:14" ht="21.95" customHeight="1">
      <c r="A20" s="1105" t="s">
        <v>768</v>
      </c>
      <c r="B20" s="1106"/>
      <c r="C20" s="1106"/>
      <c r="D20" s="1106"/>
      <c r="E20" s="1106"/>
      <c r="F20" s="161"/>
      <c r="G20" s="158"/>
      <c r="H20" s="1111" t="s">
        <v>248</v>
      </c>
      <c r="I20" s="1112"/>
      <c r="J20" s="234" t="s">
        <v>650</v>
      </c>
      <c r="K20" s="49"/>
      <c r="L20" s="49"/>
      <c r="M20" s="49"/>
      <c r="N20" s="153" t="s">
        <v>122</v>
      </c>
    </row>
    <row r="21" spans="1:14" ht="21.95" customHeight="1">
      <c r="A21" s="1110" t="s">
        <v>769</v>
      </c>
      <c r="B21" s="1106"/>
      <c r="C21" s="1106"/>
      <c r="D21" s="1106"/>
      <c r="E21" s="1106"/>
      <c r="F21" s="162"/>
      <c r="G21" s="158"/>
      <c r="H21" s="1111" t="s">
        <v>249</v>
      </c>
      <c r="I21" s="1112"/>
      <c r="J21" s="234" t="s">
        <v>651</v>
      </c>
      <c r="K21" s="49"/>
      <c r="L21" s="49"/>
      <c r="M21" s="49"/>
      <c r="N21" s="153" t="s">
        <v>122</v>
      </c>
    </row>
    <row r="22" spans="1:14" ht="21.95" customHeight="1">
      <c r="A22" s="1110" t="s">
        <v>770</v>
      </c>
      <c r="B22" s="1106"/>
      <c r="C22" s="1106"/>
      <c r="D22" s="1106"/>
      <c r="E22" s="1106"/>
      <c r="F22" s="162"/>
      <c r="G22" s="236" t="s">
        <v>655</v>
      </c>
      <c r="H22" s="1109"/>
      <c r="I22" s="754"/>
      <c r="J22" s="234"/>
      <c r="K22" s="49"/>
      <c r="L22" s="49"/>
      <c r="M22" s="49"/>
      <c r="N22" s="49"/>
    </row>
    <row r="23" spans="1:14" ht="21.95" customHeight="1">
      <c r="A23" s="1113" t="s">
        <v>1394</v>
      </c>
      <c r="B23" s="1106"/>
      <c r="C23" s="1106"/>
      <c r="D23" s="1106"/>
      <c r="E23" s="1106"/>
      <c r="F23" s="162"/>
      <c r="G23" s="236" t="s">
        <v>655</v>
      </c>
      <c r="H23" s="1109" t="s">
        <v>763</v>
      </c>
      <c r="I23" s="754"/>
      <c r="J23" s="234" t="s">
        <v>652</v>
      </c>
      <c r="K23" s="49"/>
      <c r="L23" s="49"/>
      <c r="M23" s="49"/>
      <c r="N23" s="49"/>
    </row>
    <row r="24" spans="1:14" ht="21.95" customHeight="1" thickBot="1">
      <c r="A24" s="1107" t="s">
        <v>1395</v>
      </c>
      <c r="B24" s="1108"/>
      <c r="C24" s="1108"/>
      <c r="D24" s="1108"/>
      <c r="E24" s="1108"/>
      <c r="F24" s="159"/>
      <c r="G24" s="237" t="s">
        <v>655</v>
      </c>
      <c r="H24" s="1109" t="s">
        <v>764</v>
      </c>
      <c r="I24" s="754"/>
      <c r="J24" s="234" t="s">
        <v>653</v>
      </c>
      <c r="K24" s="49"/>
      <c r="L24" s="49"/>
      <c r="M24" s="49"/>
      <c r="N24" s="49"/>
    </row>
    <row r="25" spans="1:14" ht="21.95" customHeight="1" thickTop="1">
      <c r="A25" s="677" t="s">
        <v>750</v>
      </c>
      <c r="B25" s="677"/>
      <c r="C25" s="677"/>
      <c r="D25" s="677"/>
      <c r="E25" s="677"/>
      <c r="F25" s="677"/>
      <c r="G25" s="677"/>
      <c r="H25" s="677"/>
      <c r="I25" s="677"/>
      <c r="J25" s="677"/>
      <c r="K25" s="677"/>
      <c r="L25" s="677"/>
      <c r="M25" s="677"/>
      <c r="N25" s="677"/>
    </row>
  </sheetData>
  <mergeCells count="51">
    <mergeCell ref="A6:C6"/>
    <mergeCell ref="J2:J3"/>
    <mergeCell ref="D2:D3"/>
    <mergeCell ref="A13:C13"/>
    <mergeCell ref="E2:F2"/>
    <mergeCell ref="G2:G3"/>
    <mergeCell ref="H2:I3"/>
    <mergeCell ref="H5:I5"/>
    <mergeCell ref="H11:I11"/>
    <mergeCell ref="H7:I7"/>
    <mergeCell ref="H8:I8"/>
    <mergeCell ref="H4:I4"/>
    <mergeCell ref="A5:C5"/>
    <mergeCell ref="A8:C8"/>
    <mergeCell ref="A15:C15"/>
    <mergeCell ref="A1:M1"/>
    <mergeCell ref="K2:L2"/>
    <mergeCell ref="A2:C3"/>
    <mergeCell ref="A9:C9"/>
    <mergeCell ref="A4:C4"/>
    <mergeCell ref="A10:C10"/>
    <mergeCell ref="A7:C7"/>
    <mergeCell ref="H6:I6"/>
    <mergeCell ref="M2:N2"/>
    <mergeCell ref="A14:C14"/>
    <mergeCell ref="H14:I14"/>
    <mergeCell ref="H12:I12"/>
    <mergeCell ref="H10:I10"/>
    <mergeCell ref="A12:C12"/>
    <mergeCell ref="A11:C11"/>
    <mergeCell ref="H19:I19"/>
    <mergeCell ref="H9:I9"/>
    <mergeCell ref="H16:I16"/>
    <mergeCell ref="H15:I15"/>
    <mergeCell ref="H13:I13"/>
    <mergeCell ref="A25:N25"/>
    <mergeCell ref="A17:G17"/>
    <mergeCell ref="A18:E18"/>
    <mergeCell ref="A19:E19"/>
    <mergeCell ref="A24:E24"/>
    <mergeCell ref="H24:I24"/>
    <mergeCell ref="A22:E22"/>
    <mergeCell ref="A21:E21"/>
    <mergeCell ref="H22:I22"/>
    <mergeCell ref="H23:I23"/>
    <mergeCell ref="H21:I21"/>
    <mergeCell ref="A23:E23"/>
    <mergeCell ref="H18:I18"/>
    <mergeCell ref="A20:E20"/>
    <mergeCell ref="H20:I20"/>
    <mergeCell ref="H17:I17"/>
  </mergeCells>
  <phoneticPr fontId="27" type="noConversion"/>
  <pageMargins left="0.5" right="0.5" top="0.5" bottom="0.5" header="0.5" footer="0.5"/>
  <pageSetup paperSize="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Sh A-2</vt:lpstr>
      <vt:lpstr>Sh 3-3c-1</vt:lpstr>
      <vt:lpstr>Sh 3b-2</vt:lpstr>
      <vt:lpstr>Sh 4-11a</vt:lpstr>
      <vt:lpstr>Sh 12-30a</vt:lpstr>
      <vt:lpstr>Sh 31-38</vt:lpstr>
      <vt:lpstr>Sh 39</vt:lpstr>
      <vt:lpstr>Sh 40-42,44</vt:lpstr>
      <vt:lpstr>Sh 43</vt:lpstr>
      <vt:lpstr>'Sh 12-30a'!Print_Area</vt:lpstr>
      <vt:lpstr>'Sh 40-42,44'!Print_Area</vt:lpstr>
      <vt:lpstr>'Sh 4-11a'!Print_Area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Kyles</dc:creator>
  <cp:lastModifiedBy>jhirschmanner</cp:lastModifiedBy>
  <cp:lastPrinted>2015-10-28T18:26:51Z</cp:lastPrinted>
  <dcterms:created xsi:type="dcterms:W3CDTF">2002-08-29T14:04:17Z</dcterms:created>
  <dcterms:modified xsi:type="dcterms:W3CDTF">2015-10-28T21:04:29Z</dcterms:modified>
</cp:coreProperties>
</file>