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V:\AQES\Asst Commr Office\RGGI\2018 rule proposals\12 17 18 postings\"/>
    </mc:Choice>
  </mc:AlternateContent>
  <xr:revisionPtr revIDLastSave="0" documentId="8_{80F885E7-D913-441E-8F8E-22EC234786F0}" xr6:coauthVersionLast="36" xr6:coauthVersionMax="36" xr10:uidLastSave="{00000000-0000-0000-0000-000000000000}"/>
  <bookViews>
    <workbookView xWindow="0" yWindow="0" windowWidth="18870" windowHeight="7650" activeTab="3" xr2:uid="{00000000-000D-0000-FFFF-FFFF00000000}"/>
  </bookViews>
  <sheets>
    <sheet name="Firm-NYISO 2018" sheetId="1" r:id="rId1"/>
    <sheet name="Firm-PJM 2018" sheetId="2" r:id="rId2"/>
    <sheet name="Firm-ISONE 2018" sheetId="3" r:id="rId3"/>
    <sheet name="Transmission Projects" sheetId="4" r:id="rId4"/>
  </sheets>
  <definedNames>
    <definedName name="_xlnm._FilterDatabase" localSheetId="2" hidden="1">'Firm-ISONE 2018'!$A$6:$L$79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8" i="3" l="1"/>
  <c r="K78" i="3"/>
  <c r="J78" i="3"/>
  <c r="I78" i="3"/>
  <c r="H78" i="3"/>
  <c r="K73" i="3"/>
  <c r="I73" i="3"/>
  <c r="H73" i="3"/>
  <c r="J72" i="3"/>
  <c r="J71" i="3"/>
  <c r="L71" i="3" s="1"/>
  <c r="I68" i="3"/>
  <c r="K56" i="3"/>
  <c r="L56" i="3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J38" i="3"/>
  <c r="L38" i="3" s="1"/>
  <c r="J37" i="3"/>
  <c r="L37" i="3" s="1"/>
  <c r="J36" i="3"/>
  <c r="L36" i="3" s="1"/>
  <c r="J35" i="3"/>
  <c r="L35" i="3" s="1"/>
  <c r="J34" i="3"/>
  <c r="L34" i="3" s="1"/>
  <c r="J33" i="3"/>
  <c r="L33" i="3" s="1"/>
  <c r="J32" i="3"/>
  <c r="L32" i="3" s="1"/>
  <c r="J31" i="3"/>
  <c r="L31" i="3" s="1"/>
  <c r="J30" i="3"/>
  <c r="L30" i="3" s="1"/>
  <c r="J29" i="3"/>
  <c r="L29" i="3" s="1"/>
  <c r="J28" i="3"/>
  <c r="L28" i="3" s="1"/>
  <c r="J27" i="3"/>
  <c r="H16" i="3"/>
  <c r="H68" i="3" s="1"/>
  <c r="L15" i="3"/>
  <c r="K15" i="3"/>
  <c r="J15" i="3"/>
  <c r="I15" i="3"/>
  <c r="H15" i="3"/>
  <c r="M54" i="2"/>
  <c r="K54" i="2"/>
  <c r="J54" i="2"/>
  <c r="I54" i="2"/>
  <c r="H54" i="2"/>
  <c r="L46" i="2"/>
  <c r="L45" i="2"/>
  <c r="L44" i="2"/>
  <c r="L43" i="2"/>
  <c r="L42" i="2"/>
  <c r="M19" i="2"/>
  <c r="K19" i="2"/>
  <c r="J19" i="2"/>
  <c r="I19" i="2"/>
  <c r="H19" i="2"/>
  <c r="L17" i="2"/>
  <c r="L19" i="2" s="1"/>
  <c r="L10" i="2"/>
  <c r="L16" i="2" s="1"/>
  <c r="L54" i="2" l="1"/>
  <c r="J68" i="3"/>
  <c r="K68" i="3"/>
  <c r="K79" i="3"/>
  <c r="L27" i="3"/>
  <c r="L39" i="3"/>
  <c r="I79" i="3"/>
  <c r="H79" i="3"/>
  <c r="J73" i="3"/>
  <c r="J79" i="3"/>
  <c r="L72" i="3"/>
  <c r="L73" i="3" s="1"/>
  <c r="L68" i="3" l="1"/>
  <c r="L79" i="3"/>
</calcChain>
</file>

<file path=xl/sharedStrings.xml><?xml version="1.0" encoding="utf-8"?>
<sst xmlns="http://schemas.openxmlformats.org/spreadsheetml/2006/main" count="690" uniqueCount="282">
  <si>
    <t>Assumption - Firm Capacity Changes: NYISO</t>
  </si>
  <si>
    <t>2018 Reference Case Assumption</t>
  </si>
  <si>
    <t>Firm Builds - Conventional</t>
  </si>
  <si>
    <t>Capacity Type</t>
  </si>
  <si>
    <t>Plant Name</t>
  </si>
  <si>
    <t>Units</t>
  </si>
  <si>
    <t>State</t>
  </si>
  <si>
    <t>Zone</t>
  </si>
  <si>
    <t>Online Date</t>
  </si>
  <si>
    <t>2018 (MW)</t>
  </si>
  <si>
    <t>2019 (MW)</t>
  </si>
  <si>
    <t>2020 (MW)</t>
  </si>
  <si>
    <t>2021 (MW)</t>
  </si>
  <si>
    <t>Total MW (2018-2021)</t>
  </si>
  <si>
    <t>2030 (MW)</t>
  </si>
  <si>
    <t>Combined Cycle</t>
  </si>
  <si>
    <t>CPV Valley Energy Center</t>
  </si>
  <si>
    <t>NY</t>
  </si>
  <si>
    <t>Zone G</t>
  </si>
  <si>
    <t>Cricket Valley Energy Center</t>
  </si>
  <si>
    <t xml:space="preserve">Ogdensburg </t>
  </si>
  <si>
    <t>Zone E</t>
  </si>
  <si>
    <t>Bethlehem Energy Center</t>
  </si>
  <si>
    <t>Zone F</t>
  </si>
  <si>
    <t>Total Combined Cycle</t>
  </si>
  <si>
    <t>Steam</t>
  </si>
  <si>
    <t>Bayonne Energy Center II</t>
  </si>
  <si>
    <t>Zone J</t>
  </si>
  <si>
    <t>East River Uprate</t>
  </si>
  <si>
    <t>1 &amp; 2</t>
  </si>
  <si>
    <t xml:space="preserve">East River </t>
  </si>
  <si>
    <t>Arthur Kill Cogen</t>
  </si>
  <si>
    <t>Total Combustion Turbine</t>
  </si>
  <si>
    <t>Nuclear</t>
  </si>
  <si>
    <t>Nine Mile Point</t>
  </si>
  <si>
    <t>Zone C</t>
  </si>
  <si>
    <t>Total Nuclear</t>
  </si>
  <si>
    <t>Total Conventional Firm Builds</t>
  </si>
  <si>
    <t>Firm Builds - Renewable (not including CES builds)</t>
  </si>
  <si>
    <t>Wind</t>
  </si>
  <si>
    <t>Arkwright Wind</t>
  </si>
  <si>
    <t>Zone A</t>
  </si>
  <si>
    <t>Copenhagen Wind</t>
  </si>
  <si>
    <t>Ball Hill Wind</t>
  </si>
  <si>
    <t>Cassadaga Wind</t>
  </si>
  <si>
    <t>Total Wind</t>
  </si>
  <si>
    <t>Solar</t>
  </si>
  <si>
    <t>Shoreham Solar</t>
  </si>
  <si>
    <t>Zone K</t>
  </si>
  <si>
    <t>Biomass</t>
  </si>
  <si>
    <t>TBE-Montgomery LLC</t>
  </si>
  <si>
    <t>CTG</t>
  </si>
  <si>
    <t>Total Biomass</t>
  </si>
  <si>
    <t>Total NYISO Firm Builds</t>
  </si>
  <si>
    <t>Firm Retirements</t>
  </si>
  <si>
    <t>Retirement Date</t>
  </si>
  <si>
    <t>Gas</t>
  </si>
  <si>
    <t>Binghamton</t>
  </si>
  <si>
    <t>GT1</t>
  </si>
  <si>
    <t xml:space="preserve">Ravenswood </t>
  </si>
  <si>
    <t>GT2 &amp; 3</t>
  </si>
  <si>
    <t>Selkirk</t>
  </si>
  <si>
    <t>Lyonsdale - Burrows</t>
  </si>
  <si>
    <t>Coal</t>
  </si>
  <si>
    <t xml:space="preserve">Cayuga </t>
  </si>
  <si>
    <t>2018, 2020</t>
  </si>
  <si>
    <t>Somerset</t>
  </si>
  <si>
    <t>1</t>
  </si>
  <si>
    <t>Total Coal</t>
  </si>
  <si>
    <t>Ginna</t>
  </si>
  <si>
    <t>Zone B</t>
  </si>
  <si>
    <t xml:space="preserve">Indian Point </t>
  </si>
  <si>
    <t>Zone H</t>
  </si>
  <si>
    <t>Total NYISO Retirements</t>
  </si>
  <si>
    <t>Assumption - Firm Capacity Changes: PJM (MD, VA, NJ, DE)</t>
  </si>
  <si>
    <t>Firm Builds</t>
  </si>
  <si>
    <t>Total MW (2022 - 2032)</t>
  </si>
  <si>
    <t>Wildcat Point Generation Facility</t>
  </si>
  <si>
    <t>MD</t>
  </si>
  <si>
    <t>ODEC</t>
  </si>
  <si>
    <t>Online</t>
  </si>
  <si>
    <t>Mattawoman Energy LLC</t>
  </si>
  <si>
    <t>Pepco</t>
  </si>
  <si>
    <t>Keys Energy Center</t>
  </si>
  <si>
    <t>Sewaren</t>
  </si>
  <si>
    <t>NJ</t>
  </si>
  <si>
    <t>PSEG</t>
  </si>
  <si>
    <t xml:space="preserve">Greensville Power Station, ORIS 59913 </t>
  </si>
  <si>
    <t>3 on 1</t>
  </si>
  <si>
    <t>VA</t>
  </si>
  <si>
    <t>Dominion</t>
  </si>
  <si>
    <t>C4GT</t>
  </si>
  <si>
    <t>2 on 1</t>
  </si>
  <si>
    <t>Warren County Power Station, ORIS 55939</t>
  </si>
  <si>
    <t>August 2014</t>
  </si>
  <si>
    <t>Panda Stonewall Power Station, ORIS 59004</t>
  </si>
  <si>
    <t>December 2016</t>
  </si>
  <si>
    <t>Brunswick County Power Station, ORIS 58260</t>
  </si>
  <si>
    <t>January 2016</t>
  </si>
  <si>
    <t>Combustion Turbine</t>
  </si>
  <si>
    <t>Bayonne Energy Center</t>
  </si>
  <si>
    <t>1-8</t>
  </si>
  <si>
    <t>Doswell Peaking Unit</t>
  </si>
  <si>
    <t>US-3 Solar 1 (Dom-SLR)</t>
  </si>
  <si>
    <t>US-3 Solar 2 (Dom-SLR)</t>
  </si>
  <si>
    <t>DOM-SLR</t>
  </si>
  <si>
    <t xml:space="preserve">New Road Solar (Sub t) </t>
  </si>
  <si>
    <t>Burlington 26 kV Solar</t>
  </si>
  <si>
    <t>Levittown 13 kV Solar</t>
  </si>
  <si>
    <t>Quakertown Solar Farm #1</t>
  </si>
  <si>
    <t>JCPL</t>
  </si>
  <si>
    <t>Ringoes Solar Farm</t>
  </si>
  <si>
    <t>McCullough Road Solar Farm</t>
  </si>
  <si>
    <t>Franklin Township Solar Farm</t>
  </si>
  <si>
    <t>Old Bridge Solar Farm</t>
  </si>
  <si>
    <t>Hamptons at Pohatcong Solar Farm</t>
  </si>
  <si>
    <t>Raidant Energy LLC 2533 and 2537 Saw Mill Road Egg Harbor Township</t>
  </si>
  <si>
    <t>AC Electric</t>
  </si>
  <si>
    <t>Moncada NJ Solar 201, LLC Block 26, Lot 16 Broadway</t>
  </si>
  <si>
    <t>JCP&amp;L</t>
  </si>
  <si>
    <t>NJR Clean Energy Ventures III Corporation 53 Highway 202/31 South, Raritan Twp -Hunterdon Sub q</t>
  </si>
  <si>
    <t>PTO 5/1/2018</t>
  </si>
  <si>
    <t>KDC Solar Carlstadt LLC 216 Paterson Plank Road, Carlstadt</t>
  </si>
  <si>
    <t>PSE&amp;G</t>
  </si>
  <si>
    <t>Vineland Construction Co. 3905 River Road, Pennsauken</t>
  </si>
  <si>
    <t>Hagerstown Plant</t>
  </si>
  <si>
    <t>APS</t>
  </si>
  <si>
    <t>Aydelotte Solar Project</t>
  </si>
  <si>
    <t>DPL</t>
  </si>
  <si>
    <t>Great Bay Solar</t>
  </si>
  <si>
    <t>Vienna</t>
  </si>
  <si>
    <t>Gateway Solar North &amp; South</t>
  </si>
  <si>
    <t>Dorchester County Solar 1 Project</t>
  </si>
  <si>
    <t>Massey Solar</t>
  </si>
  <si>
    <t>Total Solar PV</t>
  </si>
  <si>
    <t>Chestertown-Millington</t>
  </si>
  <si>
    <t>Poplar Camp</t>
  </si>
  <si>
    <t>AEP</t>
  </si>
  <si>
    <t>Rocky Forge Wind Farm (APEX)</t>
  </si>
  <si>
    <t>Virginia Offshore Wind Project</t>
  </si>
  <si>
    <t>Total RGGI PJM Firm Builds</t>
  </si>
  <si>
    <t>Oil/Gas</t>
  </si>
  <si>
    <t>Bremo Power Station</t>
  </si>
  <si>
    <t>3&amp;4</t>
  </si>
  <si>
    <t>CR 4/2018</t>
  </si>
  <si>
    <t>Possum Point Power Station</t>
  </si>
  <si>
    <t>CR 12/2018</t>
  </si>
  <si>
    <t>C P Crane GT</t>
  </si>
  <si>
    <t>BG&amp;E</t>
  </si>
  <si>
    <t xml:space="preserve">B L England </t>
  </si>
  <si>
    <t>AE</t>
  </si>
  <si>
    <t xml:space="preserve">Sewaren </t>
  </si>
  <si>
    <t>1,2,3,4</t>
  </si>
  <si>
    <t>Total Oil/Gas</t>
  </si>
  <si>
    <t xml:space="preserve">Oyster Creek </t>
  </si>
  <si>
    <t xml:space="preserve">Bellemeade Power Station </t>
  </si>
  <si>
    <t>1 &amp;2</t>
  </si>
  <si>
    <t>Bayonne Cogen Plant</t>
  </si>
  <si>
    <t>Spruance</t>
  </si>
  <si>
    <t>All</t>
  </si>
  <si>
    <t>Clinch River</t>
  </si>
  <si>
    <t>Glen Lyn</t>
  </si>
  <si>
    <t>5 &amp; 6</t>
  </si>
  <si>
    <t>Yorktown</t>
  </si>
  <si>
    <t>James River Genco (Cogentrix Hopewell)</t>
  </si>
  <si>
    <t>Portsmouth Cogeneration Plant</t>
  </si>
  <si>
    <t>Chesterfield Power Station</t>
  </si>
  <si>
    <t>Mecklenburg Power Station</t>
  </si>
  <si>
    <t>1&amp;2</t>
  </si>
  <si>
    <t>C P Crane</t>
  </si>
  <si>
    <t>B L England</t>
  </si>
  <si>
    <t>Pittsylvania Power Station</t>
  </si>
  <si>
    <t>CR 8/2018</t>
  </si>
  <si>
    <t>Total RGGI PJM Retirements</t>
  </si>
  <si>
    <t>Units listed with "CR" are entering cold reserve in the specified CR month and will retire firmly in the year where their capacities are listed</t>
  </si>
  <si>
    <t>Assumption - Firm Capacity Changes: ISONE</t>
  </si>
  <si>
    <t>Salem Harbor Gas Project</t>
  </si>
  <si>
    <t>5-7</t>
  </si>
  <si>
    <t>MA</t>
  </si>
  <si>
    <t>Boston</t>
  </si>
  <si>
    <t>Canal 3 NRG</t>
  </si>
  <si>
    <t>SENE</t>
  </si>
  <si>
    <t>West Medway</t>
  </si>
  <si>
    <t>SEMA/RI</t>
  </si>
  <si>
    <t>MMWEC Simple Cycle  Gas Turbine</t>
  </si>
  <si>
    <t>WCMA</t>
  </si>
  <si>
    <t>Milford Power Gas CC</t>
  </si>
  <si>
    <t>SEMA</t>
  </si>
  <si>
    <t>2016-2021</t>
  </si>
  <si>
    <t>Wallingford</t>
  </si>
  <si>
    <t>6, 7</t>
  </si>
  <si>
    <t>CT</t>
  </si>
  <si>
    <t>Towantic Energy Center</t>
  </si>
  <si>
    <t>Bridgeport Harbor</t>
  </si>
  <si>
    <t>Total Combined Cycle (CC)/Combustion Turbine (CT)</t>
  </si>
  <si>
    <t>Westford Solar</t>
  </si>
  <si>
    <t xml:space="preserve">Silver Lake +  Indian Orchard </t>
  </si>
  <si>
    <t>WMA Chester Solar 1</t>
  </si>
  <si>
    <t>Treasure Valley- SE</t>
  </si>
  <si>
    <t>Belchertown SEd</t>
  </si>
  <si>
    <t>Fisher Road + Dartmouth Solar</t>
  </si>
  <si>
    <t>Plymouth Solar</t>
  </si>
  <si>
    <t>Uxbridge Solar</t>
  </si>
  <si>
    <t>Landcraft</t>
  </si>
  <si>
    <t>LSRHS</t>
  </si>
  <si>
    <t>NEMA/Boston</t>
  </si>
  <si>
    <t>Holliston</t>
  </si>
  <si>
    <t>Barrett Distribution - Franklin Solar</t>
  </si>
  <si>
    <t>Blossom Rd 1 Fall River PV</t>
  </si>
  <si>
    <t>Blossom Rd 2 Fall River PV</t>
  </si>
  <si>
    <t>Groveland St Abington PV</t>
  </si>
  <si>
    <t>Stafford St Leicester PV 2</t>
  </si>
  <si>
    <t>Onset East</t>
  </si>
  <si>
    <t>Onset West</t>
  </si>
  <si>
    <t>Richardson Ave Attleboro PV 2</t>
  </si>
  <si>
    <t>Old Upton Rd Grafton PV 2</t>
  </si>
  <si>
    <t>Groton School Rd Ayer PV 2</t>
  </si>
  <si>
    <t>NEMA</t>
  </si>
  <si>
    <t>Frank Mossberg Dr Atteleboro PV</t>
  </si>
  <si>
    <t>Branch Solar</t>
  </si>
  <si>
    <t>Heliovaas - Acton Solar</t>
  </si>
  <si>
    <t>Heliovaas - Sudbury Solar</t>
  </si>
  <si>
    <t>Main St Dighton PV</t>
  </si>
  <si>
    <t>Hadley 2</t>
  </si>
  <si>
    <t>Hubbardston PV</t>
  </si>
  <si>
    <t>Syncarpha Freetown</t>
  </si>
  <si>
    <t>Syncarpha Lexington</t>
  </si>
  <si>
    <t>Patterson Rd 1 Shirley PV</t>
  </si>
  <si>
    <t>Patterson Rd 2 Shirley PV</t>
  </si>
  <si>
    <t>Barre I</t>
  </si>
  <si>
    <t>Gill</t>
  </si>
  <si>
    <t>Fitchburg Solar, LLC</t>
  </si>
  <si>
    <t>Ashby 1 Solar</t>
  </si>
  <si>
    <t>Ashby 2 Solar</t>
  </si>
  <si>
    <t>Barre II</t>
  </si>
  <si>
    <t>Partners Healthcare Sandwich</t>
  </si>
  <si>
    <t>Southwick</t>
  </si>
  <si>
    <t>Duxbury Chandler</t>
  </si>
  <si>
    <t xml:space="preserve">Cheshire Solar </t>
  </si>
  <si>
    <t>NH</t>
  </si>
  <si>
    <t>Chinook</t>
  </si>
  <si>
    <t>Enfield</t>
  </si>
  <si>
    <t>Farmington</t>
  </si>
  <si>
    <t>ME</t>
  </si>
  <si>
    <t>Quinebaug</t>
  </si>
  <si>
    <t>Sanford</t>
  </si>
  <si>
    <t>Hope Farm</t>
  </si>
  <si>
    <t>RI</t>
  </si>
  <si>
    <t>Woods Hill</t>
  </si>
  <si>
    <t>Simsbury</t>
  </si>
  <si>
    <t>Candlewood</t>
  </si>
  <si>
    <t>Coolidge Solar</t>
  </si>
  <si>
    <t>Antrim</t>
  </si>
  <si>
    <t>Holiday Hill Community Wind</t>
  </si>
  <si>
    <t>Ipswich Wind II</t>
  </si>
  <si>
    <t>Future Gen Wind</t>
  </si>
  <si>
    <t>Hydro</t>
  </si>
  <si>
    <t>Ball Mountain Dam Hydro (Blue Heron)</t>
  </si>
  <si>
    <t>VT</t>
  </si>
  <si>
    <t>Littleton Hydro Uprate</t>
  </si>
  <si>
    <t>BearSwamp 1 Pumped Storage</t>
  </si>
  <si>
    <t>BearSwamp 2 Pumped Storage</t>
  </si>
  <si>
    <t>Total Hydro</t>
  </si>
  <si>
    <t>Total ISO-NE Firm Builds</t>
  </si>
  <si>
    <t>Total MW (2018 - 2021)</t>
  </si>
  <si>
    <t>Pilgrim Nuclear Power Station</t>
  </si>
  <si>
    <t>Total ISO-NE Retirements</t>
  </si>
  <si>
    <t>Assumption - Firm Transmission Changes</t>
  </si>
  <si>
    <t>ISO</t>
  </si>
  <si>
    <t>Transmission project</t>
  </si>
  <si>
    <t>Developer</t>
  </si>
  <si>
    <t>Online Year</t>
  </si>
  <si>
    <t>Notes</t>
  </si>
  <si>
    <t>ISO-NE</t>
  </si>
  <si>
    <t>Greater Boston Solutions</t>
  </si>
  <si>
    <t>Eversource, National Grid, NHT</t>
  </si>
  <si>
    <t>2017-2019</t>
  </si>
  <si>
    <t>Quebec to New England</t>
  </si>
  <si>
    <t>CPM</t>
  </si>
  <si>
    <t>Assumed 1,090 MW</t>
  </si>
  <si>
    <t>PJM</t>
  </si>
  <si>
    <t>Lexington - Dooms Rebuild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</si>
</sst>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61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4" fontId="5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" fontId="1" fillId="3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0" borderId="0" xfId="0" applyFont="1" applyFill="1"/>
    <xf numFmtId="3" fontId="0" fillId="0" borderId="1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0" fontId="1" fillId="7" borderId="5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2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6" borderId="3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/>
    </xf>
    <xf numFmtId="17" fontId="0" fillId="7" borderId="1" xfId="0" applyNumberFormat="1" applyFill="1" applyBorder="1" applyAlignment="1">
      <alignment horizontal="center"/>
    </xf>
    <xf numFmtId="3" fontId="0" fillId="7" borderId="1" xfId="0" applyNumberFormat="1" applyFill="1" applyBorder="1"/>
    <xf numFmtId="0" fontId="2" fillId="0" borderId="0" xfId="0" applyFont="1" applyFill="1"/>
    <xf numFmtId="0" fontId="6" fillId="2" borderId="9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3" fontId="0" fillId="0" borderId="0" xfId="0" applyNumberFormat="1" applyFill="1" applyBorder="1"/>
    <xf numFmtId="17" fontId="7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/>
    <xf numFmtId="49" fontId="7" fillId="0" borderId="1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7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165" fontId="1" fillId="7" borderId="1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4" xfId="0" applyFont="1" applyFill="1" applyBorder="1"/>
    <xf numFmtId="164" fontId="0" fillId="7" borderId="1" xfId="0" applyNumberForma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/>
    <xf numFmtId="0" fontId="0" fillId="7" borderId="10" xfId="0" applyFill="1" applyBorder="1" applyAlignment="1">
      <alignment horizontal="center"/>
    </xf>
    <xf numFmtId="0" fontId="7" fillId="7" borderId="2" xfId="0" applyFont="1" applyFill="1" applyBorder="1"/>
    <xf numFmtId="0" fontId="0" fillId="7" borderId="0" xfId="0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10" fillId="0" borderId="1" xfId="0" applyFont="1" applyFill="1" applyBorder="1"/>
    <xf numFmtId="0" fontId="0" fillId="0" borderId="2" xfId="0" applyFill="1" applyBorder="1" applyAlignment="1">
      <alignment horizontal="center"/>
    </xf>
    <xf numFmtId="14" fontId="7" fillId="7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0" fillId="0" borderId="0" xfId="0" applyFont="1" applyFill="1"/>
    <xf numFmtId="0" fontId="1" fillId="0" borderId="13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7" fontId="7" fillId="7" borderId="1" xfId="0" applyNumberFormat="1" applyFont="1" applyFill="1" applyBorder="1" applyAlignment="1">
      <alignment horizontal="center"/>
    </xf>
    <xf numFmtId="3" fontId="7" fillId="7" borderId="0" xfId="0" applyNumberFormat="1" applyFont="1" applyFill="1"/>
    <xf numFmtId="0" fontId="1" fillId="6" borderId="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 wrapText="1"/>
    </xf>
    <xf numFmtId="0" fontId="12" fillId="0" borderId="0" xfId="0" applyFont="1" applyFill="1"/>
    <xf numFmtId="0" fontId="12" fillId="0" borderId="0" xfId="0" applyFont="1" applyFill="1" applyAlignment="1"/>
    <xf numFmtId="0" fontId="1" fillId="9" borderId="1" xfId="2" applyFont="1" applyFill="1" applyBorder="1" applyAlignment="1">
      <alignment horizontal="center" vertical="center"/>
    </xf>
    <xf numFmtId="0" fontId="1" fillId="9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1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</cellXfs>
  <cellStyles count="3">
    <cellStyle name="Normal" xfId="0" builtinId="0"/>
    <cellStyle name="Normal 2 2 10 2" xfId="1" xr:uid="{00000000-0005-0000-0000-000001000000}"/>
    <cellStyle name="Normal 2 4 2 1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zoomScale="90" zoomScaleNormal="90" workbookViewId="0">
      <pane xSplit="3" ySplit="6" topLeftCell="D28" activePane="bottomRight" state="frozen"/>
      <selection activeCell="B4" sqref="B4"/>
      <selection pane="topRight" activeCell="B4" sqref="B4"/>
      <selection pane="bottomLeft" activeCell="B4" sqref="B4"/>
      <selection pane="bottomRight" activeCell="B7" sqref="B7:B10"/>
    </sheetView>
  </sheetViews>
  <sheetFormatPr defaultColWidth="9.28515625" defaultRowHeight="15" x14ac:dyDescent="0.25"/>
  <cols>
    <col min="1" max="1" width="2.5703125" style="2" customWidth="1"/>
    <col min="2" max="2" width="27.42578125" style="2" customWidth="1"/>
    <col min="3" max="3" width="36.28515625" style="2" bestFit="1" customWidth="1"/>
    <col min="4" max="4" width="15.5703125" style="3" bestFit="1" customWidth="1"/>
    <col min="5" max="5" width="5.5703125" style="3" customWidth="1"/>
    <col min="6" max="6" width="12.42578125" style="2" bestFit="1" customWidth="1"/>
    <col min="7" max="7" width="15.7109375" style="3" bestFit="1" customWidth="1"/>
    <col min="8" max="11" width="13.28515625" style="2" customWidth="1"/>
    <col min="12" max="12" width="19.42578125" style="2" customWidth="1"/>
    <col min="13" max="13" width="13.28515625" style="2" customWidth="1"/>
    <col min="14" max="16384" width="9.28515625" style="2"/>
  </cols>
  <sheetData>
    <row r="1" spans="2:13" ht="21" x14ac:dyDescent="0.35">
      <c r="B1" s="1" t="s">
        <v>0</v>
      </c>
    </row>
    <row r="3" spans="2:13" s="7" customFormat="1" ht="15.75" x14ac:dyDescent="0.25">
      <c r="B3" s="4" t="s">
        <v>1</v>
      </c>
      <c r="C3" s="5"/>
      <c r="D3" s="6"/>
      <c r="E3" s="6"/>
      <c r="G3" s="6"/>
    </row>
    <row r="5" spans="2:13" ht="18.75" x14ac:dyDescent="0.3">
      <c r="B5" s="146" t="s">
        <v>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2:13" ht="30" x14ac:dyDescent="0.25"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10" t="s">
        <v>14</v>
      </c>
    </row>
    <row r="7" spans="2:13" x14ac:dyDescent="0.25">
      <c r="B7" s="147" t="s">
        <v>15</v>
      </c>
      <c r="C7" s="11" t="s">
        <v>16</v>
      </c>
      <c r="D7" s="12">
        <v>1</v>
      </c>
      <c r="E7" s="12" t="s">
        <v>17</v>
      </c>
      <c r="F7" s="12" t="s">
        <v>18</v>
      </c>
      <c r="G7" s="13">
        <v>43344</v>
      </c>
      <c r="H7" s="14">
        <v>751</v>
      </c>
      <c r="I7" s="14"/>
      <c r="J7" s="14"/>
      <c r="K7" s="14"/>
      <c r="L7" s="15">
        <v>751</v>
      </c>
      <c r="M7" s="14"/>
    </row>
    <row r="8" spans="2:13" x14ac:dyDescent="0.25">
      <c r="B8" s="149"/>
      <c r="C8" s="11" t="s">
        <v>19</v>
      </c>
      <c r="D8" s="12">
        <v>1</v>
      </c>
      <c r="E8" s="12" t="s">
        <v>17</v>
      </c>
      <c r="F8" s="12" t="s">
        <v>18</v>
      </c>
      <c r="G8" s="16">
        <v>2020</v>
      </c>
      <c r="H8" s="14"/>
      <c r="I8" s="14"/>
      <c r="J8" s="14">
        <v>1020</v>
      </c>
      <c r="K8" s="14"/>
      <c r="L8" s="15">
        <v>1020</v>
      </c>
      <c r="M8" s="14"/>
    </row>
    <row r="9" spans="2:13" x14ac:dyDescent="0.25">
      <c r="B9" s="149"/>
      <c r="C9" s="17" t="s">
        <v>20</v>
      </c>
      <c r="D9" s="18"/>
      <c r="E9" s="18" t="s">
        <v>17</v>
      </c>
      <c r="F9" s="18" t="s">
        <v>21</v>
      </c>
      <c r="G9" s="19">
        <v>2018</v>
      </c>
      <c r="H9" s="14">
        <v>79</v>
      </c>
      <c r="I9" s="14"/>
      <c r="J9" s="14"/>
      <c r="K9" s="14"/>
      <c r="L9" s="15">
        <v>79</v>
      </c>
      <c r="M9" s="14"/>
    </row>
    <row r="10" spans="2:13" x14ac:dyDescent="0.25">
      <c r="B10" s="148"/>
      <c r="C10" s="17" t="s">
        <v>22</v>
      </c>
      <c r="D10" s="18"/>
      <c r="E10" s="18" t="s">
        <v>17</v>
      </c>
      <c r="F10" s="18" t="s">
        <v>23</v>
      </c>
      <c r="G10" s="19">
        <v>2018</v>
      </c>
      <c r="H10" s="14">
        <v>72</v>
      </c>
      <c r="I10" s="14"/>
      <c r="J10" s="14"/>
      <c r="K10" s="14"/>
      <c r="L10" s="15">
        <v>72</v>
      </c>
      <c r="M10" s="14"/>
    </row>
    <row r="11" spans="2:13" s="23" customFormat="1" x14ac:dyDescent="0.25">
      <c r="B11" s="150" t="s">
        <v>24</v>
      </c>
      <c r="C11" s="150"/>
      <c r="D11" s="150"/>
      <c r="E11" s="150"/>
      <c r="F11" s="150"/>
      <c r="G11" s="150"/>
      <c r="H11" s="20">
        <v>902</v>
      </c>
      <c r="I11" s="20">
        <v>0</v>
      </c>
      <c r="J11" s="20">
        <v>1020</v>
      </c>
      <c r="K11" s="20">
        <v>0</v>
      </c>
      <c r="L11" s="21">
        <v>1922</v>
      </c>
      <c r="M11" s="22">
        <v>0</v>
      </c>
    </row>
    <row r="12" spans="2:13" x14ac:dyDescent="0.25">
      <c r="B12" s="147" t="s">
        <v>25</v>
      </c>
      <c r="C12" s="11" t="s">
        <v>26</v>
      </c>
      <c r="D12" s="12"/>
      <c r="E12" s="12" t="s">
        <v>17</v>
      </c>
      <c r="F12" s="12" t="s">
        <v>27</v>
      </c>
      <c r="G12" s="16">
        <v>2018</v>
      </c>
      <c r="H12" s="14">
        <v>120</v>
      </c>
      <c r="I12" s="14"/>
      <c r="J12" s="14"/>
      <c r="K12" s="14"/>
      <c r="L12" s="15">
        <v>120</v>
      </c>
      <c r="M12" s="14"/>
    </row>
    <row r="13" spans="2:13" x14ac:dyDescent="0.25">
      <c r="B13" s="149"/>
      <c r="C13" s="11" t="s">
        <v>28</v>
      </c>
      <c r="D13" s="12" t="s">
        <v>29</v>
      </c>
      <c r="E13" s="12" t="s">
        <v>17</v>
      </c>
      <c r="F13" s="12" t="s">
        <v>27</v>
      </c>
      <c r="G13" s="16">
        <v>2018</v>
      </c>
      <c r="H13" s="14">
        <v>4</v>
      </c>
      <c r="I13" s="14"/>
      <c r="J13" s="14"/>
      <c r="K13" s="14"/>
      <c r="L13" s="15">
        <v>4</v>
      </c>
      <c r="M13" s="14"/>
    </row>
    <row r="14" spans="2:13" ht="16.5" customHeight="1" x14ac:dyDescent="0.25">
      <c r="B14" s="149"/>
      <c r="C14" s="11" t="s">
        <v>30</v>
      </c>
      <c r="D14" s="12">
        <v>6</v>
      </c>
      <c r="E14" s="12" t="s">
        <v>17</v>
      </c>
      <c r="F14" s="12" t="s">
        <v>27</v>
      </c>
      <c r="G14" s="16">
        <v>2018</v>
      </c>
      <c r="H14" s="14">
        <v>8</v>
      </c>
      <c r="I14" s="14"/>
      <c r="J14" s="24"/>
      <c r="K14" s="14"/>
      <c r="L14" s="15">
        <v>8</v>
      </c>
      <c r="M14" s="14"/>
    </row>
    <row r="15" spans="2:13" ht="16.5" customHeight="1" x14ac:dyDescent="0.25">
      <c r="B15" s="148"/>
      <c r="C15" s="11" t="s">
        <v>31</v>
      </c>
      <c r="D15" s="12"/>
      <c r="E15" s="12" t="s">
        <v>17</v>
      </c>
      <c r="F15" s="12" t="s">
        <v>27</v>
      </c>
      <c r="G15" s="16">
        <v>2018</v>
      </c>
      <c r="H15" s="14">
        <v>11</v>
      </c>
      <c r="I15" s="14"/>
      <c r="J15" s="24"/>
      <c r="K15" s="14"/>
      <c r="L15" s="15">
        <v>11</v>
      </c>
      <c r="M15" s="14"/>
    </row>
    <row r="16" spans="2:13" s="23" customFormat="1" x14ac:dyDescent="0.25">
      <c r="B16" s="150" t="s">
        <v>32</v>
      </c>
      <c r="C16" s="150"/>
      <c r="D16" s="150"/>
      <c r="E16" s="150"/>
      <c r="F16" s="150"/>
      <c r="G16" s="150"/>
      <c r="H16" s="20">
        <v>143</v>
      </c>
      <c r="I16" s="20">
        <v>0</v>
      </c>
      <c r="J16" s="20">
        <v>0</v>
      </c>
      <c r="K16" s="20">
        <v>0</v>
      </c>
      <c r="L16" s="21">
        <v>143</v>
      </c>
      <c r="M16" s="22">
        <v>0</v>
      </c>
    </row>
    <row r="17" spans="2:13" s="23" customFormat="1" x14ac:dyDescent="0.25">
      <c r="B17" s="25" t="s">
        <v>33</v>
      </c>
      <c r="C17" s="11" t="s">
        <v>34</v>
      </c>
      <c r="D17" s="12">
        <v>2</v>
      </c>
      <c r="E17" s="12" t="s">
        <v>17</v>
      </c>
      <c r="F17" s="12" t="s">
        <v>35</v>
      </c>
      <c r="G17" s="16">
        <v>2018</v>
      </c>
      <c r="H17" s="14">
        <v>63</v>
      </c>
      <c r="I17" s="14"/>
      <c r="J17" s="24"/>
      <c r="K17" s="14"/>
      <c r="L17" s="15">
        <v>63</v>
      </c>
      <c r="M17" s="14"/>
    </row>
    <row r="18" spans="2:13" s="23" customFormat="1" x14ac:dyDescent="0.25">
      <c r="B18" s="150" t="s">
        <v>36</v>
      </c>
      <c r="C18" s="150"/>
      <c r="D18" s="150"/>
      <c r="E18" s="150"/>
      <c r="F18" s="150"/>
      <c r="G18" s="150"/>
      <c r="H18" s="20">
        <v>63</v>
      </c>
      <c r="I18" s="20">
        <v>0</v>
      </c>
      <c r="J18" s="20">
        <v>0</v>
      </c>
      <c r="K18" s="20">
        <v>0</v>
      </c>
      <c r="L18" s="21">
        <v>63</v>
      </c>
      <c r="M18" s="22">
        <v>0</v>
      </c>
    </row>
    <row r="19" spans="2:13" s="23" customFormat="1" x14ac:dyDescent="0.25">
      <c r="B19" s="150" t="s">
        <v>37</v>
      </c>
      <c r="C19" s="150"/>
      <c r="D19" s="150"/>
      <c r="E19" s="150"/>
      <c r="F19" s="150"/>
      <c r="G19" s="150"/>
      <c r="H19" s="20">
        <v>1108</v>
      </c>
      <c r="I19" s="20">
        <v>0</v>
      </c>
      <c r="J19" s="20">
        <v>1020</v>
      </c>
      <c r="K19" s="20">
        <v>0</v>
      </c>
      <c r="L19" s="21">
        <v>2128</v>
      </c>
      <c r="M19" s="22">
        <v>0</v>
      </c>
    </row>
    <row r="20" spans="2:13" s="29" customFormat="1" x14ac:dyDescent="0.25">
      <c r="B20" s="26"/>
      <c r="C20" s="26"/>
      <c r="D20" s="26"/>
      <c r="E20" s="26"/>
      <c r="F20" s="26"/>
      <c r="G20" s="26"/>
      <c r="H20" s="27"/>
      <c r="I20" s="27"/>
      <c r="J20" s="27"/>
      <c r="K20" s="27"/>
      <c r="L20" s="28"/>
      <c r="M20" s="28"/>
    </row>
    <row r="21" spans="2:13" s="30" customFormat="1" ht="18.75" x14ac:dyDescent="0.3">
      <c r="B21" s="151" t="s">
        <v>38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2:13" x14ac:dyDescent="0.25">
      <c r="B22" s="147" t="s">
        <v>39</v>
      </c>
      <c r="C22" s="11" t="s">
        <v>40</v>
      </c>
      <c r="D22" s="12"/>
      <c r="E22" s="12" t="s">
        <v>17</v>
      </c>
      <c r="F22" s="31" t="s">
        <v>41</v>
      </c>
      <c r="G22" s="32">
        <v>43374</v>
      </c>
      <c r="H22" s="33">
        <v>77.7</v>
      </c>
      <c r="I22" s="33"/>
      <c r="J22" s="14"/>
      <c r="K22" s="14"/>
      <c r="L22" s="15">
        <v>77.7</v>
      </c>
      <c r="M22" s="14"/>
    </row>
    <row r="23" spans="2:13" x14ac:dyDescent="0.25">
      <c r="B23" s="149"/>
      <c r="C23" s="34" t="s">
        <v>42</v>
      </c>
      <c r="D23" s="31"/>
      <c r="E23" s="31" t="s">
        <v>17</v>
      </c>
      <c r="F23" s="31" t="s">
        <v>21</v>
      </c>
      <c r="G23" s="16">
        <v>2018</v>
      </c>
      <c r="H23" s="33">
        <v>80</v>
      </c>
      <c r="I23" s="33"/>
      <c r="J23" s="24"/>
      <c r="K23" s="24"/>
      <c r="L23" s="15">
        <v>80</v>
      </c>
      <c r="M23" s="24"/>
    </row>
    <row r="24" spans="2:13" x14ac:dyDescent="0.25">
      <c r="B24" s="149"/>
      <c r="C24" s="34" t="s">
        <v>43</v>
      </c>
      <c r="D24" s="31"/>
      <c r="E24" s="31" t="s">
        <v>17</v>
      </c>
      <c r="F24" s="31" t="s">
        <v>41</v>
      </c>
      <c r="G24" s="16">
        <v>2018</v>
      </c>
      <c r="H24" s="33">
        <v>100</v>
      </c>
      <c r="I24" s="33"/>
      <c r="J24" s="24"/>
      <c r="K24" s="24"/>
      <c r="L24" s="15">
        <v>100</v>
      </c>
      <c r="M24" s="24"/>
    </row>
    <row r="25" spans="2:13" x14ac:dyDescent="0.25">
      <c r="B25" s="148"/>
      <c r="C25" s="34" t="s">
        <v>44</v>
      </c>
      <c r="D25" s="31"/>
      <c r="E25" s="31" t="s">
        <v>17</v>
      </c>
      <c r="F25" s="31" t="s">
        <v>41</v>
      </c>
      <c r="G25" s="32">
        <v>43830</v>
      </c>
      <c r="H25" s="33"/>
      <c r="I25" s="33">
        <v>126</v>
      </c>
      <c r="J25" s="24"/>
      <c r="K25" s="24"/>
      <c r="L25" s="15">
        <v>126</v>
      </c>
      <c r="M25" s="24"/>
    </row>
    <row r="26" spans="2:13" x14ac:dyDescent="0.25">
      <c r="B26" s="143" t="s">
        <v>45</v>
      </c>
      <c r="C26" s="144"/>
      <c r="D26" s="144"/>
      <c r="E26" s="144"/>
      <c r="F26" s="144"/>
      <c r="G26" s="145"/>
      <c r="H26" s="20">
        <v>257.7</v>
      </c>
      <c r="I26" s="20">
        <v>126</v>
      </c>
      <c r="J26" s="20">
        <v>0</v>
      </c>
      <c r="K26" s="20">
        <v>0</v>
      </c>
      <c r="L26" s="21">
        <v>383.7</v>
      </c>
      <c r="M26" s="22">
        <v>0</v>
      </c>
    </row>
    <row r="27" spans="2:13" s="23" customFormat="1" x14ac:dyDescent="0.25">
      <c r="B27" s="25" t="s">
        <v>46</v>
      </c>
      <c r="C27" s="11" t="s">
        <v>47</v>
      </c>
      <c r="D27" s="12"/>
      <c r="E27" s="12" t="s">
        <v>17</v>
      </c>
      <c r="F27" s="12" t="s">
        <v>48</v>
      </c>
      <c r="G27" s="16">
        <v>2018</v>
      </c>
      <c r="H27" s="14">
        <v>25</v>
      </c>
      <c r="I27" s="14"/>
      <c r="J27" s="14"/>
      <c r="K27" s="14"/>
      <c r="L27" s="14">
        <v>25</v>
      </c>
      <c r="M27" s="14"/>
    </row>
    <row r="28" spans="2:13" s="23" customFormat="1" x14ac:dyDescent="0.25">
      <c r="B28" s="35"/>
      <c r="C28" s="36"/>
      <c r="D28" s="36"/>
      <c r="E28" s="36"/>
      <c r="F28" s="36"/>
      <c r="G28" s="37"/>
      <c r="H28" s="20">
        <v>25</v>
      </c>
      <c r="I28" s="20">
        <v>0</v>
      </c>
      <c r="J28" s="20">
        <v>0</v>
      </c>
      <c r="K28" s="20">
        <v>0</v>
      </c>
      <c r="L28" s="21">
        <v>25</v>
      </c>
      <c r="M28" s="22">
        <v>0</v>
      </c>
    </row>
    <row r="29" spans="2:13" s="23" customFormat="1" x14ac:dyDescent="0.25">
      <c r="B29" s="25" t="s">
        <v>49</v>
      </c>
      <c r="C29" s="11" t="s">
        <v>50</v>
      </c>
      <c r="D29" s="12" t="s">
        <v>51</v>
      </c>
      <c r="E29" s="12" t="s">
        <v>17</v>
      </c>
      <c r="F29" s="12" t="s">
        <v>18</v>
      </c>
      <c r="G29" s="16">
        <v>2021</v>
      </c>
      <c r="H29" s="14"/>
      <c r="I29" s="14"/>
      <c r="J29" s="14"/>
      <c r="K29" s="14">
        <v>19</v>
      </c>
      <c r="L29" s="14">
        <v>19</v>
      </c>
      <c r="M29" s="14"/>
    </row>
    <row r="30" spans="2:13" x14ac:dyDescent="0.25">
      <c r="B30" s="143" t="s">
        <v>52</v>
      </c>
      <c r="C30" s="144"/>
      <c r="D30" s="144"/>
      <c r="E30" s="144"/>
      <c r="F30" s="144"/>
      <c r="G30" s="145"/>
      <c r="H30" s="20">
        <v>0</v>
      </c>
      <c r="I30" s="20">
        <v>0</v>
      </c>
      <c r="J30" s="20">
        <v>0</v>
      </c>
      <c r="K30" s="20">
        <v>19</v>
      </c>
      <c r="L30" s="21">
        <v>19</v>
      </c>
      <c r="M30" s="22">
        <v>0</v>
      </c>
    </row>
    <row r="31" spans="2:13" s="23" customFormat="1" ht="14.45" customHeight="1" x14ac:dyDescent="0.25">
      <c r="B31" s="143" t="s">
        <v>53</v>
      </c>
      <c r="C31" s="144"/>
      <c r="D31" s="144"/>
      <c r="E31" s="144"/>
      <c r="F31" s="144"/>
      <c r="G31" s="145"/>
      <c r="H31" s="20">
        <v>1390.7</v>
      </c>
      <c r="I31" s="20">
        <v>126</v>
      </c>
      <c r="J31" s="20">
        <v>1020</v>
      </c>
      <c r="K31" s="20">
        <v>19</v>
      </c>
      <c r="L31" s="21">
        <v>2555.6999999999998</v>
      </c>
      <c r="M31" s="22">
        <v>0</v>
      </c>
    </row>
    <row r="32" spans="2:13" ht="14.45" customHeight="1" x14ac:dyDescent="0.25">
      <c r="B32" s="26"/>
      <c r="C32" s="26"/>
      <c r="D32" s="26"/>
      <c r="E32" s="26"/>
      <c r="F32" s="26"/>
      <c r="G32" s="26"/>
      <c r="H32" s="27"/>
      <c r="I32" s="27"/>
      <c r="J32" s="27"/>
      <c r="K32" s="27"/>
      <c r="L32" s="28"/>
      <c r="M32" s="28"/>
    </row>
    <row r="33" spans="2:13" s="29" customFormat="1" ht="14.45" customHeight="1" x14ac:dyDescent="0.3">
      <c r="B33" s="146" t="s">
        <v>54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2:13" ht="30" x14ac:dyDescent="0.25">
      <c r="B34" s="8" t="s">
        <v>3</v>
      </c>
      <c r="C34" s="8" t="s">
        <v>4</v>
      </c>
      <c r="D34" s="8" t="s">
        <v>5</v>
      </c>
      <c r="E34" s="8" t="s">
        <v>6</v>
      </c>
      <c r="F34" s="8" t="s">
        <v>7</v>
      </c>
      <c r="G34" s="8" t="s">
        <v>55</v>
      </c>
      <c r="H34" s="8" t="s">
        <v>9</v>
      </c>
      <c r="I34" s="8" t="s">
        <v>10</v>
      </c>
      <c r="J34" s="8" t="s">
        <v>11</v>
      </c>
      <c r="K34" s="8" t="s">
        <v>12</v>
      </c>
      <c r="L34" s="9" t="s">
        <v>13</v>
      </c>
      <c r="M34" s="10" t="s">
        <v>14</v>
      </c>
    </row>
    <row r="35" spans="2:13" x14ac:dyDescent="0.25">
      <c r="B35" s="38" t="s">
        <v>56</v>
      </c>
      <c r="C35" s="11" t="s">
        <v>57</v>
      </c>
      <c r="D35" s="39" t="s">
        <v>58</v>
      </c>
      <c r="E35" s="12" t="s">
        <v>17</v>
      </c>
      <c r="F35" s="12" t="s">
        <v>18</v>
      </c>
      <c r="G35" s="16">
        <v>2018</v>
      </c>
      <c r="H35" s="14">
        <v>44</v>
      </c>
      <c r="I35" s="40"/>
      <c r="J35" s="40"/>
      <c r="K35" s="40"/>
      <c r="L35" s="15">
        <v>44</v>
      </c>
      <c r="M35" s="40"/>
    </row>
    <row r="36" spans="2:13" x14ac:dyDescent="0.25">
      <c r="B36" s="41"/>
      <c r="C36" s="11" t="s">
        <v>59</v>
      </c>
      <c r="D36" s="12" t="s">
        <v>60</v>
      </c>
      <c r="E36" s="12" t="s">
        <v>17</v>
      </c>
      <c r="F36" s="12" t="s">
        <v>27</v>
      </c>
      <c r="G36" s="16">
        <v>2018</v>
      </c>
      <c r="H36" s="14">
        <v>213</v>
      </c>
      <c r="I36" s="14"/>
      <c r="J36" s="14"/>
      <c r="K36" s="14"/>
      <c r="L36" s="15">
        <v>213</v>
      </c>
      <c r="M36" s="14"/>
    </row>
    <row r="37" spans="2:13" x14ac:dyDescent="0.25">
      <c r="B37" s="41"/>
      <c r="C37" s="11" t="s">
        <v>61</v>
      </c>
      <c r="D37" s="12" t="s">
        <v>29</v>
      </c>
      <c r="E37" s="12" t="s">
        <v>17</v>
      </c>
      <c r="F37" s="12" t="s">
        <v>23</v>
      </c>
      <c r="G37" s="16">
        <v>2018</v>
      </c>
      <c r="H37" s="14">
        <v>360</v>
      </c>
      <c r="I37" s="14"/>
      <c r="J37" s="14"/>
      <c r="K37" s="14"/>
      <c r="L37" s="15">
        <v>360</v>
      </c>
      <c r="M37" s="14"/>
    </row>
    <row r="38" spans="2:13" x14ac:dyDescent="0.25">
      <c r="B38" s="143" t="s">
        <v>24</v>
      </c>
      <c r="C38" s="144"/>
      <c r="D38" s="144"/>
      <c r="E38" s="144"/>
      <c r="F38" s="144"/>
      <c r="G38" s="145"/>
      <c r="H38" s="20">
        <v>617</v>
      </c>
      <c r="I38" s="20">
        <v>0</v>
      </c>
      <c r="J38" s="20">
        <v>0</v>
      </c>
      <c r="K38" s="20">
        <v>0</v>
      </c>
      <c r="L38" s="21">
        <v>617</v>
      </c>
      <c r="M38" s="22">
        <v>0</v>
      </c>
    </row>
    <row r="39" spans="2:13" s="23" customFormat="1" x14ac:dyDescent="0.25">
      <c r="B39" s="42" t="s">
        <v>49</v>
      </c>
      <c r="C39" s="11" t="s">
        <v>62</v>
      </c>
      <c r="D39" s="12">
        <v>1</v>
      </c>
      <c r="E39" s="12" t="s">
        <v>17</v>
      </c>
      <c r="F39" s="12" t="s">
        <v>21</v>
      </c>
      <c r="G39" s="16">
        <v>2018</v>
      </c>
      <c r="H39" s="14">
        <v>20</v>
      </c>
      <c r="I39" s="14"/>
      <c r="J39" s="24"/>
      <c r="K39" s="14"/>
      <c r="L39" s="15">
        <v>20</v>
      </c>
      <c r="M39" s="14"/>
    </row>
    <row r="40" spans="2:13" s="23" customFormat="1" x14ac:dyDescent="0.25">
      <c r="B40" s="35"/>
      <c r="C40" s="36"/>
      <c r="D40" s="36"/>
      <c r="E40" s="36"/>
      <c r="F40" s="36"/>
      <c r="G40" s="37"/>
      <c r="H40" s="20">
        <v>20</v>
      </c>
      <c r="I40" s="20">
        <v>0</v>
      </c>
      <c r="J40" s="20">
        <v>0</v>
      </c>
      <c r="K40" s="20">
        <v>0</v>
      </c>
      <c r="L40" s="21">
        <v>20</v>
      </c>
      <c r="M40" s="22">
        <v>0</v>
      </c>
    </row>
    <row r="41" spans="2:13" s="23" customFormat="1" x14ac:dyDescent="0.25">
      <c r="B41" s="147" t="s">
        <v>63</v>
      </c>
      <c r="C41" s="17" t="s">
        <v>64</v>
      </c>
      <c r="D41" s="43" t="s">
        <v>29</v>
      </c>
      <c r="E41" s="18" t="s">
        <v>17</v>
      </c>
      <c r="F41" s="18" t="s">
        <v>35</v>
      </c>
      <c r="G41" s="44" t="s">
        <v>65</v>
      </c>
      <c r="H41" s="14">
        <v>150</v>
      </c>
      <c r="I41" s="14"/>
      <c r="J41" s="14">
        <v>154</v>
      </c>
      <c r="K41" s="14"/>
      <c r="L41" s="15">
        <v>304</v>
      </c>
      <c r="M41" s="14"/>
    </row>
    <row r="42" spans="2:13" s="23" customFormat="1" x14ac:dyDescent="0.25">
      <c r="B42" s="148"/>
      <c r="C42" s="17" t="s">
        <v>66</v>
      </c>
      <c r="D42" s="43" t="s">
        <v>67</v>
      </c>
      <c r="E42" s="18" t="s">
        <v>17</v>
      </c>
      <c r="F42" s="18" t="s">
        <v>41</v>
      </c>
      <c r="G42" s="44">
        <v>44166</v>
      </c>
      <c r="H42" s="14"/>
      <c r="I42" s="14"/>
      <c r="J42" s="14">
        <v>686.5</v>
      </c>
      <c r="K42" s="14"/>
      <c r="L42" s="15">
        <v>686.5</v>
      </c>
      <c r="M42" s="14"/>
    </row>
    <row r="43" spans="2:13" s="23" customFormat="1" x14ac:dyDescent="0.25">
      <c r="B43" s="143" t="s">
        <v>68</v>
      </c>
      <c r="C43" s="144"/>
      <c r="D43" s="144"/>
      <c r="E43" s="144"/>
      <c r="F43" s="144"/>
      <c r="G43" s="145"/>
      <c r="H43" s="20">
        <v>150</v>
      </c>
      <c r="I43" s="20">
        <v>0</v>
      </c>
      <c r="J43" s="20">
        <v>840.5</v>
      </c>
      <c r="K43" s="20">
        <v>0</v>
      </c>
      <c r="L43" s="21">
        <v>990.5</v>
      </c>
      <c r="M43" s="22">
        <v>0</v>
      </c>
    </row>
    <row r="44" spans="2:13" s="23" customFormat="1" x14ac:dyDescent="0.25">
      <c r="B44" s="147" t="s">
        <v>33</v>
      </c>
      <c r="C44" s="11" t="s">
        <v>69</v>
      </c>
      <c r="D44" s="39" t="s">
        <v>67</v>
      </c>
      <c r="E44" s="12" t="s">
        <v>17</v>
      </c>
      <c r="F44" s="12" t="s">
        <v>70</v>
      </c>
      <c r="G44" s="16">
        <v>2030</v>
      </c>
      <c r="H44" s="14"/>
      <c r="I44" s="14"/>
      <c r="J44" s="14"/>
      <c r="K44" s="14"/>
      <c r="L44" s="15">
        <v>0</v>
      </c>
      <c r="M44" s="14">
        <v>582</v>
      </c>
    </row>
    <row r="45" spans="2:13" s="23" customFormat="1" x14ac:dyDescent="0.25">
      <c r="B45" s="149"/>
      <c r="C45" s="11" t="s">
        <v>34</v>
      </c>
      <c r="D45" s="39">
        <v>1</v>
      </c>
      <c r="E45" s="12" t="s">
        <v>17</v>
      </c>
      <c r="F45" s="12" t="s">
        <v>35</v>
      </c>
      <c r="G45" s="44">
        <v>47484</v>
      </c>
      <c r="H45" s="14"/>
      <c r="I45" s="14"/>
      <c r="J45" s="14"/>
      <c r="K45" s="14"/>
      <c r="L45" s="15">
        <v>0</v>
      </c>
      <c r="M45" s="14">
        <v>630.5</v>
      </c>
    </row>
    <row r="46" spans="2:13" x14ac:dyDescent="0.25">
      <c r="B46" s="149"/>
      <c r="C46" s="11" t="s">
        <v>71</v>
      </c>
      <c r="D46" s="39">
        <v>2</v>
      </c>
      <c r="E46" s="12" t="s">
        <v>17</v>
      </c>
      <c r="F46" s="12" t="s">
        <v>72</v>
      </c>
      <c r="G46" s="16">
        <v>2020</v>
      </c>
      <c r="H46" s="14"/>
      <c r="I46" s="45"/>
      <c r="J46" s="14">
        <v>1019</v>
      </c>
      <c r="K46" s="14"/>
      <c r="L46" s="15">
        <v>1019</v>
      </c>
      <c r="M46" s="14"/>
    </row>
    <row r="47" spans="2:13" x14ac:dyDescent="0.25">
      <c r="B47" s="148"/>
      <c r="C47" s="11" t="s">
        <v>71</v>
      </c>
      <c r="D47" s="39">
        <v>3</v>
      </c>
      <c r="E47" s="12" t="s">
        <v>17</v>
      </c>
      <c r="F47" s="12" t="s">
        <v>72</v>
      </c>
      <c r="G47" s="16">
        <v>2021</v>
      </c>
      <c r="H47" s="14"/>
      <c r="I47" s="45"/>
      <c r="J47" s="14"/>
      <c r="K47" s="14">
        <v>1039</v>
      </c>
      <c r="L47" s="15">
        <v>1039</v>
      </c>
      <c r="M47" s="14"/>
    </row>
    <row r="48" spans="2:13" x14ac:dyDescent="0.25">
      <c r="B48" s="143" t="s">
        <v>36</v>
      </c>
      <c r="C48" s="144"/>
      <c r="D48" s="144"/>
      <c r="E48" s="144"/>
      <c r="F48" s="144"/>
      <c r="G48" s="145"/>
      <c r="H48" s="20">
        <v>0</v>
      </c>
      <c r="I48" s="20">
        <v>0</v>
      </c>
      <c r="J48" s="20">
        <v>1019</v>
      </c>
      <c r="K48" s="20">
        <v>1039</v>
      </c>
      <c r="L48" s="21">
        <v>2058</v>
      </c>
      <c r="M48" s="22">
        <v>1212.5</v>
      </c>
    </row>
    <row r="49" spans="2:13" x14ac:dyDescent="0.25">
      <c r="B49" s="143" t="s">
        <v>73</v>
      </c>
      <c r="C49" s="144"/>
      <c r="D49" s="144"/>
      <c r="E49" s="144"/>
      <c r="F49" s="144"/>
      <c r="G49" s="145"/>
      <c r="H49" s="20">
        <v>787</v>
      </c>
      <c r="I49" s="20">
        <v>0</v>
      </c>
      <c r="J49" s="20">
        <v>1859.5</v>
      </c>
      <c r="K49" s="20">
        <v>1039</v>
      </c>
      <c r="L49" s="21">
        <v>3685.5</v>
      </c>
      <c r="M49" s="22">
        <v>1212.5</v>
      </c>
    </row>
    <row r="50" spans="2:13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2" spans="2:13" s="23" customFormat="1" x14ac:dyDescent="0.25">
      <c r="B52" s="2"/>
      <c r="C52" s="2"/>
      <c r="D52" s="3"/>
      <c r="E52" s="3"/>
      <c r="F52" s="2"/>
      <c r="G52" s="3"/>
      <c r="H52" s="2"/>
      <c r="I52" s="2"/>
      <c r="J52" s="2"/>
      <c r="K52" s="2"/>
      <c r="L52" s="2"/>
      <c r="M52" s="2"/>
    </row>
  </sheetData>
  <sheetProtection algorithmName="SHA-512" hashValue="7Toks2Z/IpV8bFFKqt+IVZnNR7KWU2rxVsSKlKvGms9G+VQLEq8CXSL6N9+OEUyYh6W8TrI0rIVoKMZkm24aRw==" saltValue="5J8nopMWciv3AZxEvLqCdA==" spinCount="100000" sheet="1" objects="1" scenarios="1"/>
  <mergeCells count="19">
    <mergeCell ref="B31:G31"/>
    <mergeCell ref="B5:M5"/>
    <mergeCell ref="B7:B10"/>
    <mergeCell ref="B11:G11"/>
    <mergeCell ref="B12:B15"/>
    <mergeCell ref="B16:G16"/>
    <mergeCell ref="B18:G18"/>
    <mergeCell ref="B19:G19"/>
    <mergeCell ref="B21:M21"/>
    <mergeCell ref="B22:B25"/>
    <mergeCell ref="B26:G26"/>
    <mergeCell ref="B30:G30"/>
    <mergeCell ref="B49:G49"/>
    <mergeCell ref="B33:M33"/>
    <mergeCell ref="B38:G38"/>
    <mergeCell ref="B41:B42"/>
    <mergeCell ref="B43:G43"/>
    <mergeCell ref="B44:B47"/>
    <mergeCell ref="B48:G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91"/>
  <sheetViews>
    <sheetView zoomScale="90" zoomScaleNormal="90" workbookViewId="0">
      <pane xSplit="3" ySplit="6" topLeftCell="D7" activePane="bottomRight" state="frozen"/>
      <selection activeCell="B4" sqref="B4"/>
      <selection pane="topRight" activeCell="B4" sqref="B4"/>
      <selection pane="bottomLeft" activeCell="B4" sqref="B4"/>
      <selection pane="bottomRight" activeCell="A7" sqref="A7"/>
    </sheetView>
  </sheetViews>
  <sheetFormatPr defaultColWidth="9.28515625" defaultRowHeight="15" x14ac:dyDescent="0.25"/>
  <cols>
    <col min="1" max="1" width="2.5703125" style="2" customWidth="1"/>
    <col min="2" max="2" width="19.42578125" style="2" bestFit="1" customWidth="1"/>
    <col min="3" max="3" width="40.42578125" style="2" customWidth="1"/>
    <col min="4" max="4" width="10.7109375" style="3" customWidth="1"/>
    <col min="5" max="5" width="6.5703125" style="3" bestFit="1" customWidth="1"/>
    <col min="6" max="6" width="15" style="3" customWidth="1"/>
    <col min="7" max="7" width="17.7109375" style="3" bestFit="1" customWidth="1"/>
    <col min="8" max="9" width="12" style="2" bestFit="1" customWidth="1"/>
    <col min="10" max="10" width="12.42578125" style="2" bestFit="1" customWidth="1"/>
    <col min="11" max="11" width="12" style="2" bestFit="1" customWidth="1"/>
    <col min="12" max="12" width="25.5703125" style="46" customWidth="1"/>
    <col min="13" max="13" width="22" style="2" bestFit="1" customWidth="1"/>
    <col min="14" max="16384" width="9.28515625" style="2"/>
  </cols>
  <sheetData>
    <row r="1" spans="2:13" ht="21" x14ac:dyDescent="0.35">
      <c r="B1" s="1" t="s">
        <v>74</v>
      </c>
      <c r="F1" s="2"/>
    </row>
    <row r="2" spans="2:13" x14ac:dyDescent="0.25">
      <c r="F2" s="2"/>
    </row>
    <row r="3" spans="2:13" ht="15.75" x14ac:dyDescent="0.25">
      <c r="B3" s="4" t="s">
        <v>1</v>
      </c>
      <c r="C3" s="5"/>
      <c r="F3" s="2"/>
    </row>
    <row r="4" spans="2:13" x14ac:dyDescent="0.25">
      <c r="F4" s="2"/>
    </row>
    <row r="5" spans="2:13" ht="18.75" x14ac:dyDescent="0.3">
      <c r="B5" s="156" t="s">
        <v>75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2:13" x14ac:dyDescent="0.25"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9" t="s">
        <v>76</v>
      </c>
    </row>
    <row r="7" spans="2:13" x14ac:dyDescent="0.25">
      <c r="B7" s="147" t="s">
        <v>15</v>
      </c>
      <c r="C7" s="48" t="s">
        <v>77</v>
      </c>
      <c r="D7" s="49">
        <v>1</v>
      </c>
      <c r="E7" s="49" t="s">
        <v>78</v>
      </c>
      <c r="F7" s="49" t="s">
        <v>79</v>
      </c>
      <c r="G7" s="50" t="s">
        <v>80</v>
      </c>
      <c r="H7" s="51">
        <v>1000</v>
      </c>
      <c r="I7" s="51"/>
      <c r="J7" s="51"/>
      <c r="K7" s="51"/>
      <c r="L7" s="51">
        <v>1000</v>
      </c>
      <c r="M7" s="52"/>
    </row>
    <row r="8" spans="2:13" x14ac:dyDescent="0.25">
      <c r="B8" s="149"/>
      <c r="C8" s="48" t="s">
        <v>81</v>
      </c>
      <c r="D8" s="49"/>
      <c r="E8" s="49" t="s">
        <v>78</v>
      </c>
      <c r="F8" s="49" t="s">
        <v>82</v>
      </c>
      <c r="G8" s="50">
        <v>2019</v>
      </c>
      <c r="H8" s="54"/>
      <c r="I8" s="51">
        <v>894</v>
      </c>
      <c r="J8" s="51"/>
      <c r="K8" s="51"/>
      <c r="L8" s="51">
        <v>894</v>
      </c>
      <c r="M8" s="52"/>
    </row>
    <row r="9" spans="2:13" x14ac:dyDescent="0.25">
      <c r="B9" s="149"/>
      <c r="C9" s="48" t="s">
        <v>83</v>
      </c>
      <c r="D9" s="49"/>
      <c r="E9" s="49" t="s">
        <v>78</v>
      </c>
      <c r="F9" s="49" t="s">
        <v>82</v>
      </c>
      <c r="G9" s="55">
        <v>43342</v>
      </c>
      <c r="H9" s="56">
        <v>736</v>
      </c>
      <c r="I9" s="51"/>
      <c r="J9" s="51"/>
      <c r="K9" s="51"/>
      <c r="L9" s="51">
        <v>736</v>
      </c>
      <c r="M9" s="52"/>
    </row>
    <row r="10" spans="2:13" x14ac:dyDescent="0.25">
      <c r="B10" s="149"/>
      <c r="C10" s="57" t="s">
        <v>84</v>
      </c>
      <c r="D10" s="49">
        <v>7</v>
      </c>
      <c r="E10" s="49" t="s">
        <v>85</v>
      </c>
      <c r="F10" s="58" t="s">
        <v>86</v>
      </c>
      <c r="G10" s="55">
        <v>43269</v>
      </c>
      <c r="H10" s="51">
        <v>526</v>
      </c>
      <c r="I10" s="51"/>
      <c r="J10" s="51"/>
      <c r="K10" s="51"/>
      <c r="L10" s="51">
        <f>H10</f>
        <v>526</v>
      </c>
      <c r="M10" s="52"/>
    </row>
    <row r="11" spans="2:13" x14ac:dyDescent="0.25">
      <c r="B11" s="149"/>
      <c r="C11" s="48" t="s">
        <v>87</v>
      </c>
      <c r="D11" s="34" t="s">
        <v>88</v>
      </c>
      <c r="E11" s="49" t="s">
        <v>89</v>
      </c>
      <c r="F11" s="49" t="s">
        <v>90</v>
      </c>
      <c r="G11" s="50">
        <v>2019</v>
      </c>
      <c r="H11" s="56"/>
      <c r="I11" s="51">
        <v>1588</v>
      </c>
      <c r="J11" s="51"/>
      <c r="K11" s="51"/>
      <c r="L11" s="51">
        <v>1588</v>
      </c>
      <c r="M11" s="52"/>
    </row>
    <row r="12" spans="2:13" x14ac:dyDescent="0.25">
      <c r="B12" s="149"/>
      <c r="C12" s="48" t="s">
        <v>91</v>
      </c>
      <c r="D12" s="59" t="s">
        <v>92</v>
      </c>
      <c r="E12" s="49" t="s">
        <v>89</v>
      </c>
      <c r="F12" s="49" t="s">
        <v>90</v>
      </c>
      <c r="G12" s="50">
        <v>2020</v>
      </c>
      <c r="H12" s="56"/>
      <c r="I12" s="51"/>
      <c r="J12" s="51">
        <v>1080</v>
      </c>
      <c r="K12" s="51"/>
      <c r="L12" s="51">
        <v>1080</v>
      </c>
      <c r="M12" s="52"/>
    </row>
    <row r="13" spans="2:13" x14ac:dyDescent="0.25">
      <c r="B13" s="149"/>
      <c r="C13" s="48" t="s">
        <v>93</v>
      </c>
      <c r="D13" s="34" t="s">
        <v>88</v>
      </c>
      <c r="E13" s="49" t="s">
        <v>89</v>
      </c>
      <c r="F13" s="34" t="s">
        <v>90</v>
      </c>
      <c r="G13" s="60" t="s">
        <v>94</v>
      </c>
      <c r="H13" s="56"/>
      <c r="I13" s="51"/>
      <c r="J13" s="51"/>
      <c r="K13" s="51"/>
      <c r="L13" s="51"/>
      <c r="M13" s="52"/>
    </row>
    <row r="14" spans="2:13" x14ac:dyDescent="0.25">
      <c r="B14" s="149"/>
      <c r="C14" s="48" t="s">
        <v>95</v>
      </c>
      <c r="D14" s="34" t="s">
        <v>92</v>
      </c>
      <c r="E14" s="49" t="s">
        <v>89</v>
      </c>
      <c r="F14" s="34" t="s">
        <v>90</v>
      </c>
      <c r="G14" s="60" t="s">
        <v>96</v>
      </c>
      <c r="H14" s="56"/>
      <c r="I14" s="51"/>
      <c r="J14" s="51"/>
      <c r="K14" s="51"/>
      <c r="L14" s="51"/>
      <c r="M14" s="52"/>
    </row>
    <row r="15" spans="2:13" x14ac:dyDescent="0.25">
      <c r="B15" s="148"/>
      <c r="C15" s="48" t="s">
        <v>97</v>
      </c>
      <c r="D15" s="34" t="s">
        <v>88</v>
      </c>
      <c r="E15" s="49" t="s">
        <v>89</v>
      </c>
      <c r="F15" s="34" t="s">
        <v>90</v>
      </c>
      <c r="G15" s="60" t="s">
        <v>98</v>
      </c>
      <c r="H15" s="56"/>
      <c r="I15" s="51"/>
      <c r="J15" s="51"/>
      <c r="K15" s="51"/>
      <c r="L15" s="51"/>
      <c r="M15" s="52"/>
    </row>
    <row r="16" spans="2:13" s="23" customFormat="1" x14ac:dyDescent="0.25">
      <c r="B16" s="150" t="s">
        <v>24</v>
      </c>
      <c r="C16" s="150"/>
      <c r="D16" s="150"/>
      <c r="E16" s="150"/>
      <c r="F16" s="150"/>
      <c r="G16" s="150"/>
      <c r="H16" s="20">
        <v>1736</v>
      </c>
      <c r="I16" s="20">
        <v>2482</v>
      </c>
      <c r="J16" s="20">
        <v>1080</v>
      </c>
      <c r="K16" s="20">
        <v>0</v>
      </c>
      <c r="L16" s="21">
        <f>SUM(L7:L15)</f>
        <v>5824</v>
      </c>
      <c r="M16" s="21">
        <v>0</v>
      </c>
    </row>
    <row r="17" spans="2:13" s="23" customFormat="1" x14ac:dyDescent="0.25">
      <c r="B17" s="158" t="s">
        <v>99</v>
      </c>
      <c r="C17" s="61" t="s">
        <v>100</v>
      </c>
      <c r="D17" s="60" t="s">
        <v>101</v>
      </c>
      <c r="E17" s="62" t="s">
        <v>85</v>
      </c>
      <c r="F17" s="62">
        <v>25</v>
      </c>
      <c r="G17" s="62">
        <v>2018</v>
      </c>
      <c r="H17" s="62">
        <v>128</v>
      </c>
      <c r="I17" s="51"/>
      <c r="J17" s="51"/>
      <c r="K17" s="51"/>
      <c r="L17" s="51">
        <f>H17</f>
        <v>128</v>
      </c>
      <c r="M17" s="52"/>
    </row>
    <row r="18" spans="2:13" s="23" customFormat="1" x14ac:dyDescent="0.25">
      <c r="B18" s="159"/>
      <c r="C18" s="63" t="s">
        <v>102</v>
      </c>
      <c r="D18" s="49">
        <v>1</v>
      </c>
      <c r="E18" s="49" t="s">
        <v>89</v>
      </c>
      <c r="F18" s="64" t="s">
        <v>90</v>
      </c>
      <c r="G18" s="60">
        <v>2018</v>
      </c>
      <c r="H18" s="51">
        <v>340</v>
      </c>
      <c r="I18" s="51"/>
      <c r="J18" s="51"/>
      <c r="K18" s="51"/>
      <c r="L18" s="51">
        <v>340</v>
      </c>
      <c r="M18" s="52"/>
    </row>
    <row r="19" spans="2:13" s="23" customFormat="1" x14ac:dyDescent="0.25">
      <c r="B19" s="150" t="s">
        <v>32</v>
      </c>
      <c r="C19" s="150"/>
      <c r="D19" s="150"/>
      <c r="E19" s="150"/>
      <c r="F19" s="150"/>
      <c r="G19" s="150"/>
      <c r="H19" s="20">
        <f>SUM(H17:H18)</f>
        <v>468</v>
      </c>
      <c r="I19" s="20">
        <f t="shared" ref="I19:K19" si="0">SUM(I17:I18)</f>
        <v>0</v>
      </c>
      <c r="J19" s="20">
        <f t="shared" si="0"/>
        <v>0</v>
      </c>
      <c r="K19" s="20">
        <f t="shared" si="0"/>
        <v>0</v>
      </c>
      <c r="L19" s="21">
        <f>SUM(L17:L18)</f>
        <v>468</v>
      </c>
      <c r="M19" s="21">
        <f>SUM(M17:M18)</f>
        <v>0</v>
      </c>
    </row>
    <row r="20" spans="2:13" s="23" customFormat="1" x14ac:dyDescent="0.25">
      <c r="B20" s="149" t="s">
        <v>46</v>
      </c>
      <c r="C20" s="48" t="s">
        <v>103</v>
      </c>
      <c r="D20" s="31">
        <v>1</v>
      </c>
      <c r="E20" s="49" t="s">
        <v>89</v>
      </c>
      <c r="F20" s="31" t="s">
        <v>90</v>
      </c>
      <c r="G20" s="60">
        <v>2020</v>
      </c>
      <c r="H20" s="51"/>
      <c r="I20" s="51"/>
      <c r="J20" s="51">
        <v>320</v>
      </c>
      <c r="K20" s="51"/>
      <c r="L20" s="51">
        <v>320</v>
      </c>
      <c r="M20" s="52"/>
    </row>
    <row r="21" spans="2:13" s="23" customFormat="1" x14ac:dyDescent="0.25">
      <c r="B21" s="149"/>
      <c r="C21" s="48" t="s">
        <v>104</v>
      </c>
      <c r="D21" s="31">
        <v>1</v>
      </c>
      <c r="E21" s="49" t="s">
        <v>89</v>
      </c>
      <c r="F21" s="31" t="s">
        <v>90</v>
      </c>
      <c r="G21" s="60">
        <v>2021</v>
      </c>
      <c r="H21" s="51"/>
      <c r="I21" s="51"/>
      <c r="J21" s="51"/>
      <c r="K21" s="51">
        <v>480</v>
      </c>
      <c r="L21" s="51">
        <v>400</v>
      </c>
      <c r="M21" s="52"/>
    </row>
    <row r="22" spans="2:13" s="23" customFormat="1" x14ac:dyDescent="0.25">
      <c r="B22" s="149"/>
      <c r="C22" s="48" t="s">
        <v>105</v>
      </c>
      <c r="D22" s="31">
        <v>1</v>
      </c>
      <c r="E22" s="49" t="s">
        <v>89</v>
      </c>
      <c r="F22" s="31" t="s">
        <v>90</v>
      </c>
      <c r="G22" s="60">
        <v>2022</v>
      </c>
      <c r="H22" s="51"/>
      <c r="I22" s="51"/>
      <c r="J22" s="51"/>
      <c r="K22" s="51"/>
      <c r="L22" s="51">
        <v>0</v>
      </c>
      <c r="M22" s="51">
        <v>480</v>
      </c>
    </row>
    <row r="23" spans="2:13" s="23" customFormat="1" x14ac:dyDescent="0.25">
      <c r="B23" s="149"/>
      <c r="C23" s="48" t="s">
        <v>105</v>
      </c>
      <c r="D23" s="31">
        <v>1</v>
      </c>
      <c r="E23" s="49" t="s">
        <v>89</v>
      </c>
      <c r="F23" s="31" t="s">
        <v>90</v>
      </c>
      <c r="G23" s="60">
        <v>2023</v>
      </c>
      <c r="H23" s="51"/>
      <c r="I23" s="51"/>
      <c r="J23" s="51"/>
      <c r="K23" s="51"/>
      <c r="L23" s="51">
        <v>0</v>
      </c>
      <c r="M23" s="51">
        <v>480</v>
      </c>
    </row>
    <row r="24" spans="2:13" s="23" customFormat="1" x14ac:dyDescent="0.25">
      <c r="B24" s="149"/>
      <c r="C24" s="48" t="s">
        <v>105</v>
      </c>
      <c r="D24" s="31">
        <v>1</v>
      </c>
      <c r="E24" s="49" t="s">
        <v>89</v>
      </c>
      <c r="F24" s="31" t="s">
        <v>90</v>
      </c>
      <c r="G24" s="60">
        <v>2024</v>
      </c>
      <c r="H24" s="51"/>
      <c r="I24" s="51"/>
      <c r="J24" s="51"/>
      <c r="K24" s="51"/>
      <c r="L24" s="51">
        <v>0</v>
      </c>
      <c r="M24" s="51">
        <v>480</v>
      </c>
    </row>
    <row r="25" spans="2:13" s="23" customFormat="1" x14ac:dyDescent="0.25">
      <c r="B25" s="149"/>
      <c r="C25" s="48" t="s">
        <v>105</v>
      </c>
      <c r="D25" s="31">
        <v>1</v>
      </c>
      <c r="E25" s="49" t="s">
        <v>89</v>
      </c>
      <c r="F25" s="31" t="s">
        <v>90</v>
      </c>
      <c r="G25" s="60">
        <v>2025</v>
      </c>
      <c r="H25" s="51"/>
      <c r="I25" s="51"/>
      <c r="J25" s="51"/>
      <c r="K25" s="51"/>
      <c r="L25" s="51">
        <v>0</v>
      </c>
      <c r="M25" s="51">
        <v>480</v>
      </c>
    </row>
    <row r="26" spans="2:13" s="23" customFormat="1" x14ac:dyDescent="0.25">
      <c r="B26" s="149"/>
      <c r="C26" s="48" t="s">
        <v>105</v>
      </c>
      <c r="D26" s="31">
        <v>1</v>
      </c>
      <c r="E26" s="49" t="s">
        <v>89</v>
      </c>
      <c r="F26" s="31" t="s">
        <v>90</v>
      </c>
      <c r="G26" s="60">
        <v>2026</v>
      </c>
      <c r="H26" s="51"/>
      <c r="I26" s="51"/>
      <c r="J26" s="51"/>
      <c r="K26" s="51"/>
      <c r="L26" s="51">
        <v>0</v>
      </c>
      <c r="M26" s="51">
        <v>480</v>
      </c>
    </row>
    <row r="27" spans="2:13" s="23" customFormat="1" x14ac:dyDescent="0.25">
      <c r="B27" s="149"/>
      <c r="C27" s="48" t="s">
        <v>105</v>
      </c>
      <c r="D27" s="65">
        <v>1</v>
      </c>
      <c r="E27" s="49" t="s">
        <v>89</v>
      </c>
      <c r="F27" s="65" t="s">
        <v>90</v>
      </c>
      <c r="G27" s="60">
        <v>2027</v>
      </c>
      <c r="H27" s="51"/>
      <c r="I27" s="51"/>
      <c r="J27" s="51"/>
      <c r="K27" s="51"/>
      <c r="L27" s="51">
        <v>0</v>
      </c>
      <c r="M27" s="51">
        <v>480</v>
      </c>
    </row>
    <row r="28" spans="2:13" s="23" customFormat="1" x14ac:dyDescent="0.25">
      <c r="B28" s="149"/>
      <c r="C28" s="48" t="s">
        <v>105</v>
      </c>
      <c r="D28" s="65">
        <v>1</v>
      </c>
      <c r="E28" s="49" t="s">
        <v>89</v>
      </c>
      <c r="F28" s="65" t="s">
        <v>90</v>
      </c>
      <c r="G28" s="60">
        <v>2028</v>
      </c>
      <c r="H28" s="51"/>
      <c r="I28" s="51"/>
      <c r="J28" s="51"/>
      <c r="K28" s="51"/>
      <c r="L28" s="51">
        <v>0</v>
      </c>
      <c r="M28" s="51">
        <v>480</v>
      </c>
    </row>
    <row r="29" spans="2:13" s="23" customFormat="1" x14ac:dyDescent="0.25">
      <c r="B29" s="149"/>
      <c r="C29" s="48" t="s">
        <v>105</v>
      </c>
      <c r="D29" s="65">
        <v>1</v>
      </c>
      <c r="E29" s="49" t="s">
        <v>89</v>
      </c>
      <c r="F29" s="65" t="s">
        <v>90</v>
      </c>
      <c r="G29" s="60">
        <v>2029</v>
      </c>
      <c r="H29" s="51"/>
      <c r="I29" s="51"/>
      <c r="J29" s="51"/>
      <c r="K29" s="51"/>
      <c r="L29" s="51">
        <v>0</v>
      </c>
      <c r="M29" s="51">
        <v>480</v>
      </c>
    </row>
    <row r="30" spans="2:13" s="23" customFormat="1" x14ac:dyDescent="0.25">
      <c r="B30" s="149"/>
      <c r="C30" s="48" t="s">
        <v>105</v>
      </c>
      <c r="D30" s="65">
        <v>1</v>
      </c>
      <c r="E30" s="49" t="s">
        <v>89</v>
      </c>
      <c r="F30" s="65" t="s">
        <v>90</v>
      </c>
      <c r="G30" s="60">
        <v>2030</v>
      </c>
      <c r="H30" s="51"/>
      <c r="I30" s="51"/>
      <c r="J30" s="51"/>
      <c r="K30" s="51"/>
      <c r="L30" s="51">
        <v>0</v>
      </c>
      <c r="M30" s="51">
        <v>480</v>
      </c>
    </row>
    <row r="31" spans="2:13" s="23" customFormat="1" x14ac:dyDescent="0.25">
      <c r="B31" s="149"/>
      <c r="C31" s="48" t="s">
        <v>105</v>
      </c>
      <c r="D31" s="65">
        <v>1</v>
      </c>
      <c r="E31" s="49" t="s">
        <v>89</v>
      </c>
      <c r="F31" s="65" t="s">
        <v>90</v>
      </c>
      <c r="G31" s="60">
        <v>2031</v>
      </c>
      <c r="H31" s="51"/>
      <c r="I31" s="51"/>
      <c r="J31" s="51"/>
      <c r="K31" s="51"/>
      <c r="L31" s="51">
        <v>0</v>
      </c>
      <c r="M31" s="51">
        <v>160</v>
      </c>
    </row>
    <row r="32" spans="2:13" s="23" customFormat="1" x14ac:dyDescent="0.25">
      <c r="B32" s="149"/>
      <c r="C32" s="48" t="s">
        <v>105</v>
      </c>
      <c r="D32" s="65">
        <v>1</v>
      </c>
      <c r="E32" s="49" t="s">
        <v>89</v>
      </c>
      <c r="F32" s="65" t="s">
        <v>90</v>
      </c>
      <c r="G32" s="60">
        <v>2032</v>
      </c>
      <c r="H32" s="51"/>
      <c r="I32" s="51"/>
      <c r="J32" s="51"/>
      <c r="K32" s="51"/>
      <c r="L32" s="51">
        <v>0</v>
      </c>
      <c r="M32" s="51">
        <v>240</v>
      </c>
    </row>
    <row r="33" spans="2:13" s="23" customFormat="1" x14ac:dyDescent="0.25">
      <c r="B33" s="149"/>
      <c r="C33" s="48" t="s">
        <v>106</v>
      </c>
      <c r="D33" s="49">
        <v>1</v>
      </c>
      <c r="E33" s="49" t="s">
        <v>85</v>
      </c>
      <c r="F33" s="66" t="s">
        <v>86</v>
      </c>
      <c r="G33" s="55">
        <v>43313</v>
      </c>
      <c r="H33" s="51">
        <v>10</v>
      </c>
      <c r="I33" s="51"/>
      <c r="J33" s="51"/>
      <c r="K33" s="51"/>
      <c r="L33" s="51">
        <v>10</v>
      </c>
      <c r="M33" s="52"/>
    </row>
    <row r="34" spans="2:13" s="23" customFormat="1" x14ac:dyDescent="0.25">
      <c r="B34" s="149"/>
      <c r="C34" s="63" t="s">
        <v>107</v>
      </c>
      <c r="D34" s="49">
        <v>1</v>
      </c>
      <c r="E34" s="49" t="s">
        <v>85</v>
      </c>
      <c r="F34" s="64" t="s">
        <v>86</v>
      </c>
      <c r="G34" s="55">
        <v>43434</v>
      </c>
      <c r="H34" s="51">
        <v>9</v>
      </c>
      <c r="I34" s="51"/>
      <c r="J34" s="51"/>
      <c r="K34" s="51"/>
      <c r="L34" s="51">
        <v>9</v>
      </c>
      <c r="M34" s="52"/>
    </row>
    <row r="35" spans="2:13" s="23" customFormat="1" x14ac:dyDescent="0.25">
      <c r="B35" s="149"/>
      <c r="C35" s="63" t="s">
        <v>108</v>
      </c>
      <c r="D35" s="49">
        <v>1</v>
      </c>
      <c r="E35" s="49" t="s">
        <v>85</v>
      </c>
      <c r="F35" s="64" t="s">
        <v>86</v>
      </c>
      <c r="G35" s="55">
        <v>43434</v>
      </c>
      <c r="H35" s="51">
        <v>4</v>
      </c>
      <c r="I35" s="67"/>
      <c r="J35" s="67"/>
      <c r="K35" s="67"/>
      <c r="L35" s="67">
        <v>4</v>
      </c>
      <c r="M35" s="68"/>
    </row>
    <row r="36" spans="2:13" s="23" customFormat="1" x14ac:dyDescent="0.25">
      <c r="B36" s="149"/>
      <c r="C36" s="63" t="s">
        <v>109</v>
      </c>
      <c r="D36" s="49">
        <v>1</v>
      </c>
      <c r="E36" s="49" t="s">
        <v>85</v>
      </c>
      <c r="F36" s="64" t="s">
        <v>110</v>
      </c>
      <c r="G36" s="55">
        <v>43373</v>
      </c>
      <c r="H36" s="51">
        <v>10</v>
      </c>
      <c r="I36" s="67"/>
      <c r="J36" s="67"/>
      <c r="K36" s="67"/>
      <c r="L36" s="67">
        <v>10</v>
      </c>
      <c r="M36" s="68"/>
    </row>
    <row r="37" spans="2:13" s="23" customFormat="1" x14ac:dyDescent="0.25">
      <c r="B37" s="149"/>
      <c r="C37" s="63" t="s">
        <v>111</v>
      </c>
      <c r="D37" s="49">
        <v>1</v>
      </c>
      <c r="E37" s="49" t="s">
        <v>85</v>
      </c>
      <c r="F37" s="64" t="s">
        <v>110</v>
      </c>
      <c r="G37" s="55">
        <v>43255</v>
      </c>
      <c r="H37" s="51">
        <v>8</v>
      </c>
      <c r="I37" s="51"/>
      <c r="J37" s="51"/>
      <c r="K37" s="51"/>
      <c r="L37" s="51">
        <v>8</v>
      </c>
      <c r="M37" s="52"/>
    </row>
    <row r="38" spans="2:13" s="23" customFormat="1" x14ac:dyDescent="0.25">
      <c r="B38" s="149"/>
      <c r="C38" s="63" t="s">
        <v>112</v>
      </c>
      <c r="D38" s="49">
        <v>1</v>
      </c>
      <c r="E38" s="49" t="s">
        <v>85</v>
      </c>
      <c r="F38" s="64" t="s">
        <v>110</v>
      </c>
      <c r="G38" s="55">
        <v>43556</v>
      </c>
      <c r="H38" s="51"/>
      <c r="I38" s="51">
        <v>20</v>
      </c>
      <c r="J38" s="51"/>
      <c r="K38" s="51"/>
      <c r="L38" s="51">
        <v>20</v>
      </c>
      <c r="M38" s="52"/>
    </row>
    <row r="39" spans="2:13" s="23" customFormat="1" x14ac:dyDescent="0.25">
      <c r="B39" s="149"/>
      <c r="C39" s="63" t="s">
        <v>113</v>
      </c>
      <c r="D39" s="49">
        <v>1</v>
      </c>
      <c r="E39" s="49" t="s">
        <v>85</v>
      </c>
      <c r="F39" s="64" t="s">
        <v>110</v>
      </c>
      <c r="G39" s="55">
        <v>43465</v>
      </c>
      <c r="H39" s="51"/>
      <c r="I39" s="51">
        <v>15</v>
      </c>
      <c r="J39" s="51"/>
      <c r="K39" s="51"/>
      <c r="L39" s="51">
        <v>15</v>
      </c>
      <c r="M39" s="52"/>
    </row>
    <row r="40" spans="2:13" s="23" customFormat="1" x14ac:dyDescent="0.25">
      <c r="B40" s="149"/>
      <c r="C40" s="63" t="s">
        <v>114</v>
      </c>
      <c r="D40" s="49">
        <v>1</v>
      </c>
      <c r="E40" s="49" t="s">
        <v>85</v>
      </c>
      <c r="F40" s="64" t="s">
        <v>110</v>
      </c>
      <c r="G40" s="55">
        <v>43342</v>
      </c>
      <c r="H40" s="51">
        <v>10</v>
      </c>
      <c r="I40" s="51"/>
      <c r="J40" s="51"/>
      <c r="K40" s="51"/>
      <c r="L40" s="51">
        <v>10</v>
      </c>
      <c r="M40" s="52"/>
    </row>
    <row r="41" spans="2:13" s="23" customFormat="1" x14ac:dyDescent="0.25">
      <c r="B41" s="149"/>
      <c r="C41" s="63" t="s">
        <v>115</v>
      </c>
      <c r="D41" s="49">
        <v>1</v>
      </c>
      <c r="E41" s="49" t="s">
        <v>85</v>
      </c>
      <c r="F41" s="64" t="s">
        <v>110</v>
      </c>
      <c r="G41" s="55">
        <v>43465</v>
      </c>
      <c r="H41" s="51">
        <v>17</v>
      </c>
      <c r="I41" s="51"/>
      <c r="J41" s="51"/>
      <c r="K41" s="51"/>
      <c r="L41" s="51">
        <v>17</v>
      </c>
      <c r="M41" s="52"/>
    </row>
    <row r="42" spans="2:13" s="74" customFormat="1" x14ac:dyDescent="0.25">
      <c r="B42" s="149"/>
      <c r="C42" s="69" t="s">
        <v>116</v>
      </c>
      <c r="D42" s="70">
        <v>1</v>
      </c>
      <c r="E42" s="70" t="s">
        <v>85</v>
      </c>
      <c r="F42" s="71" t="s">
        <v>117</v>
      </c>
      <c r="G42" s="72">
        <v>43230</v>
      </c>
      <c r="H42" s="73">
        <v>3.024</v>
      </c>
      <c r="I42" s="51"/>
      <c r="J42" s="51"/>
      <c r="K42" s="51"/>
      <c r="L42" s="66">
        <f t="shared" ref="L42:L46" si="1">H42</f>
        <v>3.024</v>
      </c>
      <c r="M42" s="52"/>
    </row>
    <row r="43" spans="2:13" s="74" customFormat="1" x14ac:dyDescent="0.25">
      <c r="B43" s="149"/>
      <c r="C43" s="69" t="s">
        <v>118</v>
      </c>
      <c r="D43" s="70">
        <v>1</v>
      </c>
      <c r="E43" s="70" t="s">
        <v>85</v>
      </c>
      <c r="F43" s="71" t="s">
        <v>119</v>
      </c>
      <c r="G43" s="72">
        <v>43213</v>
      </c>
      <c r="H43" s="73">
        <v>8.1567000000000007</v>
      </c>
      <c r="I43" s="51"/>
      <c r="J43" s="51"/>
      <c r="K43" s="51"/>
      <c r="L43" s="66">
        <f t="shared" si="1"/>
        <v>8.1567000000000007</v>
      </c>
      <c r="M43" s="52"/>
    </row>
    <row r="44" spans="2:13" s="74" customFormat="1" x14ac:dyDescent="0.25">
      <c r="B44" s="149"/>
      <c r="C44" s="69" t="s">
        <v>120</v>
      </c>
      <c r="D44" s="70">
        <v>1</v>
      </c>
      <c r="E44" s="70" t="s">
        <v>85</v>
      </c>
      <c r="F44" s="71" t="s">
        <v>110</v>
      </c>
      <c r="G44" s="72" t="s">
        <v>121</v>
      </c>
      <c r="H44" s="73">
        <v>9.9</v>
      </c>
      <c r="I44" s="51"/>
      <c r="J44" s="51"/>
      <c r="K44" s="51"/>
      <c r="L44" s="66">
        <f t="shared" si="1"/>
        <v>9.9</v>
      </c>
      <c r="M44" s="52"/>
    </row>
    <row r="45" spans="2:13" s="74" customFormat="1" x14ac:dyDescent="0.25">
      <c r="B45" s="149"/>
      <c r="C45" s="69" t="s">
        <v>122</v>
      </c>
      <c r="D45" s="70">
        <v>1</v>
      </c>
      <c r="E45" s="70" t="s">
        <v>85</v>
      </c>
      <c r="F45" s="71" t="s">
        <v>123</v>
      </c>
      <c r="G45" s="72">
        <v>43270</v>
      </c>
      <c r="H45" s="73">
        <v>1.6629</v>
      </c>
      <c r="I45" s="51"/>
      <c r="J45" s="51"/>
      <c r="K45" s="51"/>
      <c r="L45" s="66">
        <f t="shared" si="1"/>
        <v>1.6629</v>
      </c>
      <c r="M45" s="52"/>
    </row>
    <row r="46" spans="2:13" s="74" customFormat="1" x14ac:dyDescent="0.25">
      <c r="B46" s="149"/>
      <c r="C46" s="75" t="s">
        <v>124</v>
      </c>
      <c r="D46" s="76">
        <v>1</v>
      </c>
      <c r="E46" s="76" t="s">
        <v>85</v>
      </c>
      <c r="F46" s="77" t="s">
        <v>123</v>
      </c>
      <c r="G46" s="78">
        <v>43186</v>
      </c>
      <c r="H46" s="79">
        <v>12.2844</v>
      </c>
      <c r="I46" s="51"/>
      <c r="J46" s="51"/>
      <c r="K46" s="51"/>
      <c r="L46" s="66">
        <f t="shared" si="1"/>
        <v>12.2844</v>
      </c>
      <c r="M46" s="52"/>
    </row>
    <row r="47" spans="2:13" s="23" customFormat="1" x14ac:dyDescent="0.25">
      <c r="B47" s="149"/>
      <c r="C47" s="63" t="s">
        <v>125</v>
      </c>
      <c r="D47" s="49">
        <v>1</v>
      </c>
      <c r="E47" s="49" t="s">
        <v>78</v>
      </c>
      <c r="F47" s="64" t="s">
        <v>126</v>
      </c>
      <c r="G47" s="55">
        <v>43646</v>
      </c>
      <c r="H47" s="51"/>
      <c r="I47" s="51">
        <v>10</v>
      </c>
      <c r="J47" s="51"/>
      <c r="K47" s="51"/>
      <c r="L47" s="51">
        <v>10</v>
      </c>
      <c r="M47" s="52"/>
    </row>
    <row r="48" spans="2:13" s="23" customFormat="1" x14ac:dyDescent="0.25">
      <c r="B48" s="149"/>
      <c r="C48" s="63" t="s">
        <v>127</v>
      </c>
      <c r="D48" s="49">
        <v>1</v>
      </c>
      <c r="E48" s="49" t="s">
        <v>78</v>
      </c>
      <c r="F48" s="64" t="s">
        <v>128</v>
      </c>
      <c r="G48" s="55">
        <v>43555</v>
      </c>
      <c r="H48" s="51"/>
      <c r="I48" s="51">
        <v>6</v>
      </c>
      <c r="J48" s="51"/>
      <c r="K48" s="51"/>
      <c r="L48" s="51">
        <v>6</v>
      </c>
      <c r="M48" s="52"/>
    </row>
    <row r="49" spans="2:13" s="23" customFormat="1" x14ac:dyDescent="0.25">
      <c r="B49" s="149"/>
      <c r="C49" s="48" t="s">
        <v>129</v>
      </c>
      <c r="D49" s="49">
        <v>1</v>
      </c>
      <c r="E49" s="49" t="s">
        <v>78</v>
      </c>
      <c r="F49" s="49" t="s">
        <v>128</v>
      </c>
      <c r="G49" s="55">
        <v>43190</v>
      </c>
      <c r="H49" s="51">
        <v>57</v>
      </c>
      <c r="I49" s="51"/>
      <c r="J49" s="51"/>
      <c r="K49" s="51"/>
      <c r="L49" s="51">
        <v>57</v>
      </c>
      <c r="M49" s="52"/>
    </row>
    <row r="50" spans="2:13" x14ac:dyDescent="0.25">
      <c r="B50" s="149"/>
      <c r="C50" s="48" t="s">
        <v>130</v>
      </c>
      <c r="D50" s="49">
        <v>1</v>
      </c>
      <c r="E50" s="49" t="s">
        <v>78</v>
      </c>
      <c r="F50" s="49" t="s">
        <v>128</v>
      </c>
      <c r="G50" s="55">
        <v>43190</v>
      </c>
      <c r="H50" s="51">
        <v>6</v>
      </c>
      <c r="I50" s="51"/>
      <c r="J50" s="51"/>
      <c r="K50" s="51"/>
      <c r="L50" s="51">
        <v>6</v>
      </c>
      <c r="M50" s="52"/>
    </row>
    <row r="51" spans="2:13" x14ac:dyDescent="0.25">
      <c r="B51" s="149"/>
      <c r="C51" s="48" t="s">
        <v>131</v>
      </c>
      <c r="D51" s="49">
        <v>1</v>
      </c>
      <c r="E51" s="49" t="s">
        <v>78</v>
      </c>
      <c r="F51" s="49" t="s">
        <v>128</v>
      </c>
      <c r="G51" s="55">
        <v>43465</v>
      </c>
      <c r="H51" s="51"/>
      <c r="I51" s="51">
        <v>12</v>
      </c>
      <c r="J51" s="51"/>
      <c r="K51" s="51"/>
      <c r="L51" s="51">
        <v>12</v>
      </c>
      <c r="M51" s="52"/>
    </row>
    <row r="52" spans="2:13" x14ac:dyDescent="0.25">
      <c r="B52" s="149"/>
      <c r="C52" s="48" t="s">
        <v>132</v>
      </c>
      <c r="D52" s="49">
        <v>1</v>
      </c>
      <c r="E52" s="49" t="s">
        <v>78</v>
      </c>
      <c r="F52" s="49" t="s">
        <v>128</v>
      </c>
      <c r="G52" s="55">
        <v>43374</v>
      </c>
      <c r="H52" s="51">
        <v>20</v>
      </c>
      <c r="I52" s="51"/>
      <c r="J52" s="51"/>
      <c r="K52" s="51"/>
      <c r="L52" s="51">
        <v>20</v>
      </c>
      <c r="M52" s="52"/>
    </row>
    <row r="53" spans="2:13" x14ac:dyDescent="0.25">
      <c r="B53" s="148"/>
      <c r="C53" s="82" t="s">
        <v>133</v>
      </c>
      <c r="D53" s="83">
        <v>1</v>
      </c>
      <c r="E53" s="83" t="s">
        <v>78</v>
      </c>
      <c r="F53" s="83" t="s">
        <v>128</v>
      </c>
      <c r="G53" s="84">
        <v>43736</v>
      </c>
      <c r="H53" s="66"/>
      <c r="I53" s="66">
        <v>5</v>
      </c>
      <c r="J53" s="66"/>
      <c r="K53" s="66"/>
      <c r="L53" s="66">
        <v>5</v>
      </c>
      <c r="M53" s="52"/>
    </row>
    <row r="54" spans="2:13" x14ac:dyDescent="0.25">
      <c r="B54" s="150" t="s">
        <v>134</v>
      </c>
      <c r="C54" s="150"/>
      <c r="D54" s="150"/>
      <c r="E54" s="150"/>
      <c r="F54" s="150"/>
      <c r="G54" s="150"/>
      <c r="H54" s="20">
        <f>SUM(H20:H53)</f>
        <v>186.02800000000002</v>
      </c>
      <c r="I54" s="20">
        <f t="shared" ref="I54:M54" si="2">SUM(I20:I53)</f>
        <v>68</v>
      </c>
      <c r="J54" s="20">
        <f t="shared" si="2"/>
        <v>320</v>
      </c>
      <c r="K54" s="20">
        <f t="shared" si="2"/>
        <v>480</v>
      </c>
      <c r="L54" s="85">
        <f t="shared" si="2"/>
        <v>974.02800000000002</v>
      </c>
      <c r="M54" s="85">
        <f t="shared" si="2"/>
        <v>4720</v>
      </c>
    </row>
    <row r="55" spans="2:13" s="23" customFormat="1" x14ac:dyDescent="0.25">
      <c r="B55" s="153" t="s">
        <v>45</v>
      </c>
      <c r="C55" s="81" t="s">
        <v>135</v>
      </c>
      <c r="D55" s="80">
        <v>1</v>
      </c>
      <c r="E55" s="80" t="s">
        <v>78</v>
      </c>
      <c r="F55" s="80" t="s">
        <v>128</v>
      </c>
      <c r="G55" s="55">
        <v>43191</v>
      </c>
      <c r="H55" s="67">
        <v>100</v>
      </c>
      <c r="I55" s="67"/>
      <c r="J55" s="67"/>
      <c r="K55" s="67"/>
      <c r="L55" s="67">
        <v>100</v>
      </c>
      <c r="M55" s="68"/>
    </row>
    <row r="56" spans="2:13" x14ac:dyDescent="0.25">
      <c r="B56" s="155"/>
      <c r="C56" s="81" t="s">
        <v>136</v>
      </c>
      <c r="D56" s="80">
        <v>1</v>
      </c>
      <c r="E56" s="80" t="s">
        <v>78</v>
      </c>
      <c r="F56" s="80" t="s">
        <v>137</v>
      </c>
      <c r="G56" s="80">
        <v>2020</v>
      </c>
      <c r="H56" s="67"/>
      <c r="I56" s="67"/>
      <c r="J56" s="67">
        <v>72</v>
      </c>
      <c r="K56" s="67"/>
      <c r="L56" s="67">
        <v>72</v>
      </c>
      <c r="M56" s="68"/>
    </row>
    <row r="57" spans="2:13" x14ac:dyDescent="0.25">
      <c r="B57" s="155"/>
      <c r="C57" s="81" t="s">
        <v>138</v>
      </c>
      <c r="D57" s="80"/>
      <c r="E57" s="49" t="s">
        <v>89</v>
      </c>
      <c r="F57" s="80" t="s">
        <v>90</v>
      </c>
      <c r="G57" s="80">
        <v>2018</v>
      </c>
      <c r="H57" s="67"/>
      <c r="I57" s="67"/>
      <c r="J57" s="67">
        <v>76.599999999999994</v>
      </c>
      <c r="K57" s="67"/>
      <c r="L57" s="67">
        <v>76.599999999999994</v>
      </c>
      <c r="M57" s="68"/>
    </row>
    <row r="58" spans="2:13" x14ac:dyDescent="0.25">
      <c r="B58" s="154"/>
      <c r="C58" s="81" t="s">
        <v>139</v>
      </c>
      <c r="D58" s="80"/>
      <c r="E58" s="49" t="s">
        <v>89</v>
      </c>
      <c r="F58" s="80" t="s">
        <v>90</v>
      </c>
      <c r="G58" s="80">
        <v>2020</v>
      </c>
      <c r="H58" s="67"/>
      <c r="I58" s="67"/>
      <c r="J58" s="67">
        <v>12</v>
      </c>
      <c r="K58" s="67"/>
      <c r="L58" s="67">
        <v>12</v>
      </c>
      <c r="M58" s="68"/>
    </row>
    <row r="59" spans="2:13" x14ac:dyDescent="0.25">
      <c r="B59" s="143" t="s">
        <v>45</v>
      </c>
      <c r="C59" s="144"/>
      <c r="D59" s="144"/>
      <c r="E59" s="144"/>
      <c r="F59" s="144"/>
      <c r="G59" s="145"/>
      <c r="H59" s="20">
        <v>100</v>
      </c>
      <c r="I59" s="20">
        <v>76.599999999999994</v>
      </c>
      <c r="J59" s="20">
        <v>84</v>
      </c>
      <c r="K59" s="20">
        <v>0</v>
      </c>
      <c r="L59" s="21">
        <v>260.60000000000002</v>
      </c>
      <c r="M59" s="21">
        <v>0</v>
      </c>
    </row>
    <row r="60" spans="2:13" x14ac:dyDescent="0.25">
      <c r="B60" s="143" t="s">
        <v>140</v>
      </c>
      <c r="C60" s="144"/>
      <c r="D60" s="144"/>
      <c r="E60" s="144"/>
      <c r="F60" s="144"/>
      <c r="G60" s="145"/>
      <c r="H60" s="20">
        <v>2327</v>
      </c>
      <c r="I60" s="20">
        <v>2749.1</v>
      </c>
      <c r="J60" s="20">
        <v>1484</v>
      </c>
      <c r="K60" s="20">
        <v>420</v>
      </c>
      <c r="L60" s="21">
        <v>6980.1</v>
      </c>
      <c r="M60" s="21">
        <v>8383</v>
      </c>
    </row>
    <row r="61" spans="2:13" s="29" customFormat="1" x14ac:dyDescent="0.25">
      <c r="B61" s="86"/>
      <c r="C61" s="86"/>
      <c r="D61" s="86"/>
      <c r="E61" s="86"/>
      <c r="F61" s="86"/>
      <c r="G61" s="86"/>
      <c r="H61" s="87"/>
      <c r="I61" s="87"/>
      <c r="J61" s="87"/>
      <c r="K61" s="87"/>
      <c r="L61" s="87"/>
      <c r="M61" s="28"/>
    </row>
    <row r="62" spans="2:13" ht="18.75" x14ac:dyDescent="0.3">
      <c r="B62" s="156" t="s">
        <v>54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60"/>
      <c r="M62" s="47"/>
    </row>
    <row r="63" spans="2:13" x14ac:dyDescent="0.25">
      <c r="B63" s="8" t="s">
        <v>3</v>
      </c>
      <c r="C63" s="8" t="s">
        <v>4</v>
      </c>
      <c r="D63" s="8" t="s">
        <v>5</v>
      </c>
      <c r="E63" s="8" t="s">
        <v>6</v>
      </c>
      <c r="F63" s="8" t="s">
        <v>7</v>
      </c>
      <c r="G63" s="8" t="s">
        <v>55</v>
      </c>
      <c r="H63" s="8" t="s">
        <v>9</v>
      </c>
      <c r="I63" s="8" t="s">
        <v>10</v>
      </c>
      <c r="J63" s="8" t="s">
        <v>11</v>
      </c>
      <c r="K63" s="8" t="s">
        <v>12</v>
      </c>
      <c r="L63" s="9" t="s">
        <v>13</v>
      </c>
      <c r="M63" s="9"/>
    </row>
    <row r="64" spans="2:13" x14ac:dyDescent="0.25">
      <c r="B64" s="153" t="s">
        <v>141</v>
      </c>
      <c r="C64" s="11" t="s">
        <v>142</v>
      </c>
      <c r="D64" s="88" t="s">
        <v>143</v>
      </c>
      <c r="E64" s="31" t="s">
        <v>89</v>
      </c>
      <c r="F64" s="12" t="s">
        <v>90</v>
      </c>
      <c r="G64" s="12">
        <v>2021</v>
      </c>
      <c r="H64" s="89" t="s">
        <v>144</v>
      </c>
      <c r="I64" s="89"/>
      <c r="J64" s="89"/>
      <c r="K64" s="12">
        <v>227</v>
      </c>
      <c r="L64" s="90">
        <v>227</v>
      </c>
      <c r="M64" s="91"/>
    </row>
    <row r="65" spans="2:13" x14ac:dyDescent="0.25">
      <c r="B65" s="155"/>
      <c r="C65" s="11" t="s">
        <v>145</v>
      </c>
      <c r="D65" s="88" t="s">
        <v>143</v>
      </c>
      <c r="E65" s="31" t="s">
        <v>89</v>
      </c>
      <c r="F65" s="12" t="s">
        <v>90</v>
      </c>
      <c r="G65" s="12">
        <v>2021</v>
      </c>
      <c r="H65" s="89" t="s">
        <v>146</v>
      </c>
      <c r="I65" s="89"/>
      <c r="J65" s="89"/>
      <c r="K65" s="12">
        <v>316</v>
      </c>
      <c r="L65" s="90">
        <v>316</v>
      </c>
      <c r="M65" s="91"/>
    </row>
    <row r="66" spans="2:13" x14ac:dyDescent="0.25">
      <c r="B66" s="155"/>
      <c r="C66" s="11" t="s">
        <v>145</v>
      </c>
      <c r="D66" s="88">
        <v>5</v>
      </c>
      <c r="E66" s="31" t="s">
        <v>89</v>
      </c>
      <c r="F66" s="12" t="s">
        <v>90</v>
      </c>
      <c r="G66" s="12">
        <v>2021</v>
      </c>
      <c r="H66" s="89"/>
      <c r="I66" s="89"/>
      <c r="J66" s="89"/>
      <c r="K66" s="12">
        <v>786</v>
      </c>
      <c r="L66" s="90">
        <v>786</v>
      </c>
      <c r="M66" s="91"/>
    </row>
    <row r="67" spans="2:13" x14ac:dyDescent="0.25">
      <c r="B67" s="155"/>
      <c r="C67" s="11" t="s">
        <v>147</v>
      </c>
      <c r="D67" s="88" t="s">
        <v>58</v>
      </c>
      <c r="E67" s="12" t="s">
        <v>78</v>
      </c>
      <c r="F67" s="80" t="s">
        <v>148</v>
      </c>
      <c r="G67" s="12">
        <v>2018</v>
      </c>
      <c r="H67" s="67">
        <v>14</v>
      </c>
      <c r="I67" s="67"/>
      <c r="J67" s="67"/>
      <c r="K67" s="14"/>
      <c r="L67" s="90">
        <v>14</v>
      </c>
      <c r="M67" s="91"/>
    </row>
    <row r="68" spans="2:13" x14ac:dyDescent="0.25">
      <c r="B68" s="155"/>
      <c r="C68" s="11" t="s">
        <v>149</v>
      </c>
      <c r="D68" s="88">
        <v>3</v>
      </c>
      <c r="E68" s="12" t="s">
        <v>85</v>
      </c>
      <c r="F68" s="80" t="s">
        <v>150</v>
      </c>
      <c r="G68" s="12">
        <v>2018</v>
      </c>
      <c r="H68" s="67">
        <v>148</v>
      </c>
      <c r="I68" s="67"/>
      <c r="J68" s="67"/>
      <c r="K68" s="14"/>
      <c r="L68" s="90">
        <v>148</v>
      </c>
      <c r="M68" s="91"/>
    </row>
    <row r="69" spans="2:13" x14ac:dyDescent="0.25">
      <c r="B69" s="154"/>
      <c r="C69" s="11" t="s">
        <v>151</v>
      </c>
      <c r="D69" s="92" t="s">
        <v>152</v>
      </c>
      <c r="E69" s="12" t="s">
        <v>85</v>
      </c>
      <c r="F69" s="80" t="s">
        <v>86</v>
      </c>
      <c r="G69" s="12">
        <v>2018</v>
      </c>
      <c r="H69" s="67">
        <v>451</v>
      </c>
      <c r="I69" s="67"/>
      <c r="J69" s="67"/>
      <c r="K69" s="14"/>
      <c r="L69" s="90">
        <v>451</v>
      </c>
      <c r="M69" s="91"/>
    </row>
    <row r="70" spans="2:13" x14ac:dyDescent="0.25">
      <c r="B70" s="143" t="s">
        <v>153</v>
      </c>
      <c r="C70" s="144"/>
      <c r="D70" s="144"/>
      <c r="E70" s="144"/>
      <c r="F70" s="144"/>
      <c r="G70" s="145"/>
      <c r="H70" s="20">
        <v>613</v>
      </c>
      <c r="I70" s="20">
        <v>0</v>
      </c>
      <c r="J70" s="20">
        <v>0</v>
      </c>
      <c r="K70" s="20">
        <v>1329</v>
      </c>
      <c r="L70" s="21">
        <v>1942</v>
      </c>
      <c r="M70" s="9"/>
    </row>
    <row r="71" spans="2:13" x14ac:dyDescent="0.25">
      <c r="B71" s="93" t="s">
        <v>33</v>
      </c>
      <c r="C71" s="11" t="s">
        <v>154</v>
      </c>
      <c r="D71" s="88">
        <v>1</v>
      </c>
      <c r="E71" s="12" t="s">
        <v>85</v>
      </c>
      <c r="F71" s="12" t="s">
        <v>110</v>
      </c>
      <c r="G71" s="12">
        <v>2018</v>
      </c>
      <c r="H71" s="67">
        <v>608</v>
      </c>
      <c r="I71" s="67"/>
      <c r="J71" s="67"/>
      <c r="K71" s="14"/>
      <c r="L71" s="90">
        <v>608</v>
      </c>
      <c r="M71" s="91"/>
    </row>
    <row r="72" spans="2:13" x14ac:dyDescent="0.25">
      <c r="B72" s="143" t="s">
        <v>36</v>
      </c>
      <c r="C72" s="144"/>
      <c r="D72" s="144"/>
      <c r="E72" s="144"/>
      <c r="F72" s="144"/>
      <c r="G72" s="145"/>
      <c r="H72" s="20">
        <v>608</v>
      </c>
      <c r="I72" s="20">
        <v>0</v>
      </c>
      <c r="J72" s="20">
        <v>0</v>
      </c>
      <c r="K72" s="20">
        <v>0</v>
      </c>
      <c r="L72" s="21">
        <v>608</v>
      </c>
      <c r="M72" s="9"/>
    </row>
    <row r="73" spans="2:13" x14ac:dyDescent="0.25">
      <c r="B73" s="153" t="s">
        <v>15</v>
      </c>
      <c r="C73" s="94" t="s">
        <v>155</v>
      </c>
      <c r="D73" s="88" t="s">
        <v>156</v>
      </c>
      <c r="E73" s="31" t="s">
        <v>89</v>
      </c>
      <c r="F73" s="12" t="s">
        <v>90</v>
      </c>
      <c r="G73" s="12">
        <v>2021</v>
      </c>
      <c r="H73" s="89" t="s">
        <v>144</v>
      </c>
      <c r="I73" s="89"/>
      <c r="J73" s="89"/>
      <c r="K73" s="88">
        <v>267</v>
      </c>
      <c r="L73" s="90">
        <v>267</v>
      </c>
      <c r="M73" s="91"/>
    </row>
    <row r="74" spans="2:13" x14ac:dyDescent="0.25">
      <c r="B74" s="154"/>
      <c r="C74" s="94" t="s">
        <v>157</v>
      </c>
      <c r="D74" s="88"/>
      <c r="E74" s="12" t="s">
        <v>85</v>
      </c>
      <c r="F74" s="12" t="s">
        <v>86</v>
      </c>
      <c r="G74" s="12">
        <v>2018</v>
      </c>
      <c r="H74" s="67">
        <v>163</v>
      </c>
      <c r="I74" s="89"/>
      <c r="J74" s="89"/>
      <c r="K74" s="12"/>
      <c r="L74" s="90">
        <v>163</v>
      </c>
      <c r="M74" s="91"/>
    </row>
    <row r="75" spans="2:13" x14ac:dyDescent="0.25">
      <c r="B75" s="143" t="s">
        <v>24</v>
      </c>
      <c r="C75" s="144"/>
      <c r="D75" s="144"/>
      <c r="E75" s="144"/>
      <c r="F75" s="144"/>
      <c r="G75" s="145"/>
      <c r="H75" s="20">
        <v>163</v>
      </c>
      <c r="I75" s="20">
        <v>0</v>
      </c>
      <c r="J75" s="20">
        <v>0</v>
      </c>
      <c r="K75" s="20">
        <v>267</v>
      </c>
      <c r="L75" s="21">
        <v>430</v>
      </c>
      <c r="M75" s="9"/>
    </row>
    <row r="76" spans="2:13" x14ac:dyDescent="0.25">
      <c r="B76" s="155" t="s">
        <v>63</v>
      </c>
      <c r="C76" s="95" t="s">
        <v>158</v>
      </c>
      <c r="D76" s="65" t="s">
        <v>159</v>
      </c>
      <c r="E76" s="65" t="s">
        <v>89</v>
      </c>
      <c r="F76" s="65" t="s">
        <v>90</v>
      </c>
      <c r="G76" s="96">
        <v>2020</v>
      </c>
      <c r="H76" s="89"/>
      <c r="I76" s="89"/>
      <c r="J76" s="67">
        <v>209</v>
      </c>
      <c r="K76" s="67"/>
      <c r="L76" s="90">
        <v>209</v>
      </c>
      <c r="M76" s="91"/>
    </row>
    <row r="77" spans="2:13" x14ac:dyDescent="0.25">
      <c r="B77" s="155"/>
      <c r="C77" s="63" t="s">
        <v>160</v>
      </c>
      <c r="D77" s="96">
        <v>3</v>
      </c>
      <c r="E77" s="65" t="s">
        <v>89</v>
      </c>
      <c r="F77" s="65" t="s">
        <v>137</v>
      </c>
      <c r="G77" s="65">
        <v>2016</v>
      </c>
      <c r="H77" s="89"/>
      <c r="I77" s="89"/>
      <c r="J77" s="67"/>
      <c r="K77" s="67"/>
      <c r="L77" s="90"/>
      <c r="M77" s="91"/>
    </row>
    <row r="78" spans="2:13" x14ac:dyDescent="0.25">
      <c r="B78" s="155"/>
      <c r="C78" s="63" t="s">
        <v>161</v>
      </c>
      <c r="D78" s="96" t="s">
        <v>162</v>
      </c>
      <c r="E78" s="65" t="s">
        <v>89</v>
      </c>
      <c r="F78" s="65" t="s">
        <v>137</v>
      </c>
      <c r="G78" s="65">
        <v>2016</v>
      </c>
      <c r="H78" s="89"/>
      <c r="I78" s="89"/>
      <c r="J78" s="67"/>
      <c r="K78" s="67"/>
      <c r="L78" s="90"/>
      <c r="M78" s="91"/>
    </row>
    <row r="79" spans="2:13" x14ac:dyDescent="0.25">
      <c r="B79" s="155"/>
      <c r="C79" s="63" t="s">
        <v>163</v>
      </c>
      <c r="D79" s="96" t="s">
        <v>29</v>
      </c>
      <c r="E79" s="65" t="s">
        <v>89</v>
      </c>
      <c r="F79" s="65" t="s">
        <v>90</v>
      </c>
      <c r="G79" s="65">
        <v>2017</v>
      </c>
      <c r="H79" s="89"/>
      <c r="I79" s="89"/>
      <c r="J79" s="67"/>
      <c r="K79" s="67"/>
      <c r="L79" s="90"/>
      <c r="M79" s="91"/>
    </row>
    <row r="80" spans="2:13" x14ac:dyDescent="0.25">
      <c r="B80" s="155"/>
      <c r="C80" s="95" t="s">
        <v>164</v>
      </c>
      <c r="D80" s="96" t="s">
        <v>29</v>
      </c>
      <c r="E80" s="65" t="s">
        <v>89</v>
      </c>
      <c r="F80" s="65" t="s">
        <v>90</v>
      </c>
      <c r="G80" s="65">
        <v>2020</v>
      </c>
      <c r="H80" s="89"/>
      <c r="I80" s="89"/>
      <c r="J80" s="67">
        <v>92.6</v>
      </c>
      <c r="K80" s="67"/>
      <c r="L80" s="90">
        <v>92.6</v>
      </c>
      <c r="M80" s="91"/>
    </row>
    <row r="81" spans="2:13" x14ac:dyDescent="0.25">
      <c r="B81" s="155"/>
      <c r="C81" s="63" t="s">
        <v>165</v>
      </c>
      <c r="D81" s="96" t="s">
        <v>29</v>
      </c>
      <c r="E81" s="65" t="s">
        <v>89</v>
      </c>
      <c r="F81" s="65" t="s">
        <v>90</v>
      </c>
      <c r="G81" s="65">
        <v>2016</v>
      </c>
      <c r="H81" s="89"/>
      <c r="I81" s="89"/>
      <c r="J81" s="67"/>
      <c r="K81" s="67"/>
      <c r="L81" s="90"/>
      <c r="M81" s="91"/>
    </row>
    <row r="82" spans="2:13" x14ac:dyDescent="0.25">
      <c r="B82" s="155"/>
      <c r="C82" s="63" t="s">
        <v>166</v>
      </c>
      <c r="D82" s="96" t="s">
        <v>143</v>
      </c>
      <c r="E82" s="65" t="s">
        <v>89</v>
      </c>
      <c r="F82" s="65" t="s">
        <v>90</v>
      </c>
      <c r="G82" s="65">
        <v>2021</v>
      </c>
      <c r="H82" s="89" t="s">
        <v>146</v>
      </c>
      <c r="I82" s="89"/>
      <c r="J82" s="67"/>
      <c r="K82" s="14">
        <v>308</v>
      </c>
      <c r="L82" s="90">
        <v>308</v>
      </c>
      <c r="M82" s="91"/>
    </row>
    <row r="83" spans="2:13" x14ac:dyDescent="0.25">
      <c r="B83" s="155"/>
      <c r="C83" s="11" t="s">
        <v>167</v>
      </c>
      <c r="D83" s="88" t="s">
        <v>168</v>
      </c>
      <c r="E83" s="31" t="s">
        <v>89</v>
      </c>
      <c r="F83" s="12" t="s">
        <v>90</v>
      </c>
      <c r="G83" s="12">
        <v>2021</v>
      </c>
      <c r="H83" s="89" t="s">
        <v>144</v>
      </c>
      <c r="I83" s="89"/>
      <c r="J83" s="67"/>
      <c r="K83" s="14">
        <v>138</v>
      </c>
      <c r="L83" s="90">
        <v>138</v>
      </c>
      <c r="M83" s="91"/>
    </row>
    <row r="84" spans="2:13" x14ac:dyDescent="0.25">
      <c r="B84" s="155"/>
      <c r="C84" s="11" t="s">
        <v>169</v>
      </c>
      <c r="D84" s="88" t="s">
        <v>168</v>
      </c>
      <c r="E84" s="12" t="s">
        <v>78</v>
      </c>
      <c r="F84" s="80" t="s">
        <v>148</v>
      </c>
      <c r="G84" s="12">
        <v>2018</v>
      </c>
      <c r="H84" s="67">
        <v>385</v>
      </c>
      <c r="I84" s="89"/>
      <c r="J84" s="67"/>
      <c r="K84" s="14"/>
      <c r="L84" s="90">
        <v>385</v>
      </c>
      <c r="M84" s="91"/>
    </row>
    <row r="85" spans="2:13" x14ac:dyDescent="0.25">
      <c r="B85" s="154"/>
      <c r="C85" s="11" t="s">
        <v>170</v>
      </c>
      <c r="D85" s="88">
        <v>2</v>
      </c>
      <c r="E85" s="12" t="s">
        <v>85</v>
      </c>
      <c r="F85" s="80" t="s">
        <v>150</v>
      </c>
      <c r="G85" s="12">
        <v>2019</v>
      </c>
      <c r="H85" s="89"/>
      <c r="I85" s="67">
        <v>155</v>
      </c>
      <c r="J85" s="67"/>
      <c r="K85" s="14"/>
      <c r="L85" s="90">
        <v>155</v>
      </c>
      <c r="M85" s="91"/>
    </row>
    <row r="86" spans="2:13" s="23" customFormat="1" x14ac:dyDescent="0.25">
      <c r="B86" s="143" t="s">
        <v>68</v>
      </c>
      <c r="C86" s="144"/>
      <c r="D86" s="144"/>
      <c r="E86" s="144"/>
      <c r="F86" s="144"/>
      <c r="G86" s="145"/>
      <c r="H86" s="20">
        <v>385</v>
      </c>
      <c r="I86" s="20">
        <v>155</v>
      </c>
      <c r="J86" s="20">
        <v>135</v>
      </c>
      <c r="K86" s="20">
        <v>747.6</v>
      </c>
      <c r="L86" s="21">
        <v>1422.6</v>
      </c>
      <c r="M86" s="9"/>
    </row>
    <row r="87" spans="2:13" s="23" customFormat="1" x14ac:dyDescent="0.25">
      <c r="B87" s="93" t="s">
        <v>49</v>
      </c>
      <c r="C87" s="94" t="s">
        <v>171</v>
      </c>
      <c r="D87" s="88"/>
      <c r="E87" s="31" t="s">
        <v>89</v>
      </c>
      <c r="F87" s="12" t="s">
        <v>90</v>
      </c>
      <c r="G87" s="12">
        <v>2021</v>
      </c>
      <c r="H87" s="89" t="s">
        <v>172</v>
      </c>
      <c r="I87" s="89"/>
      <c r="J87" s="67"/>
      <c r="K87" s="14">
        <v>83</v>
      </c>
      <c r="L87" s="90">
        <v>83</v>
      </c>
      <c r="M87" s="91"/>
    </row>
    <row r="88" spans="2:13" s="97" customFormat="1" x14ac:dyDescent="0.25">
      <c r="B88" s="143" t="s">
        <v>173</v>
      </c>
      <c r="C88" s="144"/>
      <c r="D88" s="144"/>
      <c r="E88" s="144"/>
      <c r="F88" s="144"/>
      <c r="G88" s="145"/>
      <c r="H88" s="20">
        <v>1769</v>
      </c>
      <c r="I88" s="20">
        <v>155</v>
      </c>
      <c r="J88" s="20">
        <v>135</v>
      </c>
      <c r="K88" s="20">
        <v>2343.6</v>
      </c>
      <c r="L88" s="21">
        <v>4402.6000000000004</v>
      </c>
      <c r="M88" s="21"/>
    </row>
    <row r="89" spans="2:13" s="97" customFormat="1" x14ac:dyDescent="0.25">
      <c r="B89" s="2"/>
      <c r="C89" s="2"/>
      <c r="D89" s="3"/>
      <c r="E89" s="3"/>
      <c r="F89" s="3"/>
      <c r="G89" s="3"/>
      <c r="H89" s="2"/>
      <c r="I89" s="2"/>
      <c r="J89" s="2"/>
      <c r="K89" s="2"/>
      <c r="L89" s="46"/>
      <c r="M89" s="98"/>
    </row>
    <row r="90" spans="2:13" s="97" customFormat="1" x14ac:dyDescent="0.25">
      <c r="B90" s="2" t="s">
        <v>174</v>
      </c>
      <c r="C90" s="2"/>
      <c r="D90" s="3"/>
      <c r="E90" s="3"/>
      <c r="F90" s="3"/>
      <c r="G90" s="3"/>
      <c r="H90" s="2"/>
      <c r="I90" s="2"/>
      <c r="J90" s="2"/>
      <c r="K90" s="2"/>
      <c r="L90" s="46"/>
      <c r="M90" s="98"/>
    </row>
    <row r="91" spans="2:13" s="97" customFormat="1" x14ac:dyDescent="0.25">
      <c r="B91" s="2"/>
      <c r="C91" s="2"/>
      <c r="D91" s="3"/>
      <c r="E91" s="3"/>
      <c r="F91" s="3"/>
      <c r="G91" s="3"/>
      <c r="H91" s="2"/>
      <c r="I91" s="2"/>
      <c r="J91" s="2"/>
      <c r="K91" s="2"/>
      <c r="L91" s="46"/>
    </row>
  </sheetData>
  <sheetProtection algorithmName="SHA-512" hashValue="F9yrzu3xbs3hk5GxI0+0/TlzRb82ZMqiY8jnN0g4IFEdxqLia+uGLcl2XjQUzZjLl6UAJ9dw/mu5dAUSXjvMfw==" saltValue="+GeKQzI7LnCXsDby2xc8ng==" spinCount="100000" sheet="1" objects="1" scenarios="1"/>
  <mergeCells count="19">
    <mergeCell ref="B64:B69"/>
    <mergeCell ref="B5:M5"/>
    <mergeCell ref="B7:B15"/>
    <mergeCell ref="B16:G16"/>
    <mergeCell ref="B17:B18"/>
    <mergeCell ref="B19:G19"/>
    <mergeCell ref="B20:B53"/>
    <mergeCell ref="B54:G54"/>
    <mergeCell ref="B55:B58"/>
    <mergeCell ref="B59:G59"/>
    <mergeCell ref="B60:G60"/>
    <mergeCell ref="B62:L62"/>
    <mergeCell ref="B88:G88"/>
    <mergeCell ref="B70:G70"/>
    <mergeCell ref="B72:G72"/>
    <mergeCell ref="B73:B74"/>
    <mergeCell ref="B75:G75"/>
    <mergeCell ref="B76:B85"/>
    <mergeCell ref="B86:G86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0"/>
  <sheetViews>
    <sheetView zoomScale="90" zoomScaleNormal="90" workbookViewId="0">
      <pane xSplit="3" ySplit="6" topLeftCell="D7" activePane="bottomRight" state="frozen"/>
      <selection activeCell="B4" sqref="B4"/>
      <selection pane="topRight" activeCell="B4" sqref="B4"/>
      <selection pane="bottomLeft" activeCell="B4" sqref="B4"/>
      <selection pane="bottomRight" activeCell="B7" sqref="B7:B14"/>
    </sheetView>
  </sheetViews>
  <sheetFormatPr defaultColWidth="9.28515625" defaultRowHeight="15" x14ac:dyDescent="0.25"/>
  <cols>
    <col min="1" max="1" width="2.5703125" style="2" customWidth="1"/>
    <col min="2" max="2" width="19.42578125" style="124" bestFit="1" customWidth="1"/>
    <col min="3" max="3" width="44.5703125" style="124" bestFit="1" customWidth="1"/>
    <col min="4" max="4" width="28.5703125" style="124" customWidth="1"/>
    <col min="5" max="5" width="5.5703125" style="124" customWidth="1"/>
    <col min="6" max="6" width="15" style="124" bestFit="1" customWidth="1"/>
    <col min="7" max="7" width="15.7109375" style="124" customWidth="1"/>
    <col min="8" max="11" width="10.5703125" style="124" customWidth="1"/>
    <col min="12" max="12" width="29.28515625" style="124" customWidth="1"/>
    <col min="13" max="16384" width="9.28515625" style="124"/>
  </cols>
  <sheetData>
    <row r="1" spans="2:12" s="2" customFormat="1" ht="21" x14ac:dyDescent="0.35">
      <c r="B1" s="1" t="s">
        <v>175</v>
      </c>
      <c r="D1" s="3"/>
      <c r="E1" s="3"/>
      <c r="G1" s="3"/>
      <c r="L1" s="46"/>
    </row>
    <row r="2" spans="2:12" s="2" customFormat="1" x14ac:dyDescent="0.25">
      <c r="D2" s="3"/>
      <c r="E2" s="3"/>
      <c r="G2" s="3"/>
      <c r="L2" s="46"/>
    </row>
    <row r="3" spans="2:12" s="2" customFormat="1" ht="15.75" x14ac:dyDescent="0.25">
      <c r="B3" s="4" t="s">
        <v>1</v>
      </c>
      <c r="C3" s="5"/>
      <c r="D3" s="3"/>
      <c r="E3" s="3"/>
      <c r="G3" s="3"/>
      <c r="L3" s="46"/>
    </row>
    <row r="4" spans="2:12" s="2" customFormat="1" x14ac:dyDescent="0.25">
      <c r="D4" s="3"/>
      <c r="E4" s="3"/>
      <c r="G4" s="3"/>
      <c r="L4" s="46"/>
    </row>
    <row r="5" spans="2:12" s="2" customFormat="1" ht="18.75" x14ac:dyDescent="0.3">
      <c r="B5" s="146" t="s">
        <v>75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 s="2" customFormat="1" x14ac:dyDescent="0.25"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2:12" s="2" customFormat="1" x14ac:dyDescent="0.25">
      <c r="B7" s="147" t="s">
        <v>56</v>
      </c>
      <c r="C7" s="17" t="s">
        <v>176</v>
      </c>
      <c r="D7" s="43" t="s">
        <v>177</v>
      </c>
      <c r="E7" s="18" t="s">
        <v>178</v>
      </c>
      <c r="F7" s="18" t="s">
        <v>179</v>
      </c>
      <c r="G7" s="99">
        <v>43251</v>
      </c>
      <c r="H7" s="33">
        <v>674</v>
      </c>
      <c r="I7" s="33"/>
      <c r="J7" s="33"/>
      <c r="K7" s="33"/>
      <c r="L7" s="100">
        <v>674</v>
      </c>
    </row>
    <row r="8" spans="2:12" s="2" customFormat="1" x14ac:dyDescent="0.25">
      <c r="B8" s="149"/>
      <c r="C8" s="81" t="s">
        <v>180</v>
      </c>
      <c r="D8" s="18">
        <v>1</v>
      </c>
      <c r="E8" s="18" t="s">
        <v>178</v>
      </c>
      <c r="F8" s="18" t="s">
        <v>181</v>
      </c>
      <c r="G8" s="99">
        <v>43617</v>
      </c>
      <c r="H8" s="33"/>
      <c r="I8" s="33">
        <v>336</v>
      </c>
      <c r="J8" s="33"/>
      <c r="K8" s="33"/>
      <c r="L8" s="100">
        <v>336</v>
      </c>
    </row>
    <row r="9" spans="2:12" s="2" customFormat="1" x14ac:dyDescent="0.25">
      <c r="B9" s="149"/>
      <c r="C9" s="81" t="s">
        <v>182</v>
      </c>
      <c r="D9" s="18">
        <v>2</v>
      </c>
      <c r="E9" s="18" t="s">
        <v>178</v>
      </c>
      <c r="F9" s="18" t="s">
        <v>183</v>
      </c>
      <c r="G9" s="99">
        <v>43464</v>
      </c>
      <c r="H9" s="33">
        <v>195</v>
      </c>
      <c r="I9" s="33"/>
      <c r="J9" s="33"/>
      <c r="K9" s="33"/>
      <c r="L9" s="100">
        <v>195</v>
      </c>
    </row>
    <row r="10" spans="2:12" s="2" customFormat="1" x14ac:dyDescent="0.25">
      <c r="B10" s="149"/>
      <c r="C10" s="48" t="s">
        <v>184</v>
      </c>
      <c r="D10" s="31"/>
      <c r="E10" s="31" t="s">
        <v>178</v>
      </c>
      <c r="F10" s="31" t="s">
        <v>185</v>
      </c>
      <c r="G10" s="101">
        <v>2021</v>
      </c>
      <c r="H10" s="24"/>
      <c r="I10" s="24"/>
      <c r="J10" s="24"/>
      <c r="K10" s="24">
        <v>58</v>
      </c>
      <c r="L10" s="102">
        <v>58</v>
      </c>
    </row>
    <row r="11" spans="2:12" s="2" customFormat="1" x14ac:dyDescent="0.25">
      <c r="B11" s="149"/>
      <c r="C11" s="48" t="s">
        <v>186</v>
      </c>
      <c r="D11" s="31"/>
      <c r="E11" s="31" t="s">
        <v>178</v>
      </c>
      <c r="F11" s="31" t="s">
        <v>187</v>
      </c>
      <c r="G11" s="101" t="s">
        <v>188</v>
      </c>
      <c r="H11" s="24">
        <v>150</v>
      </c>
      <c r="I11" s="24"/>
      <c r="J11" s="24">
        <v>202</v>
      </c>
      <c r="K11" s="24">
        <v>202</v>
      </c>
      <c r="L11" s="102">
        <v>554</v>
      </c>
    </row>
    <row r="12" spans="2:12" s="2" customFormat="1" x14ac:dyDescent="0.25">
      <c r="B12" s="149"/>
      <c r="C12" s="81" t="s">
        <v>189</v>
      </c>
      <c r="D12" s="18" t="s">
        <v>190</v>
      </c>
      <c r="E12" s="18" t="s">
        <v>191</v>
      </c>
      <c r="F12" s="18" t="s">
        <v>191</v>
      </c>
      <c r="G12" s="99">
        <v>43224</v>
      </c>
      <c r="H12" s="33">
        <v>90</v>
      </c>
      <c r="I12" s="33"/>
      <c r="J12" s="33"/>
      <c r="K12" s="33"/>
      <c r="L12" s="100">
        <v>90</v>
      </c>
    </row>
    <row r="13" spans="2:12" s="2" customFormat="1" x14ac:dyDescent="0.25">
      <c r="B13" s="149"/>
      <c r="C13" s="81" t="s">
        <v>192</v>
      </c>
      <c r="D13" s="18">
        <v>1</v>
      </c>
      <c r="E13" s="18" t="s">
        <v>191</v>
      </c>
      <c r="F13" s="18" t="s">
        <v>191</v>
      </c>
      <c r="G13" s="99">
        <v>43255</v>
      </c>
      <c r="H13" s="33">
        <v>805</v>
      </c>
      <c r="I13" s="33"/>
      <c r="J13" s="33"/>
      <c r="K13" s="33"/>
      <c r="L13" s="100">
        <v>805</v>
      </c>
    </row>
    <row r="14" spans="2:12" s="2" customFormat="1" ht="14.25" customHeight="1" x14ac:dyDescent="0.25">
      <c r="B14" s="149"/>
      <c r="C14" s="81" t="s">
        <v>193</v>
      </c>
      <c r="D14" s="18">
        <v>6</v>
      </c>
      <c r="E14" s="18" t="s">
        <v>191</v>
      </c>
      <c r="F14" s="18" t="s">
        <v>191</v>
      </c>
      <c r="G14" s="99">
        <v>43635</v>
      </c>
      <c r="H14" s="33"/>
      <c r="I14" s="33">
        <v>485</v>
      </c>
      <c r="J14" s="33"/>
      <c r="K14" s="33"/>
      <c r="L14" s="100">
        <v>485</v>
      </c>
    </row>
    <row r="15" spans="2:12" s="2" customFormat="1" x14ac:dyDescent="0.25">
      <c r="B15" s="150" t="s">
        <v>194</v>
      </c>
      <c r="C15" s="150"/>
      <c r="D15" s="150"/>
      <c r="E15" s="150"/>
      <c r="F15" s="150"/>
      <c r="G15" s="150"/>
      <c r="H15" s="20">
        <f>SUM(H7:H14)</f>
        <v>1914</v>
      </c>
      <c r="I15" s="20">
        <f>SUM(I7:I14)</f>
        <v>821</v>
      </c>
      <c r="J15" s="20">
        <f>SUM(J7:J14)</f>
        <v>202</v>
      </c>
      <c r="K15" s="20">
        <f>SUM(K7:K14)</f>
        <v>260</v>
      </c>
      <c r="L15" s="9">
        <f>SUM(L7:L14)</f>
        <v>3197</v>
      </c>
    </row>
    <row r="16" spans="2:12" s="2" customFormat="1" x14ac:dyDescent="0.25">
      <c r="B16" s="147" t="s">
        <v>46</v>
      </c>
      <c r="C16" s="81" t="s">
        <v>195</v>
      </c>
      <c r="D16" s="18">
        <v>1</v>
      </c>
      <c r="E16" s="18" t="s">
        <v>178</v>
      </c>
      <c r="F16" s="31" t="s">
        <v>185</v>
      </c>
      <c r="G16" s="99">
        <v>43252</v>
      </c>
      <c r="H16" s="33">
        <f>1.8</f>
        <v>1.8</v>
      </c>
      <c r="I16" s="33"/>
      <c r="J16" s="33"/>
      <c r="K16" s="33"/>
      <c r="L16" s="100">
        <v>1.8</v>
      </c>
    </row>
    <row r="17" spans="2:12" s="2" customFormat="1" x14ac:dyDescent="0.25">
      <c r="B17" s="149"/>
      <c r="C17" s="103" t="s">
        <v>196</v>
      </c>
      <c r="D17" s="104">
        <v>2</v>
      </c>
      <c r="E17" s="18" t="s">
        <v>178</v>
      </c>
      <c r="F17" s="31" t="s">
        <v>185</v>
      </c>
      <c r="G17" s="99">
        <v>43252</v>
      </c>
      <c r="H17" s="33">
        <v>1.0529999999999999</v>
      </c>
      <c r="I17" s="33"/>
      <c r="J17" s="33"/>
      <c r="K17" s="33"/>
      <c r="L17" s="100">
        <v>1.0529999999999999</v>
      </c>
    </row>
    <row r="18" spans="2:12" s="2" customFormat="1" x14ac:dyDescent="0.25">
      <c r="B18" s="149"/>
      <c r="C18" s="105" t="s">
        <v>197</v>
      </c>
      <c r="D18" s="18">
        <v>1</v>
      </c>
      <c r="E18" s="106" t="s">
        <v>178</v>
      </c>
      <c r="F18" s="31" t="s">
        <v>185</v>
      </c>
      <c r="G18" s="107">
        <v>43252</v>
      </c>
      <c r="H18" s="33">
        <v>1.9</v>
      </c>
      <c r="I18" s="33"/>
      <c r="J18" s="33"/>
      <c r="K18" s="33"/>
      <c r="L18" s="100">
        <v>1.9</v>
      </c>
    </row>
    <row r="19" spans="2:12" s="2" customFormat="1" x14ac:dyDescent="0.25">
      <c r="B19" s="149"/>
      <c r="C19" s="81" t="s">
        <v>198</v>
      </c>
      <c r="D19" s="18">
        <v>1</v>
      </c>
      <c r="E19" s="18" t="s">
        <v>178</v>
      </c>
      <c r="F19" s="31" t="s">
        <v>185</v>
      </c>
      <c r="G19" s="99">
        <v>43252</v>
      </c>
      <c r="H19" s="33">
        <v>2.0699999999999998</v>
      </c>
      <c r="I19" s="33"/>
      <c r="J19" s="33"/>
      <c r="K19" s="33"/>
      <c r="L19" s="100">
        <v>2.0699999999999998</v>
      </c>
    </row>
    <row r="20" spans="2:12" s="2" customFormat="1" x14ac:dyDescent="0.25">
      <c r="B20" s="149"/>
      <c r="C20" s="81" t="s">
        <v>199</v>
      </c>
      <c r="D20" s="18">
        <v>1</v>
      </c>
      <c r="E20" s="18" t="s">
        <v>178</v>
      </c>
      <c r="F20" s="31" t="s">
        <v>185</v>
      </c>
      <c r="G20" s="99">
        <v>43252</v>
      </c>
      <c r="H20" s="33">
        <v>0.53</v>
      </c>
      <c r="I20" s="33"/>
      <c r="J20" s="33"/>
      <c r="K20" s="33"/>
      <c r="L20" s="100">
        <v>0.53</v>
      </c>
    </row>
    <row r="21" spans="2:12" s="2" customFormat="1" x14ac:dyDescent="0.25">
      <c r="B21" s="149"/>
      <c r="C21" s="103" t="s">
        <v>200</v>
      </c>
      <c r="D21" s="18">
        <v>2</v>
      </c>
      <c r="E21" s="18" t="s">
        <v>178</v>
      </c>
      <c r="F21" s="18" t="s">
        <v>187</v>
      </c>
      <c r="G21" s="99">
        <v>43252</v>
      </c>
      <c r="H21" s="33">
        <v>3.3499999999999996</v>
      </c>
      <c r="I21" s="33"/>
      <c r="J21" s="33"/>
      <c r="K21" s="33"/>
      <c r="L21" s="100">
        <v>3.3499999999999996</v>
      </c>
    </row>
    <row r="22" spans="2:12" s="2" customFormat="1" x14ac:dyDescent="0.25">
      <c r="B22" s="149"/>
      <c r="C22" s="103" t="s">
        <v>201</v>
      </c>
      <c r="D22" s="18">
        <v>1</v>
      </c>
      <c r="E22" s="18" t="s">
        <v>178</v>
      </c>
      <c r="F22" s="18" t="s">
        <v>187</v>
      </c>
      <c r="G22" s="99">
        <v>43252</v>
      </c>
      <c r="H22" s="33">
        <v>1.9</v>
      </c>
      <c r="I22" s="33"/>
      <c r="J22" s="33"/>
      <c r="K22" s="33"/>
      <c r="L22" s="100">
        <v>1.9</v>
      </c>
    </row>
    <row r="23" spans="2:12" s="2" customFormat="1" x14ac:dyDescent="0.25">
      <c r="B23" s="149"/>
      <c r="C23" s="103" t="s">
        <v>202</v>
      </c>
      <c r="D23" s="18">
        <v>1</v>
      </c>
      <c r="E23" s="18" t="s">
        <v>178</v>
      </c>
      <c r="F23" s="18" t="s">
        <v>187</v>
      </c>
      <c r="G23" s="99">
        <v>43252</v>
      </c>
      <c r="H23" s="33">
        <v>1.23</v>
      </c>
      <c r="I23" s="33"/>
      <c r="J23" s="33"/>
      <c r="K23" s="33"/>
      <c r="L23" s="100">
        <v>1.23</v>
      </c>
    </row>
    <row r="24" spans="2:12" s="2" customFormat="1" x14ac:dyDescent="0.25">
      <c r="B24" s="149"/>
      <c r="C24" s="81" t="s">
        <v>203</v>
      </c>
      <c r="D24" s="18">
        <v>1</v>
      </c>
      <c r="E24" s="18" t="s">
        <v>178</v>
      </c>
      <c r="F24" s="18" t="s">
        <v>187</v>
      </c>
      <c r="G24" s="99">
        <v>43252</v>
      </c>
      <c r="H24" s="33">
        <v>1.35</v>
      </c>
      <c r="I24" s="33"/>
      <c r="J24" s="33"/>
      <c r="K24" s="33"/>
      <c r="L24" s="100">
        <v>1.35</v>
      </c>
    </row>
    <row r="25" spans="2:12" s="2" customFormat="1" x14ac:dyDescent="0.25">
      <c r="B25" s="149"/>
      <c r="C25" s="105" t="s">
        <v>204</v>
      </c>
      <c r="D25" s="108">
        <v>1</v>
      </c>
      <c r="E25" s="108" t="s">
        <v>178</v>
      </c>
      <c r="F25" s="108" t="s">
        <v>205</v>
      </c>
      <c r="G25" s="107">
        <v>43252</v>
      </c>
      <c r="H25" s="33">
        <v>0.42</v>
      </c>
      <c r="I25" s="33"/>
      <c r="J25" s="33"/>
      <c r="K25" s="33"/>
      <c r="L25" s="100">
        <v>0.42</v>
      </c>
    </row>
    <row r="26" spans="2:12" s="2" customFormat="1" x14ac:dyDescent="0.25">
      <c r="B26" s="149"/>
      <c r="C26" s="81" t="s">
        <v>206</v>
      </c>
      <c r="D26" s="108">
        <v>1</v>
      </c>
      <c r="E26" s="18" t="s">
        <v>178</v>
      </c>
      <c r="F26" s="18" t="s">
        <v>205</v>
      </c>
      <c r="G26" s="99">
        <v>43252</v>
      </c>
      <c r="H26" s="33">
        <v>0.33</v>
      </c>
      <c r="I26" s="33"/>
      <c r="J26" s="33"/>
      <c r="K26" s="33"/>
      <c r="L26" s="100">
        <v>0.33</v>
      </c>
    </row>
    <row r="27" spans="2:12" s="2" customFormat="1" x14ac:dyDescent="0.25">
      <c r="B27" s="155"/>
      <c r="C27" s="109" t="s">
        <v>207</v>
      </c>
      <c r="D27" s="110">
        <v>1</v>
      </c>
      <c r="E27" s="31" t="s">
        <v>178</v>
      </c>
      <c r="F27" s="31" t="s">
        <v>187</v>
      </c>
      <c r="G27" s="111">
        <v>43983</v>
      </c>
      <c r="H27" s="24"/>
      <c r="I27" s="24"/>
      <c r="J27" s="112">
        <f>0.23/0.3819</f>
        <v>0.6022518984027232</v>
      </c>
      <c r="K27" s="112"/>
      <c r="L27" s="102">
        <f>SUM(H27:K27)</f>
        <v>0.6022518984027232</v>
      </c>
    </row>
    <row r="28" spans="2:12" s="2" customFormat="1" x14ac:dyDescent="0.25">
      <c r="B28" s="155"/>
      <c r="C28" s="109" t="s">
        <v>208</v>
      </c>
      <c r="D28" s="110">
        <v>1</v>
      </c>
      <c r="E28" s="31" t="s">
        <v>178</v>
      </c>
      <c r="F28" s="31" t="s">
        <v>187</v>
      </c>
      <c r="G28" s="111">
        <v>43983</v>
      </c>
      <c r="H28" s="24"/>
      <c r="I28" s="24"/>
      <c r="J28" s="112">
        <f>0.414/0.3819</f>
        <v>1.0840534171249017</v>
      </c>
      <c r="K28" s="112"/>
      <c r="L28" s="102">
        <f t="shared" ref="L28:L56" si="0">SUM(H28:K28)</f>
        <v>1.0840534171249017</v>
      </c>
    </row>
    <row r="29" spans="2:12" s="2" customFormat="1" x14ac:dyDescent="0.25">
      <c r="B29" s="155"/>
      <c r="C29" s="109" t="s">
        <v>209</v>
      </c>
      <c r="D29" s="110">
        <v>1</v>
      </c>
      <c r="E29" s="31" t="s">
        <v>178</v>
      </c>
      <c r="F29" s="31" t="s">
        <v>187</v>
      </c>
      <c r="G29" s="111">
        <v>43983</v>
      </c>
      <c r="H29" s="24"/>
      <c r="I29" s="24"/>
      <c r="J29" s="112">
        <f>0.417/0.3819</f>
        <v>1.091908876669285</v>
      </c>
      <c r="K29" s="112"/>
      <c r="L29" s="102">
        <f t="shared" si="0"/>
        <v>1.091908876669285</v>
      </c>
    </row>
    <row r="30" spans="2:12" s="2" customFormat="1" x14ac:dyDescent="0.25">
      <c r="B30" s="155"/>
      <c r="C30" s="109" t="s">
        <v>210</v>
      </c>
      <c r="D30" s="110">
        <v>1</v>
      </c>
      <c r="E30" s="31" t="s">
        <v>178</v>
      </c>
      <c r="F30" s="31" t="s">
        <v>187</v>
      </c>
      <c r="G30" s="111">
        <v>43983</v>
      </c>
      <c r="H30" s="24"/>
      <c r="I30" s="24"/>
      <c r="J30" s="112">
        <f>0.39/0.3819</f>
        <v>1.0212097407698351</v>
      </c>
      <c r="K30" s="112"/>
      <c r="L30" s="102">
        <f t="shared" si="0"/>
        <v>1.0212097407698351</v>
      </c>
    </row>
    <row r="31" spans="2:12" s="2" customFormat="1" x14ac:dyDescent="0.25">
      <c r="B31" s="155"/>
      <c r="C31" s="109" t="s">
        <v>211</v>
      </c>
      <c r="D31" s="110">
        <v>1</v>
      </c>
      <c r="E31" s="31" t="s">
        <v>178</v>
      </c>
      <c r="F31" s="31" t="s">
        <v>185</v>
      </c>
      <c r="G31" s="111">
        <v>43983</v>
      </c>
      <c r="H31" s="24"/>
      <c r="I31" s="24"/>
      <c r="J31" s="112">
        <f>0.228/0.3819</f>
        <v>0.59701492537313428</v>
      </c>
      <c r="K31" s="112"/>
      <c r="L31" s="102">
        <f t="shared" si="0"/>
        <v>0.59701492537313428</v>
      </c>
    </row>
    <row r="32" spans="2:12" s="2" customFormat="1" x14ac:dyDescent="0.25">
      <c r="B32" s="155"/>
      <c r="C32" s="109" t="s">
        <v>212</v>
      </c>
      <c r="D32" s="110">
        <v>1</v>
      </c>
      <c r="E32" s="31" t="s">
        <v>178</v>
      </c>
      <c r="F32" s="31" t="s">
        <v>187</v>
      </c>
      <c r="G32" s="111">
        <v>43983</v>
      </c>
      <c r="H32" s="24"/>
      <c r="I32" s="24"/>
      <c r="J32" s="112">
        <f>0.52/0.3819</f>
        <v>1.3616129876931133</v>
      </c>
      <c r="K32" s="112"/>
      <c r="L32" s="102">
        <f t="shared" si="0"/>
        <v>1.3616129876931133</v>
      </c>
    </row>
    <row r="33" spans="2:12" s="2" customFormat="1" x14ac:dyDescent="0.25">
      <c r="B33" s="155"/>
      <c r="C33" s="109" t="s">
        <v>213</v>
      </c>
      <c r="D33" s="110">
        <v>1</v>
      </c>
      <c r="E33" s="31" t="s">
        <v>178</v>
      </c>
      <c r="F33" s="31" t="s">
        <v>187</v>
      </c>
      <c r="G33" s="111">
        <v>43983</v>
      </c>
      <c r="H33" s="24"/>
      <c r="I33" s="24"/>
      <c r="J33" s="112">
        <f>0.52/0.3819</f>
        <v>1.3616129876931133</v>
      </c>
      <c r="K33" s="112"/>
      <c r="L33" s="102">
        <f t="shared" si="0"/>
        <v>1.3616129876931133</v>
      </c>
    </row>
    <row r="34" spans="2:12" s="2" customFormat="1" x14ac:dyDescent="0.25">
      <c r="B34" s="155"/>
      <c r="C34" s="109" t="s">
        <v>214</v>
      </c>
      <c r="D34" s="110">
        <v>1</v>
      </c>
      <c r="E34" s="31" t="s">
        <v>178</v>
      </c>
      <c r="F34" s="31" t="s">
        <v>187</v>
      </c>
      <c r="G34" s="111">
        <v>43983</v>
      </c>
      <c r="H34" s="24"/>
      <c r="I34" s="24"/>
      <c r="J34" s="112">
        <f>0.418/0.3819</f>
        <v>1.0945273631840795</v>
      </c>
      <c r="K34" s="112"/>
      <c r="L34" s="102">
        <f t="shared" si="0"/>
        <v>1.0945273631840795</v>
      </c>
    </row>
    <row r="35" spans="2:12" s="2" customFormat="1" x14ac:dyDescent="0.25">
      <c r="B35" s="155"/>
      <c r="C35" s="109" t="s">
        <v>215</v>
      </c>
      <c r="D35" s="110">
        <v>1</v>
      </c>
      <c r="E35" s="31" t="s">
        <v>178</v>
      </c>
      <c r="F35" s="31" t="s">
        <v>185</v>
      </c>
      <c r="G35" s="111">
        <v>43983</v>
      </c>
      <c r="H35" s="24"/>
      <c r="I35" s="24"/>
      <c r="J35" s="112">
        <f>0.228/0.3819</f>
        <v>0.59701492537313428</v>
      </c>
      <c r="K35" s="112"/>
      <c r="L35" s="102">
        <f t="shared" si="0"/>
        <v>0.59701492537313428</v>
      </c>
    </row>
    <row r="36" spans="2:12" s="2" customFormat="1" x14ac:dyDescent="0.25">
      <c r="B36" s="155"/>
      <c r="C36" s="109" t="s">
        <v>216</v>
      </c>
      <c r="D36" s="110">
        <v>1</v>
      </c>
      <c r="E36" s="31" t="s">
        <v>178</v>
      </c>
      <c r="F36" s="31" t="s">
        <v>217</v>
      </c>
      <c r="G36" s="111">
        <v>43983</v>
      </c>
      <c r="H36" s="24"/>
      <c r="I36" s="24"/>
      <c r="J36" s="112">
        <f>0.359/0.3819</f>
        <v>0.94003665881120702</v>
      </c>
      <c r="K36" s="112"/>
      <c r="L36" s="102">
        <f t="shared" si="0"/>
        <v>0.94003665881120702</v>
      </c>
    </row>
    <row r="37" spans="2:12" s="2" customFormat="1" x14ac:dyDescent="0.25">
      <c r="B37" s="155"/>
      <c r="C37" s="109" t="s">
        <v>218</v>
      </c>
      <c r="D37" s="110">
        <v>1</v>
      </c>
      <c r="E37" s="31" t="s">
        <v>178</v>
      </c>
      <c r="F37" s="31" t="s">
        <v>187</v>
      </c>
      <c r="G37" s="111">
        <v>43983</v>
      </c>
      <c r="H37" s="24"/>
      <c r="I37" s="24"/>
      <c r="J37" s="112">
        <f>0.244/0.3819</f>
        <v>0.63891070960984542</v>
      </c>
      <c r="K37" s="112"/>
      <c r="L37" s="102">
        <f t="shared" si="0"/>
        <v>0.63891070960984542</v>
      </c>
    </row>
    <row r="38" spans="2:12" s="2" customFormat="1" x14ac:dyDescent="0.25">
      <c r="B38" s="155"/>
      <c r="C38" s="109" t="s">
        <v>219</v>
      </c>
      <c r="D38" s="110">
        <v>1</v>
      </c>
      <c r="E38" s="31" t="s">
        <v>178</v>
      </c>
      <c r="F38" s="31" t="s">
        <v>187</v>
      </c>
      <c r="G38" s="111">
        <v>43983</v>
      </c>
      <c r="H38" s="24"/>
      <c r="I38" s="24"/>
      <c r="J38" s="112">
        <f>0.633/0.3819</f>
        <v>1.657501963864886</v>
      </c>
      <c r="K38" s="112"/>
      <c r="L38" s="102">
        <f t="shared" si="0"/>
        <v>1.657501963864886</v>
      </c>
    </row>
    <row r="39" spans="2:12" s="2" customFormat="1" x14ac:dyDescent="0.25">
      <c r="B39" s="149"/>
      <c r="C39" s="113" t="s">
        <v>220</v>
      </c>
      <c r="D39" s="114">
        <v>1</v>
      </c>
      <c r="E39" s="31" t="s">
        <v>178</v>
      </c>
      <c r="F39" s="31" t="s">
        <v>217</v>
      </c>
      <c r="G39" s="111">
        <v>44348</v>
      </c>
      <c r="H39" s="24"/>
      <c r="I39" s="24"/>
      <c r="J39" s="24"/>
      <c r="K39" s="112">
        <f>0.663/0.3819</f>
        <v>1.7360565593087196</v>
      </c>
      <c r="L39" s="102">
        <f t="shared" si="0"/>
        <v>1.7360565593087196</v>
      </c>
    </row>
    <row r="40" spans="2:12" s="2" customFormat="1" x14ac:dyDescent="0.25">
      <c r="B40" s="149"/>
      <c r="C40" s="113" t="s">
        <v>221</v>
      </c>
      <c r="D40" s="114">
        <v>1</v>
      </c>
      <c r="E40" s="31" t="s">
        <v>178</v>
      </c>
      <c r="F40" s="31" t="s">
        <v>217</v>
      </c>
      <c r="G40" s="111">
        <v>44348</v>
      </c>
      <c r="H40" s="24"/>
      <c r="I40" s="24"/>
      <c r="J40" s="24"/>
      <c r="K40" s="112">
        <f>0.589/0.3819</f>
        <v>1.5422885572139302</v>
      </c>
      <c r="L40" s="102">
        <f t="shared" si="0"/>
        <v>1.5422885572139302</v>
      </c>
    </row>
    <row r="41" spans="2:12" s="2" customFormat="1" x14ac:dyDescent="0.25">
      <c r="B41" s="149"/>
      <c r="C41" s="113" t="s">
        <v>222</v>
      </c>
      <c r="D41" s="114">
        <v>1</v>
      </c>
      <c r="E41" s="31" t="s">
        <v>178</v>
      </c>
      <c r="F41" s="31" t="s">
        <v>187</v>
      </c>
      <c r="G41" s="111">
        <v>44348</v>
      </c>
      <c r="H41" s="24"/>
      <c r="I41" s="24"/>
      <c r="J41" s="24"/>
      <c r="K41" s="112">
        <f>0.378/0.3819</f>
        <v>0.98978790259230165</v>
      </c>
      <c r="L41" s="102">
        <f t="shared" si="0"/>
        <v>0.98978790259230165</v>
      </c>
    </row>
    <row r="42" spans="2:12" s="2" customFormat="1" x14ac:dyDescent="0.25">
      <c r="B42" s="149"/>
      <c r="C42" s="113" t="s">
        <v>223</v>
      </c>
      <c r="D42" s="114">
        <v>1</v>
      </c>
      <c r="E42" s="31" t="s">
        <v>178</v>
      </c>
      <c r="F42" s="31" t="s">
        <v>185</v>
      </c>
      <c r="G42" s="111">
        <v>44348</v>
      </c>
      <c r="H42" s="24"/>
      <c r="I42" s="24"/>
      <c r="J42" s="24"/>
      <c r="K42" s="112">
        <f>0.851/0.3819</f>
        <v>2.2283320240900757</v>
      </c>
      <c r="L42" s="102">
        <f t="shared" si="0"/>
        <v>2.2283320240900757</v>
      </c>
    </row>
    <row r="43" spans="2:12" s="2" customFormat="1" x14ac:dyDescent="0.25">
      <c r="B43" s="149"/>
      <c r="C43" s="113" t="s">
        <v>224</v>
      </c>
      <c r="D43" s="114">
        <v>1</v>
      </c>
      <c r="E43" s="31" t="s">
        <v>178</v>
      </c>
      <c r="F43" s="31" t="s">
        <v>185</v>
      </c>
      <c r="G43" s="111">
        <v>44348</v>
      </c>
      <c r="H43" s="24"/>
      <c r="I43" s="24"/>
      <c r="J43" s="24"/>
      <c r="K43" s="112">
        <f>1.028/0.3819</f>
        <v>2.6918041372086932</v>
      </c>
      <c r="L43" s="102">
        <f t="shared" si="0"/>
        <v>2.6918041372086932</v>
      </c>
    </row>
    <row r="44" spans="2:12" s="2" customFormat="1" x14ac:dyDescent="0.25">
      <c r="B44" s="149"/>
      <c r="C44" s="113" t="s">
        <v>225</v>
      </c>
      <c r="D44" s="114">
        <v>1</v>
      </c>
      <c r="E44" s="31" t="s">
        <v>178</v>
      </c>
      <c r="F44" s="31" t="s">
        <v>187</v>
      </c>
      <c r="G44" s="111">
        <v>44348</v>
      </c>
      <c r="H44" s="24"/>
      <c r="I44" s="24"/>
      <c r="J44" s="24"/>
      <c r="K44" s="112">
        <f>1.5/0.3819</f>
        <v>3.9277297721916731</v>
      </c>
      <c r="L44" s="102">
        <f t="shared" si="0"/>
        <v>3.9277297721916731</v>
      </c>
    </row>
    <row r="45" spans="2:12" s="2" customFormat="1" x14ac:dyDescent="0.25">
      <c r="B45" s="149"/>
      <c r="C45" s="113" t="s">
        <v>226</v>
      </c>
      <c r="D45" s="114">
        <v>1</v>
      </c>
      <c r="E45" s="31" t="s">
        <v>178</v>
      </c>
      <c r="F45" s="31" t="s">
        <v>217</v>
      </c>
      <c r="G45" s="111">
        <v>44348</v>
      </c>
      <c r="H45" s="24"/>
      <c r="I45" s="24"/>
      <c r="J45" s="24"/>
      <c r="K45" s="112">
        <f>0.71/0.3819</f>
        <v>1.8591254255040586</v>
      </c>
      <c r="L45" s="102">
        <f t="shared" si="0"/>
        <v>1.8591254255040586</v>
      </c>
    </row>
    <row r="46" spans="2:12" s="2" customFormat="1" x14ac:dyDescent="0.25">
      <c r="B46" s="149"/>
      <c r="C46" s="113" t="s">
        <v>227</v>
      </c>
      <c r="D46" s="114">
        <v>1</v>
      </c>
      <c r="E46" s="31" t="s">
        <v>178</v>
      </c>
      <c r="F46" s="31" t="s">
        <v>185</v>
      </c>
      <c r="G46" s="111">
        <v>44348</v>
      </c>
      <c r="H46" s="24"/>
      <c r="I46" s="24"/>
      <c r="J46" s="24"/>
      <c r="K46" s="112">
        <f>0.432/0.3819</f>
        <v>1.1311861743912017</v>
      </c>
      <c r="L46" s="102">
        <f t="shared" si="0"/>
        <v>1.1311861743912017</v>
      </c>
    </row>
    <row r="47" spans="2:12" s="2" customFormat="1" x14ac:dyDescent="0.25">
      <c r="B47" s="149"/>
      <c r="C47" s="113" t="s">
        <v>228</v>
      </c>
      <c r="D47" s="114">
        <v>1</v>
      </c>
      <c r="E47" s="31" t="s">
        <v>178</v>
      </c>
      <c r="F47" s="31" t="s">
        <v>185</v>
      </c>
      <c r="G47" s="111">
        <v>44348</v>
      </c>
      <c r="H47" s="24"/>
      <c r="I47" s="24"/>
      <c r="J47" s="24"/>
      <c r="K47" s="112">
        <f>0.229/0.3819</f>
        <v>0.59963341188792874</v>
      </c>
      <c r="L47" s="102">
        <f t="shared" si="0"/>
        <v>0.59963341188792874</v>
      </c>
    </row>
    <row r="48" spans="2:12" s="2" customFormat="1" x14ac:dyDescent="0.25">
      <c r="B48" s="149"/>
      <c r="C48" s="113" t="s">
        <v>229</v>
      </c>
      <c r="D48" s="114">
        <v>1</v>
      </c>
      <c r="E48" s="31" t="s">
        <v>178</v>
      </c>
      <c r="F48" s="31" t="s">
        <v>185</v>
      </c>
      <c r="G48" s="111">
        <v>44348</v>
      </c>
      <c r="H48" s="24"/>
      <c r="I48" s="24"/>
      <c r="J48" s="24"/>
      <c r="K48" s="112">
        <f>0.816/0.3819</f>
        <v>2.1366849960722698</v>
      </c>
      <c r="L48" s="102">
        <f t="shared" si="0"/>
        <v>2.1366849960722698</v>
      </c>
    </row>
    <row r="49" spans="2:12" s="2" customFormat="1" x14ac:dyDescent="0.25">
      <c r="B49" s="149"/>
      <c r="C49" s="113" t="s">
        <v>230</v>
      </c>
      <c r="D49" s="114">
        <v>1</v>
      </c>
      <c r="E49" s="31" t="s">
        <v>178</v>
      </c>
      <c r="F49" s="31" t="s">
        <v>185</v>
      </c>
      <c r="G49" s="111">
        <v>44348</v>
      </c>
      <c r="H49" s="24"/>
      <c r="I49" s="24"/>
      <c r="J49" s="24"/>
      <c r="K49" s="112">
        <f>1.147/0.3819</f>
        <v>3.0034040324692328</v>
      </c>
      <c r="L49" s="102">
        <f t="shared" si="0"/>
        <v>3.0034040324692328</v>
      </c>
    </row>
    <row r="50" spans="2:12" s="2" customFormat="1" x14ac:dyDescent="0.25">
      <c r="B50" s="149"/>
      <c r="C50" s="113" t="s">
        <v>231</v>
      </c>
      <c r="D50" s="114">
        <v>1</v>
      </c>
      <c r="E50" s="31" t="s">
        <v>178</v>
      </c>
      <c r="F50" s="31" t="s">
        <v>185</v>
      </c>
      <c r="G50" s="111">
        <v>44348</v>
      </c>
      <c r="H50" s="24"/>
      <c r="I50" s="24"/>
      <c r="J50" s="24"/>
      <c r="K50" s="112">
        <f>0.261/0.3819</f>
        <v>0.68342498036135113</v>
      </c>
      <c r="L50" s="102">
        <f t="shared" si="0"/>
        <v>0.68342498036135113</v>
      </c>
    </row>
    <row r="51" spans="2:12" s="2" customFormat="1" x14ac:dyDescent="0.25">
      <c r="B51" s="149"/>
      <c r="C51" s="113" t="s">
        <v>232</v>
      </c>
      <c r="D51" s="114">
        <v>1</v>
      </c>
      <c r="E51" s="31" t="s">
        <v>178</v>
      </c>
      <c r="F51" s="31" t="s">
        <v>185</v>
      </c>
      <c r="G51" s="111">
        <v>44348</v>
      </c>
      <c r="H51" s="24"/>
      <c r="I51" s="24"/>
      <c r="J51" s="24"/>
      <c r="K51" s="112">
        <f>0.374/0.3819</f>
        <v>0.97931395653312381</v>
      </c>
      <c r="L51" s="102">
        <f t="shared" si="0"/>
        <v>0.97931395653312381</v>
      </c>
    </row>
    <row r="52" spans="2:12" s="2" customFormat="1" x14ac:dyDescent="0.25">
      <c r="B52" s="149"/>
      <c r="C52" s="113" t="s">
        <v>233</v>
      </c>
      <c r="D52" s="114">
        <v>1</v>
      </c>
      <c r="E52" s="31" t="s">
        <v>178</v>
      </c>
      <c r="F52" s="31" t="s">
        <v>185</v>
      </c>
      <c r="G52" s="111">
        <v>44348</v>
      </c>
      <c r="H52" s="24"/>
      <c r="I52" s="24"/>
      <c r="J52" s="24"/>
      <c r="K52" s="112">
        <f>0.422/0.3819</f>
        <v>1.1050013092432573</v>
      </c>
      <c r="L52" s="102">
        <f t="shared" si="0"/>
        <v>1.1050013092432573</v>
      </c>
    </row>
    <row r="53" spans="2:12" s="2" customFormat="1" x14ac:dyDescent="0.25">
      <c r="B53" s="149"/>
      <c r="C53" s="113" t="s">
        <v>234</v>
      </c>
      <c r="D53" s="114">
        <v>1</v>
      </c>
      <c r="E53" s="31" t="s">
        <v>178</v>
      </c>
      <c r="F53" s="31" t="s">
        <v>185</v>
      </c>
      <c r="G53" s="111">
        <v>44348</v>
      </c>
      <c r="H53" s="24"/>
      <c r="I53" s="24"/>
      <c r="J53" s="24"/>
      <c r="K53" s="112">
        <f>0.768/0.3819</f>
        <v>2.0109976433621366</v>
      </c>
      <c r="L53" s="102">
        <f t="shared" si="0"/>
        <v>2.0109976433621366</v>
      </c>
    </row>
    <row r="54" spans="2:12" s="2" customFormat="1" x14ac:dyDescent="0.25">
      <c r="B54" s="149"/>
      <c r="C54" s="113" t="s">
        <v>235</v>
      </c>
      <c r="D54" s="114">
        <v>1</v>
      </c>
      <c r="E54" s="31" t="s">
        <v>178</v>
      </c>
      <c r="F54" s="31" t="s">
        <v>187</v>
      </c>
      <c r="G54" s="111">
        <v>44348</v>
      </c>
      <c r="H54" s="24"/>
      <c r="I54" s="24"/>
      <c r="J54" s="24"/>
      <c r="K54" s="112">
        <f>0.432/0.3819</f>
        <v>1.1311861743912017</v>
      </c>
      <c r="L54" s="102">
        <f t="shared" si="0"/>
        <v>1.1311861743912017</v>
      </c>
    </row>
    <row r="55" spans="2:12" s="2" customFormat="1" x14ac:dyDescent="0.25">
      <c r="B55" s="149"/>
      <c r="C55" s="113" t="s">
        <v>236</v>
      </c>
      <c r="D55" s="114">
        <v>1</v>
      </c>
      <c r="E55" s="31" t="s">
        <v>178</v>
      </c>
      <c r="F55" s="31" t="s">
        <v>185</v>
      </c>
      <c r="G55" s="111">
        <v>44348</v>
      </c>
      <c r="H55" s="24"/>
      <c r="I55" s="24"/>
      <c r="J55" s="24"/>
      <c r="K55" s="112">
        <f>1.867/0.3819</f>
        <v>4.8887143231212358</v>
      </c>
      <c r="L55" s="102">
        <f t="shared" si="0"/>
        <v>4.8887143231212358</v>
      </c>
    </row>
    <row r="56" spans="2:12" s="2" customFormat="1" x14ac:dyDescent="0.25">
      <c r="B56" s="149"/>
      <c r="C56" s="113" t="s">
        <v>237</v>
      </c>
      <c r="D56" s="114">
        <v>1</v>
      </c>
      <c r="E56" s="31" t="s">
        <v>178</v>
      </c>
      <c r="F56" s="31" t="s">
        <v>187</v>
      </c>
      <c r="G56" s="111">
        <v>44348</v>
      </c>
      <c r="H56" s="24"/>
      <c r="I56" s="24"/>
      <c r="J56" s="24"/>
      <c r="K56" s="112">
        <f>0.109/0.3819</f>
        <v>0.28541503011259489</v>
      </c>
      <c r="L56" s="102">
        <f t="shared" si="0"/>
        <v>0.28541503011259489</v>
      </c>
    </row>
    <row r="57" spans="2:12" s="2" customFormat="1" x14ac:dyDescent="0.25">
      <c r="B57" s="149"/>
      <c r="C57" s="81" t="s">
        <v>238</v>
      </c>
      <c r="D57" s="108">
        <v>1</v>
      </c>
      <c r="E57" s="18" t="s">
        <v>239</v>
      </c>
      <c r="F57" s="18" t="s">
        <v>239</v>
      </c>
      <c r="G57" s="80">
        <v>2020</v>
      </c>
      <c r="H57" s="33"/>
      <c r="I57" s="33"/>
      <c r="J57" s="33">
        <v>30</v>
      </c>
      <c r="K57" s="33"/>
      <c r="L57" s="100">
        <v>30</v>
      </c>
    </row>
    <row r="58" spans="2:12" s="2" customFormat="1" x14ac:dyDescent="0.25">
      <c r="B58" s="149"/>
      <c r="C58" s="81" t="s">
        <v>240</v>
      </c>
      <c r="D58" s="108">
        <v>1</v>
      </c>
      <c r="E58" s="18" t="s">
        <v>239</v>
      </c>
      <c r="F58" s="18" t="s">
        <v>239</v>
      </c>
      <c r="G58" s="80">
        <v>2019</v>
      </c>
      <c r="H58" s="33"/>
      <c r="I58" s="33">
        <v>50</v>
      </c>
      <c r="J58" s="33"/>
      <c r="K58" s="33"/>
      <c r="L58" s="100">
        <v>50</v>
      </c>
    </row>
    <row r="59" spans="2:12" s="2" customFormat="1" x14ac:dyDescent="0.25">
      <c r="B59" s="149"/>
      <c r="C59" s="81" t="s">
        <v>241</v>
      </c>
      <c r="D59" s="108">
        <v>1</v>
      </c>
      <c r="E59" s="18" t="s">
        <v>191</v>
      </c>
      <c r="F59" s="18" t="s">
        <v>191</v>
      </c>
      <c r="G59" s="80">
        <v>2019</v>
      </c>
      <c r="H59" s="33"/>
      <c r="I59" s="33">
        <v>20</v>
      </c>
      <c r="J59" s="33"/>
      <c r="K59" s="33"/>
      <c r="L59" s="100">
        <v>20</v>
      </c>
    </row>
    <row r="60" spans="2:12" s="2" customFormat="1" x14ac:dyDescent="0.25">
      <c r="B60" s="149"/>
      <c r="C60" s="81" t="s">
        <v>242</v>
      </c>
      <c r="D60" s="108">
        <v>1</v>
      </c>
      <c r="E60" s="18" t="s">
        <v>243</v>
      </c>
      <c r="F60" s="18" t="s">
        <v>243</v>
      </c>
      <c r="G60" s="18">
        <v>2019</v>
      </c>
      <c r="H60" s="33"/>
      <c r="I60" s="33">
        <v>80</v>
      </c>
      <c r="J60" s="33"/>
      <c r="K60" s="33"/>
      <c r="L60" s="100">
        <v>80</v>
      </c>
    </row>
    <row r="61" spans="2:12" s="2" customFormat="1" x14ac:dyDescent="0.25">
      <c r="B61" s="149"/>
      <c r="C61" s="81" t="s">
        <v>244</v>
      </c>
      <c r="D61" s="108">
        <v>1</v>
      </c>
      <c r="E61" s="18" t="s">
        <v>191</v>
      </c>
      <c r="F61" s="18" t="s">
        <v>191</v>
      </c>
      <c r="G61" s="80">
        <v>2019</v>
      </c>
      <c r="H61" s="33"/>
      <c r="I61" s="33">
        <v>50</v>
      </c>
      <c r="J61" s="33"/>
      <c r="K61" s="33"/>
      <c r="L61" s="100">
        <v>50</v>
      </c>
    </row>
    <row r="62" spans="2:12" s="2" customFormat="1" x14ac:dyDescent="0.25">
      <c r="B62" s="149"/>
      <c r="C62" s="81" t="s">
        <v>245</v>
      </c>
      <c r="D62" s="108">
        <v>1</v>
      </c>
      <c r="E62" s="18" t="s">
        <v>243</v>
      </c>
      <c r="F62" s="18" t="s">
        <v>243</v>
      </c>
      <c r="G62" s="80">
        <v>2019</v>
      </c>
      <c r="H62" s="33"/>
      <c r="I62" s="33">
        <v>50</v>
      </c>
      <c r="J62" s="33"/>
      <c r="K62" s="33"/>
      <c r="L62" s="100">
        <v>50</v>
      </c>
    </row>
    <row r="63" spans="2:12" s="2" customFormat="1" x14ac:dyDescent="0.25">
      <c r="B63" s="149"/>
      <c r="C63" s="81" t="s">
        <v>246</v>
      </c>
      <c r="D63" s="108">
        <v>1</v>
      </c>
      <c r="E63" s="18" t="s">
        <v>247</v>
      </c>
      <c r="F63" s="18" t="s">
        <v>247</v>
      </c>
      <c r="G63" s="80">
        <v>2019</v>
      </c>
      <c r="H63" s="33"/>
      <c r="I63" s="33">
        <v>20</v>
      </c>
      <c r="J63" s="33"/>
      <c r="K63" s="33"/>
      <c r="L63" s="100">
        <v>20</v>
      </c>
    </row>
    <row r="64" spans="2:12" s="2" customFormat="1" x14ac:dyDescent="0.25">
      <c r="B64" s="149"/>
      <c r="C64" s="81" t="s">
        <v>248</v>
      </c>
      <c r="D64" s="108">
        <v>1</v>
      </c>
      <c r="E64" s="18" t="s">
        <v>191</v>
      </c>
      <c r="F64" s="18" t="s">
        <v>191</v>
      </c>
      <c r="G64" s="80">
        <v>2019</v>
      </c>
      <c r="H64" s="33"/>
      <c r="I64" s="33">
        <v>20</v>
      </c>
      <c r="J64" s="33"/>
      <c r="K64" s="33"/>
      <c r="L64" s="100">
        <v>20</v>
      </c>
    </row>
    <row r="65" spans="2:12" s="2" customFormat="1" x14ac:dyDescent="0.25">
      <c r="B65" s="149"/>
      <c r="C65" s="81" t="s">
        <v>249</v>
      </c>
      <c r="D65" s="108">
        <v>1</v>
      </c>
      <c r="E65" s="18" t="s">
        <v>191</v>
      </c>
      <c r="F65" s="18" t="s">
        <v>191</v>
      </c>
      <c r="G65" s="80">
        <v>2019</v>
      </c>
      <c r="H65" s="33"/>
      <c r="I65" s="33">
        <v>26.4</v>
      </c>
      <c r="J65" s="33"/>
      <c r="K65" s="33"/>
      <c r="L65" s="100">
        <v>26.4</v>
      </c>
    </row>
    <row r="66" spans="2:12" s="2" customFormat="1" x14ac:dyDescent="0.25">
      <c r="B66" s="149"/>
      <c r="C66" s="81" t="s">
        <v>250</v>
      </c>
      <c r="D66" s="108">
        <v>1</v>
      </c>
      <c r="E66" s="18" t="s">
        <v>191</v>
      </c>
      <c r="F66" s="18" t="s">
        <v>191</v>
      </c>
      <c r="G66" s="80">
        <v>2019</v>
      </c>
      <c r="H66" s="33"/>
      <c r="I66" s="33">
        <v>20</v>
      </c>
      <c r="J66" s="33"/>
      <c r="K66" s="33"/>
      <c r="L66" s="100">
        <v>20</v>
      </c>
    </row>
    <row r="67" spans="2:12" s="2" customFormat="1" x14ac:dyDescent="0.25">
      <c r="B67" s="148"/>
      <c r="C67" s="81" t="s">
        <v>251</v>
      </c>
      <c r="D67" s="108">
        <v>1</v>
      </c>
      <c r="E67" s="18" t="s">
        <v>191</v>
      </c>
      <c r="F67" s="18" t="s">
        <v>191</v>
      </c>
      <c r="G67" s="80">
        <v>2019</v>
      </c>
      <c r="H67" s="33"/>
      <c r="I67" s="33">
        <v>20</v>
      </c>
      <c r="J67" s="33"/>
      <c r="K67" s="33"/>
      <c r="L67" s="100">
        <v>20</v>
      </c>
    </row>
    <row r="68" spans="2:12" s="2" customFormat="1" x14ac:dyDescent="0.25">
      <c r="B68" s="150" t="s">
        <v>134</v>
      </c>
      <c r="C68" s="150"/>
      <c r="D68" s="150"/>
      <c r="E68" s="150"/>
      <c r="F68" s="150"/>
      <c r="G68" s="150"/>
      <c r="H68" s="20">
        <f>SUM(H16:H67)</f>
        <v>15.933</v>
      </c>
      <c r="I68" s="20">
        <f>SUM(I16:I67)</f>
        <v>356.4</v>
      </c>
      <c r="J68" s="20">
        <f>SUM(J16:J67)</f>
        <v>42.047656454569257</v>
      </c>
      <c r="K68" s="20">
        <f>SUM(K16:K67)</f>
        <v>32.93008641005499</v>
      </c>
      <c r="L68" s="9">
        <f>SUM(L16:L67)</f>
        <v>447.31074286462422</v>
      </c>
    </row>
    <row r="69" spans="2:12" s="2" customFormat="1" x14ac:dyDescent="0.25">
      <c r="B69" s="147" t="s">
        <v>39</v>
      </c>
      <c r="C69" s="81" t="s">
        <v>252</v>
      </c>
      <c r="D69" s="18"/>
      <c r="E69" s="53" t="s">
        <v>239</v>
      </c>
      <c r="F69" s="18" t="s">
        <v>239</v>
      </c>
      <c r="G69" s="115">
        <v>43465</v>
      </c>
      <c r="H69" s="33">
        <v>28.8</v>
      </c>
      <c r="I69" s="33"/>
      <c r="J69" s="33"/>
      <c r="K69" s="33"/>
      <c r="L69" s="100">
        <v>28.8</v>
      </c>
    </row>
    <row r="70" spans="2:12" s="2" customFormat="1" x14ac:dyDescent="0.25">
      <c r="B70" s="149"/>
      <c r="C70" s="81" t="s">
        <v>253</v>
      </c>
      <c r="D70" s="18"/>
      <c r="E70" s="53" t="s">
        <v>178</v>
      </c>
      <c r="F70" s="18" t="s">
        <v>178</v>
      </c>
      <c r="G70" s="80">
        <v>2019</v>
      </c>
      <c r="H70" s="33"/>
      <c r="I70" s="33">
        <v>5</v>
      </c>
      <c r="J70" s="33"/>
      <c r="K70" s="33"/>
      <c r="L70" s="100">
        <v>5</v>
      </c>
    </row>
    <row r="71" spans="2:12" s="2" customFormat="1" x14ac:dyDescent="0.25">
      <c r="B71" s="149"/>
      <c r="C71" s="113" t="s">
        <v>254</v>
      </c>
      <c r="D71" s="31">
        <v>1</v>
      </c>
      <c r="E71" s="65" t="s">
        <v>178</v>
      </c>
      <c r="F71" s="31" t="s">
        <v>217</v>
      </c>
      <c r="G71" s="111">
        <v>43983</v>
      </c>
      <c r="H71" s="24"/>
      <c r="I71" s="24"/>
      <c r="J71" s="116">
        <f>0.13/0.24</f>
        <v>0.54166666666666674</v>
      </c>
      <c r="K71" s="24"/>
      <c r="L71" s="102">
        <f>SUM(H71:K71)</f>
        <v>0.54166666666666674</v>
      </c>
    </row>
    <row r="72" spans="2:12" s="2" customFormat="1" x14ac:dyDescent="0.25">
      <c r="B72" s="149"/>
      <c r="C72" s="113" t="s">
        <v>255</v>
      </c>
      <c r="D72" s="31">
        <v>1</v>
      </c>
      <c r="E72" s="65" t="s">
        <v>178</v>
      </c>
      <c r="F72" s="31" t="s">
        <v>187</v>
      </c>
      <c r="G72" s="111">
        <v>43983</v>
      </c>
      <c r="H72" s="24"/>
      <c r="I72" s="24"/>
      <c r="J72" s="116">
        <f>2.7/0.24</f>
        <v>11.250000000000002</v>
      </c>
      <c r="K72" s="24"/>
      <c r="L72" s="102">
        <f>SUM(H72:K72)</f>
        <v>11.250000000000002</v>
      </c>
    </row>
    <row r="73" spans="2:12" s="2" customFormat="1" ht="13.5" customHeight="1" x14ac:dyDescent="0.25">
      <c r="B73" s="150" t="s">
        <v>45</v>
      </c>
      <c r="C73" s="150"/>
      <c r="D73" s="150"/>
      <c r="E73" s="150"/>
      <c r="F73" s="150"/>
      <c r="G73" s="150"/>
      <c r="H73" s="20">
        <f>SUM(H69:H72)</f>
        <v>28.8</v>
      </c>
      <c r="I73" s="20">
        <f>SUM(I69:I72)</f>
        <v>5</v>
      </c>
      <c r="J73" s="20">
        <f>SUM(J69:J72)</f>
        <v>11.791666666666668</v>
      </c>
      <c r="K73" s="20">
        <f>SUM(K69:K72)</f>
        <v>0</v>
      </c>
      <c r="L73" s="9">
        <f>SUM(L69:L72)</f>
        <v>45.591666666666661</v>
      </c>
    </row>
    <row r="74" spans="2:12" s="2" customFormat="1" ht="13.5" customHeight="1" x14ac:dyDescent="0.25">
      <c r="B74" s="147" t="s">
        <v>256</v>
      </c>
      <c r="C74" s="11" t="s">
        <v>257</v>
      </c>
      <c r="D74" s="12">
        <v>1</v>
      </c>
      <c r="E74" s="12" t="s">
        <v>258</v>
      </c>
      <c r="F74" s="12" t="s">
        <v>258</v>
      </c>
      <c r="G74" s="117">
        <v>43556</v>
      </c>
      <c r="H74" s="14"/>
      <c r="I74" s="14">
        <v>2.2000000000000002</v>
      </c>
      <c r="J74" s="14"/>
      <c r="K74" s="14"/>
      <c r="L74" s="100">
        <v>2.2000000000000002</v>
      </c>
    </row>
    <row r="75" spans="2:12" s="2" customFormat="1" ht="13.5" customHeight="1" x14ac:dyDescent="0.25">
      <c r="B75" s="149"/>
      <c r="C75" s="48" t="s">
        <v>259</v>
      </c>
      <c r="D75" s="49"/>
      <c r="E75" s="49" t="s">
        <v>239</v>
      </c>
      <c r="F75" s="49" t="s">
        <v>239</v>
      </c>
      <c r="G75" s="55">
        <v>43982</v>
      </c>
      <c r="H75" s="24"/>
      <c r="I75" s="24"/>
      <c r="J75" s="24">
        <v>4.5999999999999996</v>
      </c>
      <c r="K75" s="24"/>
      <c r="L75" s="100">
        <v>4.5999999999999996</v>
      </c>
    </row>
    <row r="76" spans="2:12" s="2" customFormat="1" ht="13.5" customHeight="1" x14ac:dyDescent="0.25">
      <c r="B76" s="149"/>
      <c r="C76" s="113" t="s">
        <v>260</v>
      </c>
      <c r="D76" s="49"/>
      <c r="E76" s="49" t="s">
        <v>178</v>
      </c>
      <c r="F76" s="49"/>
      <c r="G76" s="55" t="s">
        <v>188</v>
      </c>
      <c r="H76" s="24"/>
      <c r="I76" s="24"/>
      <c r="J76" s="24"/>
      <c r="K76" s="24">
        <v>339</v>
      </c>
      <c r="L76" s="102">
        <v>339</v>
      </c>
    </row>
    <row r="77" spans="2:12" s="2" customFormat="1" ht="13.5" customHeight="1" x14ac:dyDescent="0.25">
      <c r="B77" s="148"/>
      <c r="C77" s="118" t="s">
        <v>261</v>
      </c>
      <c r="D77" s="49"/>
      <c r="E77" s="49" t="s">
        <v>178</v>
      </c>
      <c r="F77" s="49"/>
      <c r="G77" s="55" t="s">
        <v>188</v>
      </c>
      <c r="H77" s="24"/>
      <c r="I77" s="24"/>
      <c r="J77" s="24"/>
      <c r="K77" s="24">
        <v>339</v>
      </c>
      <c r="L77" s="102">
        <v>339</v>
      </c>
    </row>
    <row r="78" spans="2:12" s="2" customFormat="1" ht="13.5" customHeight="1" x14ac:dyDescent="0.25">
      <c r="B78" s="150" t="s">
        <v>262</v>
      </c>
      <c r="C78" s="150"/>
      <c r="D78" s="150"/>
      <c r="E78" s="150"/>
      <c r="F78" s="150"/>
      <c r="G78" s="150"/>
      <c r="H78" s="20">
        <f>SUM(H74:H77)</f>
        <v>0</v>
      </c>
      <c r="I78" s="20">
        <f t="shared" ref="I78:K78" si="1">SUM(I74:I77)</f>
        <v>2.2000000000000002</v>
      </c>
      <c r="J78" s="20">
        <f t="shared" si="1"/>
        <v>4.5999999999999996</v>
      </c>
      <c r="K78" s="20">
        <f t="shared" si="1"/>
        <v>678</v>
      </c>
      <c r="L78" s="9">
        <f>SUM(L74:L77)</f>
        <v>684.8</v>
      </c>
    </row>
    <row r="79" spans="2:12" s="2" customFormat="1" x14ac:dyDescent="0.25">
      <c r="B79" s="150" t="s">
        <v>263</v>
      </c>
      <c r="C79" s="150"/>
      <c r="D79" s="150"/>
      <c r="E79" s="150"/>
      <c r="F79" s="150"/>
      <c r="G79" s="150"/>
      <c r="H79" s="20">
        <f>SUM(H15,H68,H73,H78)</f>
        <v>1958.7329999999999</v>
      </c>
      <c r="I79" s="20">
        <f>SUM(I15,I68,I73,I78)</f>
        <v>1184.6000000000001</v>
      </c>
      <c r="J79" s="20">
        <f>SUM(J15,J68,J73,J78)</f>
        <v>260.43932312123593</v>
      </c>
      <c r="K79" s="20">
        <f>SUM(K15,K68,K73,K78)</f>
        <v>970.93008641005497</v>
      </c>
      <c r="L79" s="9">
        <f>SUM(L15,L68,L73,L78)</f>
        <v>4374.7024095312909</v>
      </c>
    </row>
    <row r="80" spans="2:12" s="29" customFormat="1" x14ac:dyDescent="0.25">
      <c r="B80" s="119"/>
      <c r="C80" s="119"/>
      <c r="D80" s="119"/>
      <c r="E80" s="119"/>
      <c r="F80" s="119"/>
      <c r="G80" s="119"/>
      <c r="H80" s="120"/>
      <c r="I80" s="120"/>
      <c r="J80" s="120"/>
      <c r="K80" s="120"/>
      <c r="L80" s="120"/>
    </row>
    <row r="81" spans="2:12" s="2" customFormat="1" ht="18.75" x14ac:dyDescent="0.3">
      <c r="B81" s="156" t="s">
        <v>54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60"/>
    </row>
    <row r="82" spans="2:12" s="2" customFormat="1" x14ac:dyDescent="0.25">
      <c r="B82" s="8" t="s">
        <v>3</v>
      </c>
      <c r="C82" s="8" t="s">
        <v>4</v>
      </c>
      <c r="D82" s="8" t="s">
        <v>5</v>
      </c>
      <c r="E82" s="8" t="s">
        <v>6</v>
      </c>
      <c r="F82" s="8" t="s">
        <v>7</v>
      </c>
      <c r="G82" s="8" t="s">
        <v>55</v>
      </c>
      <c r="H82" s="8" t="s">
        <v>9</v>
      </c>
      <c r="I82" s="8" t="s">
        <v>10</v>
      </c>
      <c r="J82" s="8" t="s">
        <v>11</v>
      </c>
      <c r="K82" s="8" t="s">
        <v>12</v>
      </c>
      <c r="L82" s="9" t="s">
        <v>264</v>
      </c>
    </row>
    <row r="83" spans="2:12" s="2" customFormat="1" x14ac:dyDescent="0.25">
      <c r="B83" s="25" t="s">
        <v>56</v>
      </c>
      <c r="C83" s="48"/>
      <c r="D83" s="31"/>
      <c r="E83" s="31"/>
      <c r="F83" s="31"/>
      <c r="G83" s="111"/>
      <c r="H83" s="24"/>
      <c r="I83" s="24"/>
      <c r="J83" s="24"/>
      <c r="K83" s="24"/>
      <c r="L83" s="102"/>
    </row>
    <row r="84" spans="2:12" s="2" customFormat="1" x14ac:dyDescent="0.25">
      <c r="B84" s="150" t="s">
        <v>32</v>
      </c>
      <c r="C84" s="150"/>
      <c r="D84" s="150"/>
      <c r="E84" s="150"/>
      <c r="F84" s="150"/>
      <c r="G84" s="150"/>
      <c r="H84" s="20">
        <v>0</v>
      </c>
      <c r="I84" s="20">
        <v>0</v>
      </c>
      <c r="J84" s="20">
        <v>84</v>
      </c>
      <c r="K84" s="20">
        <v>0</v>
      </c>
      <c r="L84" s="21">
        <v>84</v>
      </c>
    </row>
    <row r="85" spans="2:12" s="2" customFormat="1" x14ac:dyDescent="0.25">
      <c r="B85" s="25" t="s">
        <v>63</v>
      </c>
      <c r="C85" s="81" t="s">
        <v>193</v>
      </c>
      <c r="D85" s="80">
        <v>3</v>
      </c>
      <c r="E85" s="80" t="s">
        <v>191</v>
      </c>
      <c r="F85" s="80" t="s">
        <v>191</v>
      </c>
      <c r="G85" s="121">
        <v>44348</v>
      </c>
      <c r="H85" s="67"/>
      <c r="I85" s="122"/>
      <c r="J85" s="67"/>
      <c r="K85" s="67">
        <v>383</v>
      </c>
      <c r="L85" s="52">
        <v>383</v>
      </c>
    </row>
    <row r="86" spans="2:12" s="2" customFormat="1" x14ac:dyDescent="0.25">
      <c r="B86" s="150" t="s">
        <v>68</v>
      </c>
      <c r="C86" s="150"/>
      <c r="D86" s="150"/>
      <c r="E86" s="150"/>
      <c r="F86" s="150"/>
      <c r="G86" s="150"/>
      <c r="H86" s="20">
        <v>0</v>
      </c>
      <c r="I86" s="20">
        <v>0</v>
      </c>
      <c r="J86" s="20">
        <v>0</v>
      </c>
      <c r="K86" s="20">
        <v>383</v>
      </c>
      <c r="L86" s="21">
        <v>383</v>
      </c>
    </row>
    <row r="87" spans="2:12" s="2" customFormat="1" ht="15" customHeight="1" x14ac:dyDescent="0.25">
      <c r="B87" s="123" t="s">
        <v>33</v>
      </c>
      <c r="C87" s="11" t="s">
        <v>265</v>
      </c>
      <c r="D87" s="12">
        <v>1</v>
      </c>
      <c r="E87" s="12" t="s">
        <v>178</v>
      </c>
      <c r="F87" s="12" t="s">
        <v>187</v>
      </c>
      <c r="G87" s="117">
        <v>43617</v>
      </c>
      <c r="H87" s="14"/>
      <c r="I87" s="14">
        <v>684.74599999999998</v>
      </c>
      <c r="J87" s="14"/>
      <c r="K87" s="14"/>
      <c r="L87" s="15">
        <v>684.74599999999998</v>
      </c>
    </row>
    <row r="88" spans="2:12" s="2" customFormat="1" ht="15" customHeight="1" x14ac:dyDescent="0.25">
      <c r="B88" s="150" t="s">
        <v>36</v>
      </c>
      <c r="C88" s="150"/>
      <c r="D88" s="150"/>
      <c r="E88" s="150"/>
      <c r="F88" s="150"/>
      <c r="G88" s="150"/>
      <c r="H88" s="20">
        <v>0</v>
      </c>
      <c r="I88" s="20">
        <v>684.74599999999998</v>
      </c>
      <c r="J88" s="20">
        <v>0</v>
      </c>
      <c r="K88" s="20">
        <v>0</v>
      </c>
      <c r="L88" s="21">
        <v>684.74599999999998</v>
      </c>
    </row>
    <row r="89" spans="2:12" s="2" customFormat="1" x14ac:dyDescent="0.25">
      <c r="B89" s="150" t="s">
        <v>266</v>
      </c>
      <c r="C89" s="150"/>
      <c r="D89" s="150"/>
      <c r="E89" s="150"/>
      <c r="F89" s="150"/>
      <c r="G89" s="150"/>
      <c r="H89" s="20">
        <v>0</v>
      </c>
      <c r="I89" s="20">
        <v>684.74599999999998</v>
      </c>
      <c r="J89" s="20">
        <v>84</v>
      </c>
      <c r="K89" s="20">
        <v>383</v>
      </c>
      <c r="L89" s="21">
        <v>1151.7460000000001</v>
      </c>
    </row>
    <row r="90" spans="2:12" s="23" customFormat="1" x14ac:dyDescent="0.25">
      <c r="B90" s="2"/>
      <c r="C90" s="2"/>
      <c r="D90" s="3"/>
      <c r="E90" s="3"/>
      <c r="F90" s="2"/>
      <c r="G90" s="3"/>
      <c r="H90" s="2"/>
      <c r="I90" s="2"/>
      <c r="J90" s="2"/>
      <c r="K90" s="2"/>
      <c r="L90" s="46"/>
    </row>
  </sheetData>
  <sheetProtection algorithmName="SHA-512" hashValue="KMkC71/ae0ZNJM2tLOMhuZ7uxrrVpvxqVmryMFXEf6k0VJl9/59hRZkTp+sGScnBJHtsomz/xavdEEsRu+1AEQ==" saltValue="hqpHUvcqd6myoAAg2ABk6Q==" spinCount="100000" sheet="1" objects="1" scenarios="1"/>
  <mergeCells count="15">
    <mergeCell ref="B69:B72"/>
    <mergeCell ref="B5:L5"/>
    <mergeCell ref="B7:B14"/>
    <mergeCell ref="B15:G15"/>
    <mergeCell ref="B16:B67"/>
    <mergeCell ref="B68:G68"/>
    <mergeCell ref="B86:G86"/>
    <mergeCell ref="B88:G88"/>
    <mergeCell ref="B89:G89"/>
    <mergeCell ref="B73:G73"/>
    <mergeCell ref="B74:B77"/>
    <mergeCell ref="B78:G78"/>
    <mergeCell ref="B79:G79"/>
    <mergeCell ref="B81:L81"/>
    <mergeCell ref="B84:G8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3"/>
  <sheetViews>
    <sheetView tabSelected="1" zoomScale="90" zoomScaleNormal="90" workbookViewId="0">
      <selection activeCell="D15" sqref="D15"/>
    </sheetView>
  </sheetViews>
  <sheetFormatPr defaultColWidth="9.28515625" defaultRowHeight="15" x14ac:dyDescent="0.25"/>
  <cols>
    <col min="1" max="1" width="2.5703125" style="125" customWidth="1"/>
    <col min="2" max="2" width="10.5703125" style="125" bestFit="1" customWidth="1"/>
    <col min="3" max="3" width="25.42578125" style="125" customWidth="1"/>
    <col min="4" max="4" width="28.5703125" style="126" customWidth="1"/>
    <col min="5" max="5" width="16.28515625" style="125" customWidth="1"/>
    <col min="6" max="6" width="37.42578125" style="125" customWidth="1"/>
    <col min="7" max="7" width="9.28515625" style="125" customWidth="1"/>
    <col min="8" max="16384" width="9.28515625" style="125"/>
  </cols>
  <sheetData>
    <row r="1" spans="2:8" ht="21" x14ac:dyDescent="0.35">
      <c r="B1" s="1" t="s">
        <v>267</v>
      </c>
    </row>
    <row r="2" spans="2:8" x14ac:dyDescent="0.25">
      <c r="B2" s="2"/>
    </row>
    <row r="3" spans="2:8" ht="15.75" x14ac:dyDescent="0.25">
      <c r="B3" s="4" t="s">
        <v>1</v>
      </c>
      <c r="C3" s="5"/>
    </row>
    <row r="5" spans="2:8" s="129" customFormat="1" x14ac:dyDescent="0.25">
      <c r="B5" s="127" t="s">
        <v>268</v>
      </c>
      <c r="C5" s="127" t="s">
        <v>269</v>
      </c>
      <c r="D5" s="127" t="s">
        <v>270</v>
      </c>
      <c r="E5" s="128" t="s">
        <v>271</v>
      </c>
      <c r="F5" s="128" t="s">
        <v>272</v>
      </c>
    </row>
    <row r="6" spans="2:8" s="139" customFormat="1" ht="25.15" customHeight="1" x14ac:dyDescent="0.25">
      <c r="B6" s="135" t="s">
        <v>273</v>
      </c>
      <c r="C6" s="136" t="s">
        <v>274</v>
      </c>
      <c r="D6" s="136" t="s">
        <v>275</v>
      </c>
      <c r="E6" s="137" t="s">
        <v>276</v>
      </c>
      <c r="F6" s="138"/>
    </row>
    <row r="7" spans="2:8" s="139" customFormat="1" ht="25.15" customHeight="1" x14ac:dyDescent="0.25">
      <c r="B7" s="130" t="s">
        <v>273</v>
      </c>
      <c r="C7" s="131" t="s">
        <v>277</v>
      </c>
      <c r="D7" s="131" t="s">
        <v>278</v>
      </c>
      <c r="E7" s="132">
        <v>44896</v>
      </c>
      <c r="F7" s="133" t="s">
        <v>279</v>
      </c>
    </row>
    <row r="8" spans="2:8" s="139" customFormat="1" ht="25.15" customHeight="1" x14ac:dyDescent="0.25">
      <c r="B8" s="138" t="s">
        <v>280</v>
      </c>
      <c r="C8" s="140" t="s">
        <v>281</v>
      </c>
      <c r="D8" s="141" t="s">
        <v>90</v>
      </c>
      <c r="E8" s="142">
        <v>2017</v>
      </c>
      <c r="F8" s="138"/>
    </row>
    <row r="9" spans="2:8" x14ac:dyDescent="0.25">
      <c r="B9" s="7"/>
    </row>
    <row r="13" spans="2:8" x14ac:dyDescent="0.25">
      <c r="H13" s="2"/>
    </row>
    <row r="14" spans="2:8" x14ac:dyDescent="0.25">
      <c r="H14" s="134"/>
    </row>
    <row r="15" spans="2:8" ht="15" customHeight="1" x14ac:dyDescent="0.25">
      <c r="H15" s="134"/>
    </row>
    <row r="16" spans="2:8" x14ac:dyDescent="0.25">
      <c r="H16" s="134"/>
    </row>
    <row r="17" spans="8:8" x14ac:dyDescent="0.25">
      <c r="H17" s="134"/>
    </row>
    <row r="18" spans="8:8" x14ac:dyDescent="0.25">
      <c r="H18" s="134"/>
    </row>
    <row r="19" spans="8:8" x14ac:dyDescent="0.25">
      <c r="H19" s="134"/>
    </row>
    <row r="20" spans="8:8" x14ac:dyDescent="0.25">
      <c r="H20" s="134"/>
    </row>
    <row r="21" spans="8:8" x14ac:dyDescent="0.25">
      <c r="H21" s="134"/>
    </row>
    <row r="22" spans="8:8" x14ac:dyDescent="0.25">
      <c r="H22" s="134"/>
    </row>
    <row r="23" spans="8:8" x14ac:dyDescent="0.25">
      <c r="H23" s="134"/>
    </row>
  </sheetData>
  <sheetProtection algorithmName="SHA-512" hashValue="R83vQJxQDmjbiqSFijsgj5bq0+q1oTZ+ktltR8b3LFjR9W6CtUe9Jcx3Q2cl2HNvpJ4LR9eeTbnijkYZ7po4fg==" saltValue="NLOPzgxIXq5lSnhd4HUQt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Firm-NYISO 2018</vt:lpstr>
      <vt:lpstr>Firm-PJM 2018</vt:lpstr>
      <vt:lpstr>Firm-ISONE 2018</vt:lpstr>
      <vt:lpstr>Transmission Projects</vt:lpstr>
    </vt:vector>
  </TitlesOfParts>
  <Company>ICFI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MacCracken, Chris</dc:creator>
  <cp:lastModifiedBy>Schell, Christine</cp:lastModifiedBy>
  <dcterms:created xsi:type="dcterms:W3CDTF">2019-01-30T10:51:04Z</dcterms:created>
  <dcterms:modified xsi:type="dcterms:W3CDTF">2019-01-31T19:10:12Z</dcterms:modified>
</cp:coreProperties>
</file>