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0" yWindow="0" windowWidth="25320" windowHeight="13200"/>
  </bookViews>
  <sheets>
    <sheet name="Users Guide" sheetId="8" r:id="rId1"/>
    <sheet name="WMA Summary" sheetId="1" r:id="rId2"/>
    <sheet name="HUC11 data" sheetId="5" r:id="rId3"/>
    <sheet name="LookUp" sheetId="3" r:id="rId4"/>
    <sheet name="Current Withdrawals" sheetId="4" r:id="rId5"/>
    <sheet name="Full Allocation" sheetId="7" r:id="rId6"/>
  </sheets>
  <definedNames>
    <definedName name="_xlnm.Database">#REF!</definedName>
    <definedName name="LFM">'WMA Summary'!$T$2</definedName>
    <definedName name="LFM_Percent">'WMA Summary'!$T$2</definedName>
    <definedName name="_xlnm.Print_Area" localSheetId="1">'WMA Summary'!$A$1:$Z$97</definedName>
  </definedNames>
  <calcPr calcId="145621"/>
</workbook>
</file>

<file path=xl/calcChain.xml><?xml version="1.0" encoding="utf-8"?>
<calcChain xmlns="http://schemas.openxmlformats.org/spreadsheetml/2006/main">
  <c r="B5" i="3" l="1"/>
  <c r="D3" i="1" s="1"/>
  <c r="D95" i="1" l="1"/>
  <c r="D94" i="1"/>
  <c r="D93" i="1"/>
  <c r="D92" i="1"/>
  <c r="D91" i="1"/>
  <c r="D90" i="1"/>
  <c r="D89" i="1"/>
  <c r="D88" i="1"/>
  <c r="D87" i="1"/>
  <c r="D86" i="1"/>
  <c r="D85" i="1"/>
  <c r="D84" i="1"/>
  <c r="D83" i="1"/>
  <c r="D82" i="1"/>
  <c r="D81" i="1"/>
  <c r="D80" i="1"/>
  <c r="D79" i="1"/>
  <c r="D78" i="1"/>
  <c r="D77" i="1"/>
  <c r="D71" i="1"/>
  <c r="D70" i="1"/>
  <c r="D69" i="1"/>
  <c r="D68" i="1"/>
  <c r="D67" i="1"/>
  <c r="D66" i="1"/>
  <c r="D65" i="1"/>
  <c r="D64" i="1"/>
  <c r="D63" i="1"/>
  <c r="D62" i="1"/>
  <c r="D61" i="1"/>
  <c r="D60" i="1"/>
  <c r="D59" i="1"/>
  <c r="D58" i="1"/>
  <c r="D57" i="1"/>
  <c r="D56" i="1"/>
  <c r="D55" i="1"/>
  <c r="D54" i="1"/>
  <c r="D53" i="1"/>
  <c r="D47" i="1"/>
  <c r="D46" i="1"/>
  <c r="D45" i="1"/>
  <c r="D44" i="1"/>
  <c r="D43" i="1"/>
  <c r="D42" i="1"/>
  <c r="D41" i="1"/>
  <c r="D40" i="1"/>
  <c r="D39" i="1"/>
  <c r="D38" i="1"/>
  <c r="D37" i="1"/>
  <c r="D36" i="1"/>
  <c r="D35" i="1"/>
  <c r="D34" i="1"/>
  <c r="D33" i="1"/>
  <c r="D32" i="1"/>
  <c r="D31" i="1"/>
  <c r="D30" i="1"/>
  <c r="D29" i="1"/>
  <c r="AL23" i="3"/>
  <c r="AL22" i="3"/>
  <c r="AL21" i="3"/>
  <c r="AL20" i="3"/>
  <c r="AL19" i="3"/>
  <c r="AL18" i="3"/>
  <c r="AL17" i="3"/>
  <c r="AL16" i="3"/>
  <c r="AL15" i="3"/>
  <c r="AL14" i="3"/>
  <c r="AK23" i="3"/>
  <c r="AK22" i="3"/>
  <c r="AK21" i="3"/>
  <c r="AK20" i="3"/>
  <c r="AK19" i="3"/>
  <c r="AK18" i="3"/>
  <c r="AK17" i="3"/>
  <c r="AK16" i="3"/>
  <c r="AK15" i="3"/>
  <c r="AK14" i="3"/>
  <c r="AK13" i="3"/>
  <c r="AK12" i="3"/>
  <c r="AJ23" i="3"/>
  <c r="AJ22" i="3"/>
  <c r="AJ21" i="3"/>
  <c r="AJ20" i="3"/>
  <c r="AJ19" i="3"/>
  <c r="AJ18" i="3"/>
  <c r="AJ17" i="3"/>
  <c r="AJ16" i="3"/>
  <c r="AJ15" i="3"/>
  <c r="AJ14" i="3"/>
  <c r="AJ13" i="3"/>
  <c r="AH23" i="3"/>
  <c r="AH22" i="3"/>
  <c r="AH21" i="3"/>
  <c r="AH20" i="3"/>
  <c r="AH19" i="3"/>
  <c r="AH18" i="3"/>
  <c r="AH17" i="3"/>
  <c r="AH16" i="3"/>
  <c r="AH15" i="3"/>
  <c r="AH14" i="3"/>
  <c r="AH13" i="3"/>
  <c r="AH12" i="3"/>
  <c r="AH11" i="3"/>
  <c r="AH10" i="3"/>
  <c r="AG23" i="3"/>
  <c r="AG22" i="3"/>
  <c r="AG21" i="3"/>
  <c r="AG20" i="3"/>
  <c r="AG19" i="3"/>
  <c r="AG18" i="3"/>
  <c r="AG17" i="3"/>
  <c r="AG16" i="3"/>
  <c r="AG15" i="3"/>
  <c r="AG14" i="3"/>
  <c r="AF23" i="3"/>
  <c r="AF22" i="3"/>
  <c r="AF21" i="3"/>
  <c r="AF20" i="3"/>
  <c r="AF19" i="3"/>
  <c r="AF18" i="3"/>
  <c r="AF17" i="3"/>
  <c r="AF16" i="3"/>
  <c r="AF15" i="3"/>
  <c r="AF14" i="3"/>
  <c r="AF13" i="3"/>
  <c r="AE23" i="3"/>
  <c r="AE22" i="3"/>
  <c r="AE21" i="3"/>
  <c r="AE20" i="3"/>
  <c r="AD23" i="3"/>
  <c r="AD22" i="3"/>
  <c r="AD21" i="3"/>
  <c r="AD20" i="3"/>
  <c r="AD19" i="3"/>
  <c r="AD18" i="3"/>
  <c r="AD17" i="3"/>
  <c r="AD16" i="3"/>
  <c r="AD15" i="3"/>
  <c r="AD14" i="3"/>
  <c r="AD13" i="3"/>
  <c r="AC23" i="3"/>
  <c r="AC22" i="3"/>
  <c r="AC21" i="3"/>
  <c r="AC20" i="3"/>
  <c r="AC19" i="3"/>
  <c r="AC18" i="3"/>
  <c r="AC17" i="3"/>
  <c r="AC16" i="3"/>
  <c r="AC15" i="3"/>
  <c r="AC14" i="3"/>
  <c r="AC13" i="3"/>
  <c r="AC12" i="3"/>
  <c r="AC11" i="3"/>
  <c r="AC10" i="3"/>
  <c r="AB23" i="3"/>
  <c r="AB22" i="3"/>
  <c r="AB21" i="3"/>
  <c r="AB20" i="3"/>
  <c r="AB19" i="3"/>
  <c r="AB18" i="3"/>
  <c r="AB17" i="3"/>
  <c r="AB16" i="3"/>
  <c r="AB15" i="3"/>
  <c r="AB14" i="3"/>
  <c r="AB13" i="3"/>
  <c r="AB12" i="3"/>
  <c r="AB11" i="3"/>
  <c r="AB10" i="3"/>
  <c r="AB9" i="3"/>
  <c r="AB8" i="3"/>
  <c r="AA23" i="3"/>
  <c r="AA22" i="3"/>
  <c r="AA21" i="3"/>
  <c r="AA20" i="3"/>
  <c r="AA19" i="3"/>
  <c r="AA18" i="3"/>
  <c r="AA17" i="3"/>
  <c r="AA16" i="3"/>
  <c r="AA15" i="3"/>
  <c r="AA14" i="3"/>
  <c r="AA13" i="3"/>
  <c r="AA12" i="3"/>
  <c r="AA11" i="3"/>
  <c r="Z23" i="3"/>
  <c r="Z22" i="3"/>
  <c r="Z21" i="3"/>
  <c r="Z20" i="3"/>
  <c r="Z19" i="3"/>
  <c r="Z18" i="3"/>
  <c r="Z17" i="3"/>
  <c r="Z16" i="3"/>
  <c r="Z15" i="3"/>
  <c r="Z14" i="3"/>
  <c r="Z13" i="3"/>
  <c r="Z12" i="3"/>
  <c r="Y23" i="3"/>
  <c r="Y22" i="3"/>
  <c r="Y21" i="3"/>
  <c r="Y20" i="3"/>
  <c r="Y19" i="3"/>
  <c r="Y18" i="3"/>
  <c r="Y17" i="3"/>
  <c r="Y16" i="3"/>
  <c r="Y15" i="3"/>
  <c r="Y14" i="3"/>
  <c r="Y13" i="3"/>
  <c r="Y12" i="3"/>
  <c r="Y11" i="3"/>
  <c r="Y10" i="3"/>
  <c r="Y9" i="3"/>
  <c r="X23" i="3"/>
  <c r="X22" i="3"/>
  <c r="X21" i="3"/>
  <c r="X20" i="3"/>
  <c r="X19" i="3"/>
  <c r="X18" i="3"/>
  <c r="X17" i="3"/>
  <c r="X16" i="3"/>
  <c r="X15" i="3"/>
  <c r="X14" i="3"/>
  <c r="X13" i="3"/>
  <c r="X12" i="3"/>
  <c r="X11" i="3"/>
  <c r="X10" i="3"/>
  <c r="X9" i="3"/>
  <c r="W23" i="3"/>
  <c r="W22" i="3"/>
  <c r="W21" i="3"/>
  <c r="W20" i="3"/>
  <c r="W19" i="3"/>
  <c r="W18" i="3"/>
  <c r="W17" i="3"/>
  <c r="W16" i="3"/>
  <c r="W15" i="3"/>
  <c r="W14" i="3"/>
  <c r="W13" i="3"/>
  <c r="W12" i="3"/>
  <c r="W11" i="3"/>
  <c r="W10" i="3"/>
  <c r="W9" i="3"/>
  <c r="W8" i="3"/>
  <c r="V23" i="3"/>
  <c r="V22" i="3"/>
  <c r="V21" i="3"/>
  <c r="V20" i="3"/>
  <c r="V19" i="3"/>
  <c r="V18" i="3"/>
  <c r="V17" i="3"/>
  <c r="V16" i="3"/>
  <c r="V15" i="3"/>
  <c r="V14" i="3"/>
  <c r="V13" i="3"/>
  <c r="V12" i="3"/>
  <c r="V11" i="3"/>
  <c r="V10" i="3"/>
  <c r="V9" i="3"/>
  <c r="V8" i="3"/>
  <c r="U23" i="3"/>
  <c r="U22" i="3"/>
  <c r="U21" i="3"/>
  <c r="U20" i="3"/>
  <c r="U19" i="3"/>
  <c r="U18" i="3"/>
  <c r="U17" i="3"/>
  <c r="U16" i="3"/>
  <c r="U15" i="3"/>
  <c r="U14" i="3"/>
  <c r="U13" i="3"/>
  <c r="U12" i="3"/>
  <c r="U11" i="3"/>
  <c r="U10" i="3"/>
  <c r="U9" i="3"/>
  <c r="T23" i="3"/>
  <c r="T22" i="3"/>
  <c r="T21" i="3"/>
  <c r="D22" i="1" s="1"/>
  <c r="T20" i="3"/>
  <c r="D21" i="1" s="1"/>
  <c r="T19" i="3"/>
  <c r="T18" i="3"/>
  <c r="T17" i="3"/>
  <c r="D18" i="1" s="1"/>
  <c r="T16" i="3"/>
  <c r="D17" i="1" s="1"/>
  <c r="T15" i="3"/>
  <c r="T14" i="3"/>
  <c r="T13" i="3"/>
  <c r="D14" i="1" s="1"/>
  <c r="T12" i="3"/>
  <c r="D13" i="1" s="1"/>
  <c r="O13" i="1" s="1"/>
  <c r="T11" i="3"/>
  <c r="T10" i="3"/>
  <c r="D24" i="1"/>
  <c r="D23" i="1"/>
  <c r="D20" i="1"/>
  <c r="D19" i="1"/>
  <c r="D16" i="1"/>
  <c r="D15" i="1"/>
  <c r="D12" i="1"/>
  <c r="D11" i="1"/>
  <c r="D10" i="1"/>
  <c r="D9" i="1"/>
  <c r="D8" i="1"/>
  <c r="D7" i="1"/>
  <c r="D6" i="1"/>
  <c r="X95" i="1"/>
  <c r="M13" i="1" l="1"/>
  <c r="L13" i="1"/>
  <c r="M21" i="1"/>
  <c r="L21" i="1"/>
  <c r="K15" i="1"/>
  <c r="M15" i="1"/>
  <c r="L15" i="1"/>
  <c r="M17" i="1"/>
  <c r="L17" i="1"/>
  <c r="O16" i="1"/>
  <c r="M16" i="1"/>
  <c r="L16" i="1"/>
  <c r="M14" i="1"/>
  <c r="L14" i="1"/>
  <c r="M18" i="1"/>
  <c r="L18" i="1"/>
  <c r="K7" i="1"/>
  <c r="M7" i="1"/>
  <c r="L7" i="1"/>
  <c r="E11" i="1"/>
  <c r="M11" i="1"/>
  <c r="L11" i="1"/>
  <c r="K19" i="1"/>
  <c r="M19" i="1"/>
  <c r="L19" i="1"/>
  <c r="K9" i="1"/>
  <c r="M9" i="1"/>
  <c r="L9" i="1"/>
  <c r="K23" i="1"/>
  <c r="L23" i="1"/>
  <c r="M23" i="1"/>
  <c r="K10" i="1"/>
  <c r="M10" i="1"/>
  <c r="L10" i="1"/>
  <c r="H24" i="1"/>
  <c r="M24" i="1"/>
  <c r="L24" i="1"/>
  <c r="M22" i="1"/>
  <c r="L22" i="1"/>
  <c r="K8" i="1"/>
  <c r="M8" i="1"/>
  <c r="L8" i="1"/>
  <c r="M12" i="1"/>
  <c r="L12" i="1"/>
  <c r="E20" i="1"/>
  <c r="M20" i="1"/>
  <c r="L20" i="1"/>
  <c r="L6" i="1"/>
  <c r="K6" i="1"/>
  <c r="M6" i="1"/>
  <c r="J12" i="1"/>
  <c r="N12" i="1"/>
  <c r="O9" i="1"/>
  <c r="I10" i="1"/>
  <c r="N24" i="1"/>
  <c r="I24" i="1"/>
  <c r="H15" i="1"/>
  <c r="H10" i="1"/>
  <c r="J16" i="1"/>
  <c r="K16" i="1"/>
  <c r="I16" i="1"/>
  <c r="E16" i="1"/>
  <c r="F9" i="1"/>
  <c r="H9" i="1"/>
  <c r="G12" i="1"/>
  <c r="N20" i="1"/>
  <c r="E24" i="1"/>
  <c r="H12" i="1"/>
  <c r="I9" i="1"/>
  <c r="K12" i="1"/>
  <c r="E12" i="1"/>
  <c r="N9" i="1"/>
  <c r="O10" i="1"/>
  <c r="O12" i="1"/>
  <c r="I20" i="1"/>
  <c r="E15" i="1"/>
  <c r="K20" i="1"/>
  <c r="E13" i="1"/>
  <c r="G13" i="1"/>
  <c r="F13" i="1"/>
  <c r="K13" i="1"/>
  <c r="J13" i="1"/>
  <c r="J17" i="1"/>
  <c r="O17" i="1"/>
  <c r="E17" i="1"/>
  <c r="N17" i="1"/>
  <c r="H17" i="1"/>
  <c r="G17" i="1"/>
  <c r="J21" i="1"/>
  <c r="G21" i="1"/>
  <c r="O21" i="1"/>
  <c r="N21" i="1"/>
  <c r="H21" i="1"/>
  <c r="N14" i="1"/>
  <c r="G14" i="1"/>
  <c r="F14" i="1"/>
  <c r="J18" i="1"/>
  <c r="I18" i="1"/>
  <c r="N22" i="1"/>
  <c r="E22" i="1"/>
  <c r="F11" i="1"/>
  <c r="N15" i="1"/>
  <c r="I12" i="1"/>
  <c r="N16" i="1"/>
  <c r="O20" i="1"/>
  <c r="O24" i="1"/>
  <c r="K24" i="1"/>
  <c r="I19" i="1"/>
  <c r="N11" i="1"/>
  <c r="F16" i="1"/>
  <c r="N19" i="1"/>
  <c r="H8" i="1"/>
  <c r="J9" i="1"/>
  <c r="F12" i="1"/>
  <c r="H16" i="1"/>
  <c r="H20" i="1"/>
  <c r="H6" i="1"/>
  <c r="O6" i="1"/>
  <c r="K14" i="1"/>
  <c r="O15" i="1"/>
  <c r="K18" i="1"/>
  <c r="O22" i="1"/>
  <c r="I6" i="1"/>
  <c r="J6" i="1"/>
  <c r="N8" i="1"/>
  <c r="I11" i="1"/>
  <c r="F6" i="1"/>
  <c r="N6" i="1"/>
  <c r="N10" i="1"/>
  <c r="J11" i="1"/>
  <c r="O14" i="1"/>
  <c r="H19" i="1"/>
  <c r="E19" i="1"/>
  <c r="H7" i="1"/>
  <c r="N7" i="1"/>
  <c r="F8" i="1"/>
  <c r="F10" i="1"/>
  <c r="J10" i="1"/>
  <c r="I7" i="1"/>
  <c r="O7" i="1"/>
  <c r="I8" i="1"/>
  <c r="O8" i="1"/>
  <c r="F7" i="1"/>
  <c r="J7" i="1"/>
  <c r="J8" i="1"/>
  <c r="H13" i="1"/>
  <c r="N13" i="1"/>
  <c r="I14" i="1"/>
  <c r="I17" i="1"/>
  <c r="G18" i="1"/>
  <c r="N18" i="1"/>
  <c r="I21" i="1"/>
  <c r="H22" i="1"/>
  <c r="G6" i="1"/>
  <c r="G7" i="1"/>
  <c r="G8" i="1"/>
  <c r="G9" i="1"/>
  <c r="G10" i="1"/>
  <c r="H11" i="1"/>
  <c r="O11" i="1"/>
  <c r="I13" i="1"/>
  <c r="J14" i="1"/>
  <c r="I15" i="1"/>
  <c r="K17" i="1"/>
  <c r="H18" i="1"/>
  <c r="O18" i="1"/>
  <c r="O19" i="1"/>
  <c r="K21" i="1"/>
  <c r="I22" i="1"/>
  <c r="E21" i="1"/>
  <c r="E18" i="1"/>
  <c r="J22" i="1"/>
  <c r="E14" i="1"/>
  <c r="H14" i="1"/>
  <c r="F17" i="1"/>
  <c r="F18" i="1"/>
  <c r="F21" i="1"/>
  <c r="F22" i="1"/>
  <c r="H23" i="1"/>
  <c r="N23" i="1"/>
  <c r="E23" i="1"/>
  <c r="I23" i="1"/>
  <c r="F15" i="1"/>
  <c r="J15" i="1"/>
  <c r="F19" i="1"/>
  <c r="J19" i="1"/>
  <c r="F20" i="1"/>
  <c r="J20" i="1"/>
  <c r="F23" i="1"/>
  <c r="J23" i="1"/>
  <c r="F24" i="1"/>
  <c r="J24" i="1"/>
  <c r="O23" i="1"/>
  <c r="G11" i="1"/>
  <c r="K11" i="1"/>
  <c r="G15" i="1"/>
  <c r="G16" i="1"/>
  <c r="G19" i="1"/>
  <c r="G20" i="1"/>
  <c r="G22" i="1"/>
  <c r="K22" i="1"/>
  <c r="G23" i="1"/>
  <c r="G24" i="1"/>
  <c r="AT156" i="4" l="1"/>
  <c r="AS156" i="4"/>
  <c r="AR156" i="4"/>
  <c r="AQ156" i="4"/>
  <c r="AP156" i="4"/>
  <c r="AT155" i="4"/>
  <c r="AS155" i="4"/>
  <c r="AR155" i="4"/>
  <c r="AQ155" i="4"/>
  <c r="AP155" i="4"/>
  <c r="AT154" i="4"/>
  <c r="AS154" i="4"/>
  <c r="AR154" i="4"/>
  <c r="AQ154" i="4"/>
  <c r="AP154" i="4"/>
  <c r="AT153" i="4"/>
  <c r="AS153" i="4"/>
  <c r="AR153" i="4"/>
  <c r="AQ153" i="4"/>
  <c r="AP153" i="4"/>
  <c r="AT152" i="4"/>
  <c r="AS152" i="4"/>
  <c r="AR152" i="4"/>
  <c r="AQ152" i="4"/>
  <c r="AP152" i="4"/>
  <c r="AT151" i="4"/>
  <c r="AS151" i="4"/>
  <c r="AR151" i="4"/>
  <c r="AQ151" i="4"/>
  <c r="AP151" i="4"/>
  <c r="AT150" i="4"/>
  <c r="AS150" i="4"/>
  <c r="AR150" i="4"/>
  <c r="AQ150" i="4"/>
  <c r="AP150" i="4"/>
  <c r="AT149" i="4"/>
  <c r="AS149" i="4"/>
  <c r="AR149" i="4"/>
  <c r="AQ149" i="4"/>
  <c r="AP149" i="4"/>
  <c r="AT148" i="4"/>
  <c r="AS148" i="4"/>
  <c r="AR148" i="4"/>
  <c r="AQ148" i="4"/>
  <c r="AP148" i="4"/>
  <c r="AT147" i="4"/>
  <c r="AS147" i="4"/>
  <c r="AR147" i="4"/>
  <c r="AQ147" i="4"/>
  <c r="AP147" i="4"/>
  <c r="AT146" i="4"/>
  <c r="AS146" i="4"/>
  <c r="AR146" i="4"/>
  <c r="AQ146" i="4"/>
  <c r="AP146" i="4"/>
  <c r="AT145" i="4"/>
  <c r="AS145" i="4"/>
  <c r="AR145" i="4"/>
  <c r="AQ145" i="4"/>
  <c r="AP145" i="4"/>
  <c r="AT144" i="4"/>
  <c r="AS144" i="4"/>
  <c r="AR144" i="4"/>
  <c r="AQ144" i="4"/>
  <c r="AP144" i="4"/>
  <c r="AT143" i="4"/>
  <c r="AS143" i="4"/>
  <c r="AR143" i="4"/>
  <c r="AQ143" i="4"/>
  <c r="AP143" i="4"/>
  <c r="AT142" i="4"/>
  <c r="AS142" i="4"/>
  <c r="AR142" i="4"/>
  <c r="AQ142" i="4"/>
  <c r="AP142" i="4"/>
  <c r="AT141" i="4"/>
  <c r="AS141" i="4"/>
  <c r="AR141" i="4"/>
  <c r="AQ141" i="4"/>
  <c r="AP141" i="4"/>
  <c r="AT140" i="4"/>
  <c r="AS140" i="4"/>
  <c r="AR140" i="4"/>
  <c r="AQ140" i="4"/>
  <c r="AP140" i="4"/>
  <c r="AT139" i="4"/>
  <c r="AS139" i="4"/>
  <c r="AR139" i="4"/>
  <c r="AQ139" i="4"/>
  <c r="AP139" i="4"/>
  <c r="AT138" i="4"/>
  <c r="AS138" i="4"/>
  <c r="AR138" i="4"/>
  <c r="AQ138" i="4"/>
  <c r="AP138" i="4"/>
  <c r="AT137" i="4"/>
  <c r="AS137" i="4"/>
  <c r="AR137" i="4"/>
  <c r="AQ137" i="4"/>
  <c r="AP137" i="4"/>
  <c r="AT136" i="4"/>
  <c r="AS136" i="4"/>
  <c r="AR136" i="4"/>
  <c r="AQ136" i="4"/>
  <c r="AP136" i="4"/>
  <c r="AT135" i="4"/>
  <c r="AS135" i="4"/>
  <c r="AR135" i="4"/>
  <c r="AQ135" i="4"/>
  <c r="AP135" i="4"/>
  <c r="AT134" i="4"/>
  <c r="AS134" i="4"/>
  <c r="AR134" i="4"/>
  <c r="AQ134" i="4"/>
  <c r="AP134" i="4"/>
  <c r="AT133" i="4"/>
  <c r="AS133" i="4"/>
  <c r="AR133" i="4"/>
  <c r="AQ133" i="4"/>
  <c r="AP133" i="4"/>
  <c r="AT132" i="4"/>
  <c r="AS132" i="4"/>
  <c r="AR132" i="4"/>
  <c r="AQ132" i="4"/>
  <c r="AP132" i="4"/>
  <c r="AT131" i="4"/>
  <c r="AS131" i="4"/>
  <c r="AR131" i="4"/>
  <c r="AQ131" i="4"/>
  <c r="AP131" i="4"/>
  <c r="AT130" i="4"/>
  <c r="AS130" i="4"/>
  <c r="AR130" i="4"/>
  <c r="AQ130" i="4"/>
  <c r="AP130" i="4"/>
  <c r="AT129" i="4"/>
  <c r="AS129" i="4"/>
  <c r="AR129" i="4"/>
  <c r="AQ129" i="4"/>
  <c r="AP129" i="4"/>
  <c r="AT128" i="4"/>
  <c r="AS128" i="4"/>
  <c r="AR128" i="4"/>
  <c r="AQ128" i="4"/>
  <c r="AP128" i="4"/>
  <c r="AT127" i="4"/>
  <c r="AS127" i="4"/>
  <c r="AR127" i="4"/>
  <c r="AQ127" i="4"/>
  <c r="AP127" i="4"/>
  <c r="AT126" i="4"/>
  <c r="AS126" i="4"/>
  <c r="AR126" i="4"/>
  <c r="AQ126" i="4"/>
  <c r="AP126" i="4"/>
  <c r="AT125" i="4"/>
  <c r="AS125" i="4"/>
  <c r="AR125" i="4"/>
  <c r="AQ125" i="4"/>
  <c r="AP125" i="4"/>
  <c r="AT124" i="4"/>
  <c r="AS124" i="4"/>
  <c r="AR124" i="4"/>
  <c r="AQ124" i="4"/>
  <c r="AP124" i="4"/>
  <c r="AT123" i="4"/>
  <c r="AS123" i="4"/>
  <c r="AR123" i="4"/>
  <c r="AQ123" i="4"/>
  <c r="AP123" i="4"/>
  <c r="AT122" i="4"/>
  <c r="AS122" i="4"/>
  <c r="AR122" i="4"/>
  <c r="AQ122" i="4"/>
  <c r="AP122" i="4"/>
  <c r="AT121" i="4"/>
  <c r="AS121" i="4"/>
  <c r="AR121" i="4"/>
  <c r="AQ121" i="4"/>
  <c r="AP121" i="4"/>
  <c r="AT120" i="4"/>
  <c r="AS120" i="4"/>
  <c r="AR120" i="4"/>
  <c r="AQ120" i="4"/>
  <c r="AP120" i="4"/>
  <c r="AT119" i="4"/>
  <c r="AS119" i="4"/>
  <c r="AR119" i="4"/>
  <c r="AQ119" i="4"/>
  <c r="AP119" i="4"/>
  <c r="AT118" i="4"/>
  <c r="AS118" i="4"/>
  <c r="AR118" i="4"/>
  <c r="AQ118" i="4"/>
  <c r="AP118" i="4"/>
  <c r="AT117" i="4"/>
  <c r="AS117" i="4"/>
  <c r="AR117" i="4"/>
  <c r="AQ117" i="4"/>
  <c r="AP117" i="4"/>
  <c r="AT116" i="4"/>
  <c r="AS116" i="4"/>
  <c r="AR116" i="4"/>
  <c r="AQ116" i="4"/>
  <c r="AP116" i="4"/>
  <c r="AT115" i="4"/>
  <c r="AS115" i="4"/>
  <c r="AR115" i="4"/>
  <c r="AQ115" i="4"/>
  <c r="AP115" i="4"/>
  <c r="AT114" i="4"/>
  <c r="AS114" i="4"/>
  <c r="AR114" i="4"/>
  <c r="AQ114" i="4"/>
  <c r="AP114" i="4"/>
  <c r="AT113" i="4"/>
  <c r="AS113" i="4"/>
  <c r="AR113" i="4"/>
  <c r="AQ113" i="4"/>
  <c r="AP113" i="4"/>
  <c r="AT112" i="4"/>
  <c r="AS112" i="4"/>
  <c r="AR112" i="4"/>
  <c r="AQ112" i="4"/>
  <c r="AP112" i="4"/>
  <c r="AT111" i="4"/>
  <c r="AS111" i="4"/>
  <c r="AR111" i="4"/>
  <c r="AQ111" i="4"/>
  <c r="AP111" i="4"/>
  <c r="AT110" i="4"/>
  <c r="AS110" i="4"/>
  <c r="AR110" i="4"/>
  <c r="AQ110" i="4"/>
  <c r="AP110" i="4"/>
  <c r="AT109" i="4"/>
  <c r="AS109" i="4"/>
  <c r="AR109" i="4"/>
  <c r="AQ109" i="4"/>
  <c r="AP109" i="4"/>
  <c r="AT108" i="4"/>
  <c r="AS108" i="4"/>
  <c r="AR108" i="4"/>
  <c r="AQ108" i="4"/>
  <c r="AP108" i="4"/>
  <c r="AT107" i="4"/>
  <c r="AS107" i="4"/>
  <c r="AR107" i="4"/>
  <c r="AQ107" i="4"/>
  <c r="AP107" i="4"/>
  <c r="AT106" i="4"/>
  <c r="AS106" i="4"/>
  <c r="AR106" i="4"/>
  <c r="AQ106" i="4"/>
  <c r="AP106" i="4"/>
  <c r="AT105" i="4"/>
  <c r="AS105" i="4"/>
  <c r="AR105" i="4"/>
  <c r="AQ105" i="4"/>
  <c r="AP105" i="4"/>
  <c r="AT104" i="4"/>
  <c r="AS104" i="4"/>
  <c r="AR104" i="4"/>
  <c r="AQ104" i="4"/>
  <c r="AP104" i="4"/>
  <c r="AT103" i="4"/>
  <c r="AS103" i="4"/>
  <c r="AR103" i="4"/>
  <c r="AQ103" i="4"/>
  <c r="AP103" i="4"/>
  <c r="AT102" i="4"/>
  <c r="AS102" i="4"/>
  <c r="AR102" i="4"/>
  <c r="AQ102" i="4"/>
  <c r="AP102" i="4"/>
  <c r="AT101" i="4"/>
  <c r="AS101" i="4"/>
  <c r="AR101" i="4"/>
  <c r="AQ101" i="4"/>
  <c r="AP101" i="4"/>
  <c r="AT100" i="4"/>
  <c r="AS100" i="4"/>
  <c r="AR100" i="4"/>
  <c r="AQ100" i="4"/>
  <c r="AP100" i="4"/>
  <c r="AT99" i="4"/>
  <c r="AS99" i="4"/>
  <c r="AR99" i="4"/>
  <c r="AQ99" i="4"/>
  <c r="AP99" i="4"/>
  <c r="AT98" i="4"/>
  <c r="AS98" i="4"/>
  <c r="AR98" i="4"/>
  <c r="AQ98" i="4"/>
  <c r="AP98" i="4"/>
  <c r="AT97" i="4"/>
  <c r="AS97" i="4"/>
  <c r="AR97" i="4"/>
  <c r="AQ97" i="4"/>
  <c r="AP97" i="4"/>
  <c r="AT96" i="4"/>
  <c r="AS96" i="4"/>
  <c r="AR96" i="4"/>
  <c r="AQ96" i="4"/>
  <c r="AP96" i="4"/>
  <c r="AT95" i="4"/>
  <c r="AS95" i="4"/>
  <c r="AR95" i="4"/>
  <c r="AQ95" i="4"/>
  <c r="AP95" i="4"/>
  <c r="AT94" i="4"/>
  <c r="AS94" i="4"/>
  <c r="AR94" i="4"/>
  <c r="AQ94" i="4"/>
  <c r="AP94" i="4"/>
  <c r="AT93" i="4"/>
  <c r="AS93" i="4"/>
  <c r="AR93" i="4"/>
  <c r="AQ93" i="4"/>
  <c r="AP93" i="4"/>
  <c r="AT92" i="4"/>
  <c r="AS92" i="4"/>
  <c r="AR92" i="4"/>
  <c r="AQ92" i="4"/>
  <c r="AP92" i="4"/>
  <c r="AT91" i="4"/>
  <c r="AS91" i="4"/>
  <c r="AR91" i="4"/>
  <c r="AQ91" i="4"/>
  <c r="AP91" i="4"/>
  <c r="AT90" i="4"/>
  <c r="AS90" i="4"/>
  <c r="AR90" i="4"/>
  <c r="AQ90" i="4"/>
  <c r="AP90" i="4"/>
  <c r="AT89" i="4"/>
  <c r="AS89" i="4"/>
  <c r="AR89" i="4"/>
  <c r="AQ89" i="4"/>
  <c r="AP89" i="4"/>
  <c r="AT88" i="4"/>
  <c r="AS88" i="4"/>
  <c r="AR88" i="4"/>
  <c r="AQ88" i="4"/>
  <c r="AP88" i="4"/>
  <c r="AT87" i="4"/>
  <c r="AS87" i="4"/>
  <c r="AR87" i="4"/>
  <c r="AQ87" i="4"/>
  <c r="AP87" i="4"/>
  <c r="AT86" i="4"/>
  <c r="AS86" i="4"/>
  <c r="AR86" i="4"/>
  <c r="AQ86" i="4"/>
  <c r="AP86" i="4"/>
  <c r="AT85" i="4"/>
  <c r="AS85" i="4"/>
  <c r="AR85" i="4"/>
  <c r="AQ85" i="4"/>
  <c r="AP85" i="4"/>
  <c r="AT84" i="4"/>
  <c r="AS84" i="4"/>
  <c r="AR84" i="4"/>
  <c r="AQ84" i="4"/>
  <c r="AP84" i="4"/>
  <c r="AT83" i="4"/>
  <c r="AS83" i="4"/>
  <c r="AR83" i="4"/>
  <c r="AQ83" i="4"/>
  <c r="AP83" i="4"/>
  <c r="AT82" i="4"/>
  <c r="AS82" i="4"/>
  <c r="AR82" i="4"/>
  <c r="AQ82" i="4"/>
  <c r="AP82" i="4"/>
  <c r="AT81" i="4"/>
  <c r="AS81" i="4"/>
  <c r="AR81" i="4"/>
  <c r="AQ81" i="4"/>
  <c r="AP81" i="4"/>
  <c r="AT80" i="4"/>
  <c r="AS80" i="4"/>
  <c r="AR80" i="4"/>
  <c r="AQ80" i="4"/>
  <c r="AP80" i="4"/>
  <c r="AT79" i="4"/>
  <c r="AS79" i="4"/>
  <c r="AR79" i="4"/>
  <c r="AQ79" i="4"/>
  <c r="AP79" i="4"/>
  <c r="AT78" i="4"/>
  <c r="AS78" i="4"/>
  <c r="AR78" i="4"/>
  <c r="AQ78" i="4"/>
  <c r="AP78" i="4"/>
  <c r="AT77" i="4"/>
  <c r="AS77" i="4"/>
  <c r="AR77" i="4"/>
  <c r="AQ77" i="4"/>
  <c r="AP77" i="4"/>
  <c r="AT76" i="4"/>
  <c r="AS76" i="4"/>
  <c r="AR76" i="4"/>
  <c r="AQ76" i="4"/>
  <c r="AP76" i="4"/>
  <c r="AT75" i="4"/>
  <c r="AS75" i="4"/>
  <c r="AR75" i="4"/>
  <c r="AQ75" i="4"/>
  <c r="AP75" i="4"/>
  <c r="AT74" i="4"/>
  <c r="AS74" i="4"/>
  <c r="AR74" i="4"/>
  <c r="AQ74" i="4"/>
  <c r="AP74" i="4"/>
  <c r="AT73" i="4"/>
  <c r="AS73" i="4"/>
  <c r="AR73" i="4"/>
  <c r="AQ73" i="4"/>
  <c r="AP73" i="4"/>
  <c r="AT72" i="4"/>
  <c r="AS72" i="4"/>
  <c r="AR72" i="4"/>
  <c r="AQ72" i="4"/>
  <c r="AP72" i="4"/>
  <c r="AT71" i="4"/>
  <c r="AS71" i="4"/>
  <c r="AR71" i="4"/>
  <c r="AQ71" i="4"/>
  <c r="AP71" i="4"/>
  <c r="AT70" i="4"/>
  <c r="AS70" i="4"/>
  <c r="AR70" i="4"/>
  <c r="AQ70" i="4"/>
  <c r="AP70" i="4"/>
  <c r="AT69" i="4"/>
  <c r="AS69" i="4"/>
  <c r="AR69" i="4"/>
  <c r="AQ69" i="4"/>
  <c r="AP69" i="4"/>
  <c r="AT68" i="4"/>
  <c r="AS68" i="4"/>
  <c r="AR68" i="4"/>
  <c r="AQ68" i="4"/>
  <c r="AP68" i="4"/>
  <c r="AT67" i="4"/>
  <c r="AS67" i="4"/>
  <c r="AR67" i="4"/>
  <c r="AQ67" i="4"/>
  <c r="AP67" i="4"/>
  <c r="AT66" i="4"/>
  <c r="AS66" i="4"/>
  <c r="AR66" i="4"/>
  <c r="AQ66" i="4"/>
  <c r="AP66" i="4"/>
  <c r="AT65" i="4"/>
  <c r="AS65" i="4"/>
  <c r="AR65" i="4"/>
  <c r="AQ65" i="4"/>
  <c r="AP65" i="4"/>
  <c r="AT64" i="4"/>
  <c r="AS64" i="4"/>
  <c r="AR64" i="4"/>
  <c r="AQ64" i="4"/>
  <c r="AP64" i="4"/>
  <c r="AT63" i="4"/>
  <c r="AS63" i="4"/>
  <c r="AR63" i="4"/>
  <c r="AQ63" i="4"/>
  <c r="AP63" i="4"/>
  <c r="AT62" i="4"/>
  <c r="AS62" i="4"/>
  <c r="AR62" i="4"/>
  <c r="AQ62" i="4"/>
  <c r="AP62" i="4"/>
  <c r="AT61" i="4"/>
  <c r="AS61" i="4"/>
  <c r="AR61" i="4"/>
  <c r="AQ61" i="4"/>
  <c r="AP61" i="4"/>
  <c r="AT60" i="4"/>
  <c r="AS60" i="4"/>
  <c r="AR60" i="4"/>
  <c r="AQ60" i="4"/>
  <c r="AP60" i="4"/>
  <c r="AT59" i="4"/>
  <c r="AS59" i="4"/>
  <c r="AR59" i="4"/>
  <c r="AQ59" i="4"/>
  <c r="AP59" i="4"/>
  <c r="AT58" i="4"/>
  <c r="AS58" i="4"/>
  <c r="AR58" i="4"/>
  <c r="AQ58" i="4"/>
  <c r="AP58" i="4"/>
  <c r="AT57" i="4"/>
  <c r="AS57" i="4"/>
  <c r="AR57" i="4"/>
  <c r="AQ57" i="4"/>
  <c r="AP57" i="4"/>
  <c r="AT56" i="4"/>
  <c r="AS56" i="4"/>
  <c r="AR56" i="4"/>
  <c r="AQ56" i="4"/>
  <c r="AP56" i="4"/>
  <c r="AT55" i="4"/>
  <c r="AS55" i="4"/>
  <c r="AR55" i="4"/>
  <c r="AQ55" i="4"/>
  <c r="AP55" i="4"/>
  <c r="AT54" i="4"/>
  <c r="AS54" i="4"/>
  <c r="AR54" i="4"/>
  <c r="AQ54" i="4"/>
  <c r="AP54" i="4"/>
  <c r="AT53" i="4"/>
  <c r="AS53" i="4"/>
  <c r="AR53" i="4"/>
  <c r="AQ53" i="4"/>
  <c r="AP53" i="4"/>
  <c r="AT52" i="4"/>
  <c r="AS52" i="4"/>
  <c r="AR52" i="4"/>
  <c r="AQ52" i="4"/>
  <c r="AP52" i="4"/>
  <c r="AT51" i="4"/>
  <c r="AS51" i="4"/>
  <c r="AR51" i="4"/>
  <c r="AQ51" i="4"/>
  <c r="AP51" i="4"/>
  <c r="AT50" i="4"/>
  <c r="AS50" i="4"/>
  <c r="AR50" i="4"/>
  <c r="AQ50" i="4"/>
  <c r="AP50" i="4"/>
  <c r="AT49" i="4"/>
  <c r="AS49" i="4"/>
  <c r="AR49" i="4"/>
  <c r="AQ49" i="4"/>
  <c r="AP49" i="4"/>
  <c r="AT48" i="4"/>
  <c r="AS48" i="4"/>
  <c r="AR48" i="4"/>
  <c r="AQ48" i="4"/>
  <c r="AP48" i="4"/>
  <c r="AT47" i="4"/>
  <c r="AS47" i="4"/>
  <c r="AR47" i="4"/>
  <c r="AQ47" i="4"/>
  <c r="AP47" i="4"/>
  <c r="AT46" i="4"/>
  <c r="AS46" i="4"/>
  <c r="AR46" i="4"/>
  <c r="AQ46" i="4"/>
  <c r="AP46" i="4"/>
  <c r="AT45" i="4"/>
  <c r="AS45" i="4"/>
  <c r="AR45" i="4"/>
  <c r="AQ45" i="4"/>
  <c r="AP45" i="4"/>
  <c r="AT44" i="4"/>
  <c r="AS44" i="4"/>
  <c r="AR44" i="4"/>
  <c r="AQ44" i="4"/>
  <c r="AP44" i="4"/>
  <c r="AT43" i="4"/>
  <c r="AS43" i="4"/>
  <c r="AR43" i="4"/>
  <c r="AQ43" i="4"/>
  <c r="AP43" i="4"/>
  <c r="AT42" i="4"/>
  <c r="AS42" i="4"/>
  <c r="AR42" i="4"/>
  <c r="AQ42" i="4"/>
  <c r="AP42" i="4"/>
  <c r="AT41" i="4"/>
  <c r="AS41" i="4"/>
  <c r="AR41" i="4"/>
  <c r="AQ41" i="4"/>
  <c r="AP41" i="4"/>
  <c r="AT40" i="4"/>
  <c r="AS40" i="4"/>
  <c r="AR40" i="4"/>
  <c r="AQ40" i="4"/>
  <c r="AP40" i="4"/>
  <c r="AT39" i="4"/>
  <c r="AS39" i="4"/>
  <c r="AR39" i="4"/>
  <c r="AQ39" i="4"/>
  <c r="AP39" i="4"/>
  <c r="AT38" i="4"/>
  <c r="AS38" i="4"/>
  <c r="AR38" i="4"/>
  <c r="AQ38" i="4"/>
  <c r="AP38" i="4"/>
  <c r="AT37" i="4"/>
  <c r="AS37" i="4"/>
  <c r="AR37" i="4"/>
  <c r="AQ37" i="4"/>
  <c r="AP37" i="4"/>
  <c r="AT36" i="4"/>
  <c r="AS36" i="4"/>
  <c r="AR36" i="4"/>
  <c r="AQ36" i="4"/>
  <c r="AP36" i="4"/>
  <c r="AT35" i="4"/>
  <c r="AS35" i="4"/>
  <c r="AR35" i="4"/>
  <c r="AQ35" i="4"/>
  <c r="AP35" i="4"/>
  <c r="AT34" i="4"/>
  <c r="AS34" i="4"/>
  <c r="AR34" i="4"/>
  <c r="AQ34" i="4"/>
  <c r="AP34" i="4"/>
  <c r="AT33" i="4"/>
  <c r="AS33" i="4"/>
  <c r="AR33" i="4"/>
  <c r="AQ33" i="4"/>
  <c r="AP33" i="4"/>
  <c r="AT32" i="4"/>
  <c r="AS32" i="4"/>
  <c r="AR32" i="4"/>
  <c r="AQ32" i="4"/>
  <c r="AP32" i="4"/>
  <c r="AT31" i="4"/>
  <c r="AS31" i="4"/>
  <c r="AR31" i="4"/>
  <c r="AQ31" i="4"/>
  <c r="AP31" i="4"/>
  <c r="AT30" i="4"/>
  <c r="AS30" i="4"/>
  <c r="AR30" i="4"/>
  <c r="AQ30" i="4"/>
  <c r="AP30" i="4"/>
  <c r="AT29" i="4"/>
  <c r="AS29" i="4"/>
  <c r="AR29" i="4"/>
  <c r="AQ29" i="4"/>
  <c r="AP29" i="4"/>
  <c r="AT28" i="4"/>
  <c r="AS28" i="4"/>
  <c r="AR28" i="4"/>
  <c r="AQ28" i="4"/>
  <c r="AP28" i="4"/>
  <c r="AT27" i="4"/>
  <c r="AS27" i="4"/>
  <c r="AR27" i="4"/>
  <c r="AQ27" i="4"/>
  <c r="AP27" i="4"/>
  <c r="AT26" i="4"/>
  <c r="AS26" i="4"/>
  <c r="AR26" i="4"/>
  <c r="AQ26" i="4"/>
  <c r="AP26" i="4"/>
  <c r="AT25" i="4"/>
  <c r="AS25" i="4"/>
  <c r="AR25" i="4"/>
  <c r="AQ25" i="4"/>
  <c r="AP25" i="4"/>
  <c r="AT24" i="4"/>
  <c r="AS24" i="4"/>
  <c r="AR24" i="4"/>
  <c r="AQ24" i="4"/>
  <c r="AP24" i="4"/>
  <c r="AT23" i="4"/>
  <c r="AS23" i="4"/>
  <c r="AR23" i="4"/>
  <c r="AQ23" i="4"/>
  <c r="AP23" i="4"/>
  <c r="AT22" i="4"/>
  <c r="AS22" i="4"/>
  <c r="AR22" i="4"/>
  <c r="AQ22" i="4"/>
  <c r="AP22" i="4"/>
  <c r="AT21" i="4"/>
  <c r="AS21" i="4"/>
  <c r="AR21" i="4"/>
  <c r="AQ21" i="4"/>
  <c r="AP21" i="4"/>
  <c r="AT20" i="4"/>
  <c r="AS20" i="4"/>
  <c r="AR20" i="4"/>
  <c r="AQ20" i="4"/>
  <c r="AP20" i="4"/>
  <c r="AT19" i="4"/>
  <c r="AS19" i="4"/>
  <c r="AR19" i="4"/>
  <c r="AQ19" i="4"/>
  <c r="AP19" i="4"/>
  <c r="AT18" i="4"/>
  <c r="AS18" i="4"/>
  <c r="AR18" i="4"/>
  <c r="AQ18" i="4"/>
  <c r="AP18" i="4"/>
  <c r="AT17" i="4"/>
  <c r="AS17" i="4"/>
  <c r="AR17" i="4"/>
  <c r="AQ17" i="4"/>
  <c r="AP17" i="4"/>
  <c r="AT16" i="4"/>
  <c r="AS16" i="4"/>
  <c r="AR16" i="4"/>
  <c r="AQ16" i="4"/>
  <c r="AP16" i="4"/>
  <c r="AT15" i="4"/>
  <c r="AS15" i="4"/>
  <c r="AR15" i="4"/>
  <c r="AQ15" i="4"/>
  <c r="AP15" i="4"/>
  <c r="AT14" i="4"/>
  <c r="AS14" i="4"/>
  <c r="AR14" i="4"/>
  <c r="AQ14" i="4"/>
  <c r="AP14" i="4"/>
  <c r="AT13" i="4"/>
  <c r="AS13" i="4"/>
  <c r="AR13" i="4"/>
  <c r="AQ13" i="4"/>
  <c r="AP13" i="4"/>
  <c r="AT12" i="4"/>
  <c r="AS12" i="4"/>
  <c r="AR12" i="4"/>
  <c r="AQ12" i="4"/>
  <c r="AP12" i="4"/>
  <c r="AT11" i="4"/>
  <c r="AS11" i="4"/>
  <c r="AR11" i="4"/>
  <c r="AQ11" i="4"/>
  <c r="AP11" i="4"/>
  <c r="AT10" i="4"/>
  <c r="AS10" i="4"/>
  <c r="AR10" i="4"/>
  <c r="AQ10" i="4"/>
  <c r="AP10" i="4"/>
  <c r="AT9" i="4"/>
  <c r="AS9" i="4"/>
  <c r="AR9" i="4"/>
  <c r="AQ9" i="4"/>
  <c r="AP9" i="4"/>
  <c r="AT8" i="4"/>
  <c r="AS8" i="4"/>
  <c r="AR8" i="4"/>
  <c r="AQ8" i="4"/>
  <c r="AP8" i="4"/>
  <c r="AT7" i="4"/>
  <c r="AS7" i="4"/>
  <c r="AR7" i="4"/>
  <c r="AQ7" i="4"/>
  <c r="AP7" i="4"/>
  <c r="AT6" i="4" l="1"/>
  <c r="AS6" i="4"/>
  <c r="AR6" i="4"/>
  <c r="AQ6" i="4"/>
  <c r="AP6" i="4"/>
  <c r="T2" i="1" l="1"/>
  <c r="R40" i="1" l="1"/>
  <c r="D156" i="4"/>
  <c r="D155" i="4"/>
  <c r="D151" i="4"/>
  <c r="D147" i="4"/>
  <c r="D143" i="4"/>
  <c r="D139" i="4"/>
  <c r="D135" i="4"/>
  <c r="D131" i="4"/>
  <c r="D127" i="4"/>
  <c r="D123" i="4"/>
  <c r="D119" i="4"/>
  <c r="D115" i="4"/>
  <c r="D111" i="4"/>
  <c r="D107" i="4"/>
  <c r="D103" i="4"/>
  <c r="D95" i="4"/>
  <c r="D87" i="4"/>
  <c r="D79" i="4"/>
  <c r="D67" i="4"/>
  <c r="D59" i="4"/>
  <c r="D47" i="4"/>
  <c r="D35" i="4"/>
  <c r="D154" i="4"/>
  <c r="D153" i="4"/>
  <c r="D149" i="4"/>
  <c r="D145" i="4"/>
  <c r="D141" i="4"/>
  <c r="D137" i="4"/>
  <c r="D133" i="4"/>
  <c r="D129" i="4"/>
  <c r="D125" i="4"/>
  <c r="D121" i="4"/>
  <c r="D117" i="4"/>
  <c r="D113" i="4"/>
  <c r="D109" i="4"/>
  <c r="D105" i="4"/>
  <c r="D101" i="4"/>
  <c r="D97" i="4"/>
  <c r="D93" i="4"/>
  <c r="D89" i="4"/>
  <c r="D85" i="4"/>
  <c r="D81" i="4"/>
  <c r="D77" i="4"/>
  <c r="D73" i="4"/>
  <c r="D69" i="4"/>
  <c r="D65" i="4"/>
  <c r="D61" i="4"/>
  <c r="D57" i="4"/>
  <c r="D53" i="4"/>
  <c r="D49" i="4"/>
  <c r="D45" i="4"/>
  <c r="D41" i="4"/>
  <c r="D37" i="4"/>
  <c r="D33" i="4"/>
  <c r="D29" i="4"/>
  <c r="D25" i="4"/>
  <c r="D21" i="4"/>
  <c r="D17" i="4"/>
  <c r="D13" i="4"/>
  <c r="D9" i="4"/>
  <c r="D152" i="4"/>
  <c r="D148" i="4"/>
  <c r="D144" i="4"/>
  <c r="D140" i="4"/>
  <c r="D136" i="4"/>
  <c r="D132" i="4"/>
  <c r="D128" i="4"/>
  <c r="D124" i="4"/>
  <c r="D120" i="4"/>
  <c r="D116" i="4"/>
  <c r="D112" i="4"/>
  <c r="D108" i="4"/>
  <c r="D104" i="4"/>
  <c r="D100" i="4"/>
  <c r="D96" i="4"/>
  <c r="D92" i="4"/>
  <c r="D88" i="4"/>
  <c r="D84" i="4"/>
  <c r="D80" i="4"/>
  <c r="D76" i="4"/>
  <c r="D72" i="4"/>
  <c r="D68" i="4"/>
  <c r="D64" i="4"/>
  <c r="D60" i="4"/>
  <c r="D56" i="4"/>
  <c r="D52" i="4"/>
  <c r="D48" i="4"/>
  <c r="D44" i="4"/>
  <c r="D40" i="4"/>
  <c r="D36" i="4"/>
  <c r="D32" i="4"/>
  <c r="D28" i="4"/>
  <c r="D24" i="4"/>
  <c r="D20" i="4"/>
  <c r="D16" i="4"/>
  <c r="D12" i="4"/>
  <c r="D8" i="4"/>
  <c r="D99" i="4"/>
  <c r="D91" i="4"/>
  <c r="D83" i="4"/>
  <c r="D75" i="4"/>
  <c r="D71" i="4"/>
  <c r="D63" i="4"/>
  <c r="D55" i="4"/>
  <c r="D51" i="4"/>
  <c r="D43" i="4"/>
  <c r="D39" i="4"/>
  <c r="D31" i="4"/>
  <c r="D150" i="4"/>
  <c r="D134" i="4"/>
  <c r="D118" i="4"/>
  <c r="D102" i="4"/>
  <c r="D86" i="4"/>
  <c r="D70" i="4"/>
  <c r="D54" i="4"/>
  <c r="D38" i="4"/>
  <c r="D26" i="4"/>
  <c r="D18" i="4"/>
  <c r="D10" i="4"/>
  <c r="D146" i="4"/>
  <c r="D130" i="4"/>
  <c r="D114" i="4"/>
  <c r="D98" i="4"/>
  <c r="D82" i="4"/>
  <c r="D66" i="4"/>
  <c r="D50" i="4"/>
  <c r="D34" i="4"/>
  <c r="D23" i="4"/>
  <c r="D15" i="4"/>
  <c r="D7" i="4"/>
  <c r="D142" i="4"/>
  <c r="D126" i="4"/>
  <c r="D110" i="4"/>
  <c r="D94" i="4"/>
  <c r="D78" i="4"/>
  <c r="D62" i="4"/>
  <c r="D46" i="4"/>
  <c r="D30" i="4"/>
  <c r="D22" i="4"/>
  <c r="D14" i="4"/>
  <c r="D6" i="4"/>
  <c r="D138" i="4"/>
  <c r="D122" i="4"/>
  <c r="D106" i="4"/>
  <c r="D90" i="4"/>
  <c r="D74" i="4"/>
  <c r="D58" i="4"/>
  <c r="D42" i="4"/>
  <c r="D27" i="4"/>
  <c r="D19" i="4"/>
  <c r="D11" i="4"/>
  <c r="AL85" i="4"/>
  <c r="AK85" i="4"/>
  <c r="AM85" i="4" s="1"/>
  <c r="AL84" i="4"/>
  <c r="AK84" i="4"/>
  <c r="AL83" i="4"/>
  <c r="AK83" i="4"/>
  <c r="AL82" i="4"/>
  <c r="AK82" i="4"/>
  <c r="AL81" i="4"/>
  <c r="AK81" i="4"/>
  <c r="AL80" i="4"/>
  <c r="AK80" i="4"/>
  <c r="AL79" i="4"/>
  <c r="AK79" i="4"/>
  <c r="AL78" i="4"/>
  <c r="AK78" i="4"/>
  <c r="AL77" i="4"/>
  <c r="AK77" i="4"/>
  <c r="AL92" i="4"/>
  <c r="AK92" i="4"/>
  <c r="AL91" i="4"/>
  <c r="AK91" i="4"/>
  <c r="AM91" i="4" s="1"/>
  <c r="AL90" i="4"/>
  <c r="AK90" i="4"/>
  <c r="AL89" i="4"/>
  <c r="AK89" i="4"/>
  <c r="AM89" i="4" s="1"/>
  <c r="AL88" i="4"/>
  <c r="AK88" i="4"/>
  <c r="AL87" i="4"/>
  <c r="AK87" i="4"/>
  <c r="AM87" i="4" s="1"/>
  <c r="AL86" i="4"/>
  <c r="AK86" i="4"/>
  <c r="AL100" i="4"/>
  <c r="AK100" i="4"/>
  <c r="AM100" i="4" s="1"/>
  <c r="AL99" i="4"/>
  <c r="AK99" i="4"/>
  <c r="AL98" i="4"/>
  <c r="AK98" i="4"/>
  <c r="AM98" i="4" s="1"/>
  <c r="AL97" i="4"/>
  <c r="AK97" i="4"/>
  <c r="AL96" i="4"/>
  <c r="AK96" i="4"/>
  <c r="AL95" i="4"/>
  <c r="AK95" i="4"/>
  <c r="AL94" i="4"/>
  <c r="AK94" i="4"/>
  <c r="AL93" i="4"/>
  <c r="AK93" i="4"/>
  <c r="AL119" i="4"/>
  <c r="AK119" i="4"/>
  <c r="AL118" i="4"/>
  <c r="AK118" i="4"/>
  <c r="AL117" i="4"/>
  <c r="AK117" i="4"/>
  <c r="AM117" i="4" s="1"/>
  <c r="AL116" i="4"/>
  <c r="AK116" i="4"/>
  <c r="AL115" i="4"/>
  <c r="AK115" i="4"/>
  <c r="AL114" i="4"/>
  <c r="AK114" i="4"/>
  <c r="AL113" i="4"/>
  <c r="AK113" i="4"/>
  <c r="AM113" i="4" s="1"/>
  <c r="AL112" i="4"/>
  <c r="AK112" i="4"/>
  <c r="AL111" i="4"/>
  <c r="AK111" i="4"/>
  <c r="AM111" i="4" s="1"/>
  <c r="AL110" i="4"/>
  <c r="AK110" i="4"/>
  <c r="AL109" i="4"/>
  <c r="AK109" i="4"/>
  <c r="AL108" i="4"/>
  <c r="AK108" i="4"/>
  <c r="AL107" i="4"/>
  <c r="AK107" i="4"/>
  <c r="AL106" i="4"/>
  <c r="AK106" i="4"/>
  <c r="AL105" i="4"/>
  <c r="AK105" i="4"/>
  <c r="AL104" i="4"/>
  <c r="AK104" i="4"/>
  <c r="AL103" i="4"/>
  <c r="AK103" i="4"/>
  <c r="AL102" i="4"/>
  <c r="AK102" i="4"/>
  <c r="AL101" i="4"/>
  <c r="AK101" i="4"/>
  <c r="AM101" i="4" s="1"/>
  <c r="AL156" i="4"/>
  <c r="AK156" i="4"/>
  <c r="AL152" i="4"/>
  <c r="AK152" i="4"/>
  <c r="AM152" i="4" s="1"/>
  <c r="AL122" i="4"/>
  <c r="AK122" i="4"/>
  <c r="AL121" i="4"/>
  <c r="AK121" i="4"/>
  <c r="AM121" i="4" s="1"/>
  <c r="AL120" i="4"/>
  <c r="AK120" i="4"/>
  <c r="AL155" i="4"/>
  <c r="AK155" i="4"/>
  <c r="AM155" i="4" s="1"/>
  <c r="AL154" i="4"/>
  <c r="AK154" i="4"/>
  <c r="AL151" i="4"/>
  <c r="AK151" i="4"/>
  <c r="AM151" i="4" s="1"/>
  <c r="AL150" i="4"/>
  <c r="AK150" i="4"/>
  <c r="AL149" i="4"/>
  <c r="AK149" i="4"/>
  <c r="AL148" i="4"/>
  <c r="AK148" i="4"/>
  <c r="AL147" i="4"/>
  <c r="AK147" i="4"/>
  <c r="AL146" i="4"/>
  <c r="AK146" i="4"/>
  <c r="AL145" i="4"/>
  <c r="AK145" i="4"/>
  <c r="AL153" i="4"/>
  <c r="AK153" i="4"/>
  <c r="AL142" i="4"/>
  <c r="AK142" i="4"/>
  <c r="AM142" i="4" s="1"/>
  <c r="AL141" i="4"/>
  <c r="AK141" i="4"/>
  <c r="AL140" i="4"/>
  <c r="AK140" i="4"/>
  <c r="AL139" i="4"/>
  <c r="AK139" i="4"/>
  <c r="AL138" i="4"/>
  <c r="AK138" i="4"/>
  <c r="AL137" i="4"/>
  <c r="AK137" i="4"/>
  <c r="AL136" i="4"/>
  <c r="AK136" i="4"/>
  <c r="AL144" i="4"/>
  <c r="AK144" i="4"/>
  <c r="AL143" i="4"/>
  <c r="AK143" i="4"/>
  <c r="AL135" i="4"/>
  <c r="AK135" i="4"/>
  <c r="AL134" i="4"/>
  <c r="AK134" i="4"/>
  <c r="AL133" i="4"/>
  <c r="AK133" i="4"/>
  <c r="AL132" i="4"/>
  <c r="AK132" i="4"/>
  <c r="AL131" i="4"/>
  <c r="AK131" i="4"/>
  <c r="AL130" i="4"/>
  <c r="AK130" i="4"/>
  <c r="AL129" i="4"/>
  <c r="AK129" i="4"/>
  <c r="AL128" i="4"/>
  <c r="AK128" i="4"/>
  <c r="AL127" i="4"/>
  <c r="AK127" i="4"/>
  <c r="AL126" i="4"/>
  <c r="AK126" i="4"/>
  <c r="AL125" i="4"/>
  <c r="AK125" i="4"/>
  <c r="AL124" i="4"/>
  <c r="AK124" i="4"/>
  <c r="AL123" i="4"/>
  <c r="AK123" i="4"/>
  <c r="AL36" i="4"/>
  <c r="AK36" i="4"/>
  <c r="AL35" i="4"/>
  <c r="AK35" i="4"/>
  <c r="AL34" i="4"/>
  <c r="AK34" i="4"/>
  <c r="AL33" i="4"/>
  <c r="AK33" i="4"/>
  <c r="AL32" i="4"/>
  <c r="AK32" i="4"/>
  <c r="AL31" i="4"/>
  <c r="AK31" i="4"/>
  <c r="AL30" i="4"/>
  <c r="AK30" i="4"/>
  <c r="AL29" i="4"/>
  <c r="AK29" i="4"/>
  <c r="AL76" i="4"/>
  <c r="AK76" i="4"/>
  <c r="AL75" i="4"/>
  <c r="AK75" i="4"/>
  <c r="AL74" i="4"/>
  <c r="AK74" i="4"/>
  <c r="AL73" i="4"/>
  <c r="AK73" i="4"/>
  <c r="AL72" i="4"/>
  <c r="AK72" i="4"/>
  <c r="AL47" i="4"/>
  <c r="AK47" i="4"/>
  <c r="AL46" i="4"/>
  <c r="AK46" i="4"/>
  <c r="AL45" i="4"/>
  <c r="AK45" i="4"/>
  <c r="AL52" i="4"/>
  <c r="AK52" i="4"/>
  <c r="AL51" i="4"/>
  <c r="AK51" i="4"/>
  <c r="AL50" i="4"/>
  <c r="AK50" i="4"/>
  <c r="AL49" i="4"/>
  <c r="AK49" i="4"/>
  <c r="AL48" i="4"/>
  <c r="AK48" i="4"/>
  <c r="AL44" i="4"/>
  <c r="AK44" i="4"/>
  <c r="AL43" i="4"/>
  <c r="AK43" i="4"/>
  <c r="AL42" i="4"/>
  <c r="AK42" i="4"/>
  <c r="AL41" i="4"/>
  <c r="AK41" i="4"/>
  <c r="AL40" i="4"/>
  <c r="AK40" i="4"/>
  <c r="AL39" i="4"/>
  <c r="AK39" i="4"/>
  <c r="AL38" i="4"/>
  <c r="AK38" i="4"/>
  <c r="AL37" i="4"/>
  <c r="AK37" i="4"/>
  <c r="AL28" i="4"/>
  <c r="AK28" i="4"/>
  <c r="AL27" i="4"/>
  <c r="AK27" i="4"/>
  <c r="AL26" i="4"/>
  <c r="AK26" i="4"/>
  <c r="AL25" i="4"/>
  <c r="AK25" i="4"/>
  <c r="AL15" i="4"/>
  <c r="AK15" i="4"/>
  <c r="AL14" i="4"/>
  <c r="AK14" i="4"/>
  <c r="AL13" i="4"/>
  <c r="AK13" i="4"/>
  <c r="AL12" i="4"/>
  <c r="AK12" i="4"/>
  <c r="AL24" i="4"/>
  <c r="AK24" i="4"/>
  <c r="AL23" i="4"/>
  <c r="AK23" i="4"/>
  <c r="AL11" i="4"/>
  <c r="AK11" i="4"/>
  <c r="AL22" i="4"/>
  <c r="AK22" i="4"/>
  <c r="AL21" i="4"/>
  <c r="AK21" i="4"/>
  <c r="AL20" i="4"/>
  <c r="AK20" i="4"/>
  <c r="AL19" i="4"/>
  <c r="AK19" i="4"/>
  <c r="AL18" i="4"/>
  <c r="AK18" i="4"/>
  <c r="AL17" i="4"/>
  <c r="AK17" i="4"/>
  <c r="AL16" i="4"/>
  <c r="AK16" i="4"/>
  <c r="AL10" i="4"/>
  <c r="AK10" i="4"/>
  <c r="AL9" i="4"/>
  <c r="AK9" i="4"/>
  <c r="AL8" i="4"/>
  <c r="AK8" i="4"/>
  <c r="AL7" i="4"/>
  <c r="AK7" i="4"/>
  <c r="AL6" i="4"/>
  <c r="AK6" i="4"/>
  <c r="AL71" i="4"/>
  <c r="AK71" i="4"/>
  <c r="AL70" i="4"/>
  <c r="AK70" i="4"/>
  <c r="AL69" i="4"/>
  <c r="AK69" i="4"/>
  <c r="AL68" i="4"/>
  <c r="AK68" i="4"/>
  <c r="AL67" i="4"/>
  <c r="AK67" i="4"/>
  <c r="AL66" i="4"/>
  <c r="AK66" i="4"/>
  <c r="AL65" i="4"/>
  <c r="AK65" i="4"/>
  <c r="AL64" i="4"/>
  <c r="AK64" i="4"/>
  <c r="AL63" i="4"/>
  <c r="AK63" i="4"/>
  <c r="AL62" i="4"/>
  <c r="AK62" i="4"/>
  <c r="AL61" i="4"/>
  <c r="AK61" i="4"/>
  <c r="AL60" i="4"/>
  <c r="AK60" i="4"/>
  <c r="AL59" i="4"/>
  <c r="AK59" i="4"/>
  <c r="AL58" i="4"/>
  <c r="AK58" i="4"/>
  <c r="AL57" i="4"/>
  <c r="AK57" i="4"/>
  <c r="AL56" i="4"/>
  <c r="AK56" i="4"/>
  <c r="AL55" i="4"/>
  <c r="AK55" i="4"/>
  <c r="AL54" i="4"/>
  <c r="AK54" i="4"/>
  <c r="AL53" i="4"/>
  <c r="AK53" i="4"/>
  <c r="V85" i="4"/>
  <c r="AU85" i="4" s="1"/>
  <c r="AV85" i="4" s="1"/>
  <c r="AX85" i="4" s="1"/>
  <c r="AW85" i="4" s="1"/>
  <c r="H85" i="4" s="1"/>
  <c r="U85" i="4"/>
  <c r="T85" i="4"/>
  <c r="V84" i="4"/>
  <c r="AU84" i="4" s="1"/>
  <c r="AV84" i="4" s="1"/>
  <c r="AX84" i="4" s="1"/>
  <c r="AW84" i="4" s="1"/>
  <c r="H84" i="4" s="1"/>
  <c r="U84" i="4"/>
  <c r="T84" i="4"/>
  <c r="V83" i="4"/>
  <c r="AU83" i="4" s="1"/>
  <c r="AV83" i="4" s="1"/>
  <c r="AX83" i="4" s="1"/>
  <c r="AW83" i="4" s="1"/>
  <c r="H83" i="4" s="1"/>
  <c r="U83" i="4"/>
  <c r="T83" i="4"/>
  <c r="V82" i="4"/>
  <c r="AU82" i="4" s="1"/>
  <c r="AV82" i="4" s="1"/>
  <c r="AX82" i="4" s="1"/>
  <c r="AW82" i="4" s="1"/>
  <c r="H82" i="4" s="1"/>
  <c r="U82" i="4"/>
  <c r="T82" i="4"/>
  <c r="V81" i="4"/>
  <c r="AU81" i="4" s="1"/>
  <c r="AV81" i="4" s="1"/>
  <c r="AX81" i="4" s="1"/>
  <c r="AW81" i="4" s="1"/>
  <c r="H81" i="4" s="1"/>
  <c r="U81" i="4"/>
  <c r="T81" i="4"/>
  <c r="V80" i="4"/>
  <c r="AU80" i="4" s="1"/>
  <c r="AV80" i="4" s="1"/>
  <c r="AX80" i="4" s="1"/>
  <c r="AW80" i="4" s="1"/>
  <c r="H80" i="4" s="1"/>
  <c r="U80" i="4"/>
  <c r="T80" i="4"/>
  <c r="V79" i="4"/>
  <c r="AU79" i="4" s="1"/>
  <c r="AV79" i="4" s="1"/>
  <c r="AX79" i="4" s="1"/>
  <c r="AW79" i="4" s="1"/>
  <c r="H79" i="4" s="1"/>
  <c r="U79" i="4"/>
  <c r="T79" i="4"/>
  <c r="V78" i="4"/>
  <c r="AU78" i="4" s="1"/>
  <c r="AV78" i="4" s="1"/>
  <c r="AX78" i="4" s="1"/>
  <c r="AW78" i="4" s="1"/>
  <c r="H78" i="4" s="1"/>
  <c r="U78" i="4"/>
  <c r="T78" i="4"/>
  <c r="V77" i="4"/>
  <c r="AU77" i="4" s="1"/>
  <c r="AV77" i="4" s="1"/>
  <c r="AX77" i="4" s="1"/>
  <c r="AW77" i="4" s="1"/>
  <c r="H77" i="4" s="1"/>
  <c r="U77" i="4"/>
  <c r="T77" i="4"/>
  <c r="V92" i="4"/>
  <c r="AU92" i="4" s="1"/>
  <c r="AV92" i="4" s="1"/>
  <c r="AX92" i="4" s="1"/>
  <c r="AW92" i="4" s="1"/>
  <c r="H92" i="4" s="1"/>
  <c r="U92" i="4"/>
  <c r="T92" i="4"/>
  <c r="V91" i="4"/>
  <c r="AU91" i="4" s="1"/>
  <c r="AV91" i="4" s="1"/>
  <c r="AX91" i="4" s="1"/>
  <c r="AW91" i="4" s="1"/>
  <c r="H91" i="4" s="1"/>
  <c r="U91" i="4"/>
  <c r="T91" i="4"/>
  <c r="V90" i="4"/>
  <c r="AU90" i="4" s="1"/>
  <c r="AV90" i="4" s="1"/>
  <c r="AX90" i="4" s="1"/>
  <c r="AW90" i="4" s="1"/>
  <c r="H90" i="4" s="1"/>
  <c r="U90" i="4"/>
  <c r="T90" i="4"/>
  <c r="V89" i="4"/>
  <c r="AU89" i="4" s="1"/>
  <c r="AV89" i="4" s="1"/>
  <c r="AX89" i="4" s="1"/>
  <c r="AW89" i="4" s="1"/>
  <c r="H89" i="4" s="1"/>
  <c r="U89" i="4"/>
  <c r="T89" i="4"/>
  <c r="V88" i="4"/>
  <c r="AU88" i="4" s="1"/>
  <c r="AV88" i="4" s="1"/>
  <c r="AX88" i="4" s="1"/>
  <c r="AW88" i="4" s="1"/>
  <c r="H88" i="4" s="1"/>
  <c r="U88" i="4"/>
  <c r="T88" i="4"/>
  <c r="V87" i="4"/>
  <c r="AU87" i="4" s="1"/>
  <c r="AV87" i="4" s="1"/>
  <c r="AX87" i="4" s="1"/>
  <c r="AW87" i="4" s="1"/>
  <c r="H87" i="4" s="1"/>
  <c r="U87" i="4"/>
  <c r="T87" i="4"/>
  <c r="V86" i="4"/>
  <c r="AU86" i="4" s="1"/>
  <c r="AV86" i="4" s="1"/>
  <c r="AX86" i="4" s="1"/>
  <c r="AW86" i="4" s="1"/>
  <c r="H86" i="4" s="1"/>
  <c r="U86" i="4"/>
  <c r="T86" i="4"/>
  <c r="V100" i="4"/>
  <c r="AU100" i="4" s="1"/>
  <c r="AV100" i="4" s="1"/>
  <c r="AX100" i="4" s="1"/>
  <c r="AW100" i="4" s="1"/>
  <c r="H100" i="4" s="1"/>
  <c r="U100" i="4"/>
  <c r="T100" i="4"/>
  <c r="V99" i="4"/>
  <c r="AU99" i="4" s="1"/>
  <c r="AV99" i="4" s="1"/>
  <c r="AX99" i="4" s="1"/>
  <c r="AW99" i="4" s="1"/>
  <c r="H99" i="4" s="1"/>
  <c r="U99" i="4"/>
  <c r="T99" i="4"/>
  <c r="V98" i="4"/>
  <c r="AU98" i="4" s="1"/>
  <c r="AV98" i="4" s="1"/>
  <c r="AX98" i="4" s="1"/>
  <c r="AW98" i="4" s="1"/>
  <c r="H98" i="4" s="1"/>
  <c r="U98" i="4"/>
  <c r="T98" i="4"/>
  <c r="V97" i="4"/>
  <c r="AU97" i="4" s="1"/>
  <c r="AV97" i="4" s="1"/>
  <c r="AX97" i="4" s="1"/>
  <c r="AW97" i="4" s="1"/>
  <c r="H97" i="4" s="1"/>
  <c r="U97" i="4"/>
  <c r="T97" i="4"/>
  <c r="V96" i="4"/>
  <c r="AU96" i="4" s="1"/>
  <c r="AV96" i="4" s="1"/>
  <c r="AX96" i="4" s="1"/>
  <c r="AW96" i="4" s="1"/>
  <c r="H96" i="4" s="1"/>
  <c r="U96" i="4"/>
  <c r="T96" i="4"/>
  <c r="V95" i="4"/>
  <c r="AU95" i="4" s="1"/>
  <c r="AV95" i="4" s="1"/>
  <c r="AX95" i="4" s="1"/>
  <c r="AW95" i="4" s="1"/>
  <c r="H95" i="4" s="1"/>
  <c r="U95" i="4"/>
  <c r="T95" i="4"/>
  <c r="V94" i="4"/>
  <c r="AU94" i="4" s="1"/>
  <c r="AV94" i="4" s="1"/>
  <c r="AX94" i="4" s="1"/>
  <c r="AW94" i="4" s="1"/>
  <c r="H94" i="4" s="1"/>
  <c r="U94" i="4"/>
  <c r="T94" i="4"/>
  <c r="V93" i="4"/>
  <c r="AU93" i="4" s="1"/>
  <c r="AV93" i="4" s="1"/>
  <c r="AX93" i="4" s="1"/>
  <c r="AW93" i="4" s="1"/>
  <c r="H93" i="4" s="1"/>
  <c r="U93" i="4"/>
  <c r="T93" i="4"/>
  <c r="V119" i="4"/>
  <c r="AU119" i="4" s="1"/>
  <c r="AV119" i="4" s="1"/>
  <c r="AX119" i="4" s="1"/>
  <c r="AW119" i="4" s="1"/>
  <c r="H119" i="4" s="1"/>
  <c r="U119" i="4"/>
  <c r="T119" i="4"/>
  <c r="V118" i="4"/>
  <c r="AU118" i="4" s="1"/>
  <c r="AV118" i="4" s="1"/>
  <c r="AX118" i="4" s="1"/>
  <c r="AW118" i="4" s="1"/>
  <c r="H118" i="4" s="1"/>
  <c r="U118" i="4"/>
  <c r="T118" i="4"/>
  <c r="V117" i="4"/>
  <c r="AU117" i="4" s="1"/>
  <c r="AV117" i="4" s="1"/>
  <c r="AX117" i="4" s="1"/>
  <c r="AW117" i="4" s="1"/>
  <c r="H117" i="4" s="1"/>
  <c r="U117" i="4"/>
  <c r="T117" i="4"/>
  <c r="V116" i="4"/>
  <c r="AU116" i="4" s="1"/>
  <c r="AV116" i="4" s="1"/>
  <c r="AX116" i="4" s="1"/>
  <c r="AW116" i="4" s="1"/>
  <c r="H116" i="4" s="1"/>
  <c r="U116" i="4"/>
  <c r="T116" i="4"/>
  <c r="V115" i="4"/>
  <c r="AU115" i="4" s="1"/>
  <c r="AV115" i="4" s="1"/>
  <c r="AX115" i="4" s="1"/>
  <c r="AW115" i="4" s="1"/>
  <c r="H115" i="4" s="1"/>
  <c r="U115" i="4"/>
  <c r="T115" i="4"/>
  <c r="V114" i="4"/>
  <c r="AU114" i="4" s="1"/>
  <c r="AV114" i="4" s="1"/>
  <c r="AX114" i="4" s="1"/>
  <c r="AW114" i="4" s="1"/>
  <c r="H114" i="4" s="1"/>
  <c r="U114" i="4"/>
  <c r="T114" i="4"/>
  <c r="V113" i="4"/>
  <c r="AU113" i="4" s="1"/>
  <c r="AV113" i="4" s="1"/>
  <c r="AX113" i="4" s="1"/>
  <c r="AW113" i="4" s="1"/>
  <c r="H113" i="4" s="1"/>
  <c r="U113" i="4"/>
  <c r="T113" i="4"/>
  <c r="V112" i="4"/>
  <c r="AU112" i="4" s="1"/>
  <c r="AV112" i="4" s="1"/>
  <c r="AX112" i="4" s="1"/>
  <c r="AW112" i="4" s="1"/>
  <c r="H112" i="4" s="1"/>
  <c r="U112" i="4"/>
  <c r="T112" i="4"/>
  <c r="V111" i="4"/>
  <c r="AU111" i="4" s="1"/>
  <c r="AV111" i="4" s="1"/>
  <c r="AX111" i="4" s="1"/>
  <c r="AW111" i="4" s="1"/>
  <c r="H111" i="4" s="1"/>
  <c r="U111" i="4"/>
  <c r="T111" i="4"/>
  <c r="V110" i="4"/>
  <c r="AU110" i="4" s="1"/>
  <c r="AV110" i="4" s="1"/>
  <c r="AX110" i="4" s="1"/>
  <c r="AW110" i="4" s="1"/>
  <c r="H110" i="4" s="1"/>
  <c r="U110" i="4"/>
  <c r="T110" i="4"/>
  <c r="V109" i="4"/>
  <c r="AU109" i="4" s="1"/>
  <c r="AV109" i="4" s="1"/>
  <c r="AX109" i="4" s="1"/>
  <c r="AW109" i="4" s="1"/>
  <c r="H109" i="4" s="1"/>
  <c r="U109" i="4"/>
  <c r="T109" i="4"/>
  <c r="V108" i="4"/>
  <c r="AU108" i="4" s="1"/>
  <c r="AV108" i="4" s="1"/>
  <c r="AX108" i="4" s="1"/>
  <c r="AW108" i="4" s="1"/>
  <c r="H108" i="4" s="1"/>
  <c r="U108" i="4"/>
  <c r="T108" i="4"/>
  <c r="V107" i="4"/>
  <c r="AU107" i="4" s="1"/>
  <c r="AV107" i="4" s="1"/>
  <c r="AX107" i="4" s="1"/>
  <c r="AW107" i="4" s="1"/>
  <c r="H107" i="4" s="1"/>
  <c r="U107" i="4"/>
  <c r="T107" i="4"/>
  <c r="V106" i="4"/>
  <c r="AU106" i="4" s="1"/>
  <c r="AV106" i="4" s="1"/>
  <c r="AX106" i="4" s="1"/>
  <c r="AW106" i="4" s="1"/>
  <c r="H106" i="4" s="1"/>
  <c r="U106" i="4"/>
  <c r="T106" i="4"/>
  <c r="V105" i="4"/>
  <c r="AU105" i="4" s="1"/>
  <c r="AV105" i="4" s="1"/>
  <c r="AX105" i="4" s="1"/>
  <c r="AW105" i="4" s="1"/>
  <c r="H105" i="4" s="1"/>
  <c r="U105" i="4"/>
  <c r="T105" i="4"/>
  <c r="V104" i="4"/>
  <c r="AU104" i="4" s="1"/>
  <c r="AV104" i="4" s="1"/>
  <c r="AX104" i="4" s="1"/>
  <c r="AW104" i="4" s="1"/>
  <c r="H104" i="4" s="1"/>
  <c r="U104" i="4"/>
  <c r="T104" i="4"/>
  <c r="V103" i="4"/>
  <c r="AU103" i="4" s="1"/>
  <c r="AV103" i="4" s="1"/>
  <c r="AX103" i="4" s="1"/>
  <c r="AW103" i="4" s="1"/>
  <c r="H103" i="4" s="1"/>
  <c r="U103" i="4"/>
  <c r="T103" i="4"/>
  <c r="V102" i="4"/>
  <c r="AU102" i="4" s="1"/>
  <c r="AV102" i="4" s="1"/>
  <c r="AX102" i="4" s="1"/>
  <c r="AW102" i="4" s="1"/>
  <c r="H102" i="4" s="1"/>
  <c r="U102" i="4"/>
  <c r="T102" i="4"/>
  <c r="V101" i="4"/>
  <c r="AU101" i="4" s="1"/>
  <c r="AV101" i="4" s="1"/>
  <c r="AX101" i="4" s="1"/>
  <c r="AW101" i="4" s="1"/>
  <c r="H101" i="4" s="1"/>
  <c r="U101" i="4"/>
  <c r="T101" i="4"/>
  <c r="V156" i="4"/>
  <c r="AU156" i="4" s="1"/>
  <c r="AV156" i="4" s="1"/>
  <c r="AX156" i="4" s="1"/>
  <c r="AW156" i="4" s="1"/>
  <c r="H156" i="4" s="1"/>
  <c r="U156" i="4"/>
  <c r="T156" i="4"/>
  <c r="V152" i="4"/>
  <c r="AU152" i="4" s="1"/>
  <c r="AV152" i="4" s="1"/>
  <c r="AX152" i="4" s="1"/>
  <c r="AW152" i="4" s="1"/>
  <c r="H152" i="4" s="1"/>
  <c r="U152" i="4"/>
  <c r="T152" i="4"/>
  <c r="V122" i="4"/>
  <c r="AU122" i="4" s="1"/>
  <c r="AV122" i="4" s="1"/>
  <c r="AX122" i="4" s="1"/>
  <c r="AW122" i="4" s="1"/>
  <c r="H122" i="4" s="1"/>
  <c r="U122" i="4"/>
  <c r="T122" i="4"/>
  <c r="V121" i="4"/>
  <c r="AU121" i="4" s="1"/>
  <c r="AV121" i="4" s="1"/>
  <c r="AX121" i="4" s="1"/>
  <c r="AW121" i="4" s="1"/>
  <c r="H121" i="4" s="1"/>
  <c r="U121" i="4"/>
  <c r="T121" i="4"/>
  <c r="V120" i="4"/>
  <c r="AU120" i="4" s="1"/>
  <c r="AV120" i="4" s="1"/>
  <c r="AX120" i="4" s="1"/>
  <c r="AW120" i="4" s="1"/>
  <c r="H120" i="4" s="1"/>
  <c r="U120" i="4"/>
  <c r="T120" i="4"/>
  <c r="V155" i="4"/>
  <c r="AU155" i="4" s="1"/>
  <c r="AV155" i="4" s="1"/>
  <c r="AX155" i="4" s="1"/>
  <c r="AW155" i="4" s="1"/>
  <c r="H155" i="4" s="1"/>
  <c r="U155" i="4"/>
  <c r="T155" i="4"/>
  <c r="V154" i="4"/>
  <c r="AU154" i="4" s="1"/>
  <c r="AV154" i="4" s="1"/>
  <c r="AX154" i="4" s="1"/>
  <c r="AW154" i="4" s="1"/>
  <c r="H154" i="4" s="1"/>
  <c r="U154" i="4"/>
  <c r="T154" i="4"/>
  <c r="V151" i="4"/>
  <c r="AU151" i="4" s="1"/>
  <c r="AV151" i="4" s="1"/>
  <c r="AX151" i="4" s="1"/>
  <c r="AW151" i="4" s="1"/>
  <c r="H151" i="4" s="1"/>
  <c r="U151" i="4"/>
  <c r="T151" i="4"/>
  <c r="V150" i="4"/>
  <c r="AU150" i="4" s="1"/>
  <c r="AV150" i="4" s="1"/>
  <c r="AX150" i="4" s="1"/>
  <c r="AW150" i="4" s="1"/>
  <c r="H150" i="4" s="1"/>
  <c r="U150" i="4"/>
  <c r="T150" i="4"/>
  <c r="V149" i="4"/>
  <c r="AU149" i="4" s="1"/>
  <c r="AV149" i="4" s="1"/>
  <c r="AX149" i="4" s="1"/>
  <c r="AW149" i="4" s="1"/>
  <c r="H149" i="4" s="1"/>
  <c r="U149" i="4"/>
  <c r="T149" i="4"/>
  <c r="V148" i="4"/>
  <c r="AU148" i="4" s="1"/>
  <c r="AV148" i="4" s="1"/>
  <c r="AX148" i="4" s="1"/>
  <c r="AW148" i="4" s="1"/>
  <c r="H148" i="4" s="1"/>
  <c r="U148" i="4"/>
  <c r="T148" i="4"/>
  <c r="V147" i="4"/>
  <c r="AU147" i="4" s="1"/>
  <c r="AV147" i="4" s="1"/>
  <c r="AX147" i="4" s="1"/>
  <c r="AW147" i="4" s="1"/>
  <c r="H147" i="4" s="1"/>
  <c r="U147" i="4"/>
  <c r="T147" i="4"/>
  <c r="V146" i="4"/>
  <c r="AU146" i="4" s="1"/>
  <c r="AV146" i="4" s="1"/>
  <c r="AX146" i="4" s="1"/>
  <c r="AW146" i="4" s="1"/>
  <c r="H146" i="4" s="1"/>
  <c r="U146" i="4"/>
  <c r="T146" i="4"/>
  <c r="V145" i="4"/>
  <c r="AU145" i="4" s="1"/>
  <c r="AV145" i="4" s="1"/>
  <c r="AX145" i="4" s="1"/>
  <c r="AW145" i="4" s="1"/>
  <c r="H145" i="4" s="1"/>
  <c r="U145" i="4"/>
  <c r="T145" i="4"/>
  <c r="V153" i="4"/>
  <c r="AU153" i="4" s="1"/>
  <c r="AV153" i="4" s="1"/>
  <c r="AX153" i="4" s="1"/>
  <c r="AW153" i="4" s="1"/>
  <c r="H153" i="4" s="1"/>
  <c r="U153" i="4"/>
  <c r="T153" i="4"/>
  <c r="V142" i="4"/>
  <c r="AU142" i="4" s="1"/>
  <c r="AV142" i="4" s="1"/>
  <c r="AX142" i="4" s="1"/>
  <c r="AW142" i="4" s="1"/>
  <c r="H142" i="4" s="1"/>
  <c r="U142" i="4"/>
  <c r="T142" i="4"/>
  <c r="V141" i="4"/>
  <c r="AU141" i="4" s="1"/>
  <c r="AV141" i="4" s="1"/>
  <c r="AX141" i="4" s="1"/>
  <c r="AW141" i="4" s="1"/>
  <c r="H141" i="4" s="1"/>
  <c r="U141" i="4"/>
  <c r="T141" i="4"/>
  <c r="V140" i="4"/>
  <c r="AU140" i="4" s="1"/>
  <c r="AV140" i="4" s="1"/>
  <c r="AX140" i="4" s="1"/>
  <c r="AW140" i="4" s="1"/>
  <c r="H140" i="4" s="1"/>
  <c r="U140" i="4"/>
  <c r="T140" i="4"/>
  <c r="V139" i="4"/>
  <c r="AU139" i="4" s="1"/>
  <c r="AV139" i="4" s="1"/>
  <c r="AX139" i="4" s="1"/>
  <c r="AW139" i="4" s="1"/>
  <c r="H139" i="4" s="1"/>
  <c r="U139" i="4"/>
  <c r="T139" i="4"/>
  <c r="V138" i="4"/>
  <c r="AU138" i="4" s="1"/>
  <c r="AV138" i="4" s="1"/>
  <c r="AX138" i="4" s="1"/>
  <c r="AW138" i="4" s="1"/>
  <c r="H138" i="4" s="1"/>
  <c r="U138" i="4"/>
  <c r="T138" i="4"/>
  <c r="V137" i="4"/>
  <c r="AU137" i="4" s="1"/>
  <c r="AV137" i="4" s="1"/>
  <c r="AX137" i="4" s="1"/>
  <c r="AW137" i="4" s="1"/>
  <c r="H137" i="4" s="1"/>
  <c r="U137" i="4"/>
  <c r="T137" i="4"/>
  <c r="V136" i="4"/>
  <c r="AU136" i="4" s="1"/>
  <c r="AV136" i="4" s="1"/>
  <c r="AX136" i="4" s="1"/>
  <c r="AW136" i="4" s="1"/>
  <c r="H136" i="4" s="1"/>
  <c r="U136" i="4"/>
  <c r="T136" i="4"/>
  <c r="V144" i="4"/>
  <c r="AU144" i="4" s="1"/>
  <c r="AV144" i="4" s="1"/>
  <c r="AX144" i="4" s="1"/>
  <c r="AW144" i="4" s="1"/>
  <c r="H144" i="4" s="1"/>
  <c r="U144" i="4"/>
  <c r="T144" i="4"/>
  <c r="V143" i="4"/>
  <c r="AU143" i="4" s="1"/>
  <c r="AV143" i="4" s="1"/>
  <c r="AX143" i="4" s="1"/>
  <c r="AW143" i="4" s="1"/>
  <c r="H143" i="4" s="1"/>
  <c r="U143" i="4"/>
  <c r="T143" i="4"/>
  <c r="V135" i="4"/>
  <c r="AU135" i="4" s="1"/>
  <c r="AV135" i="4" s="1"/>
  <c r="AX135" i="4" s="1"/>
  <c r="AW135" i="4" s="1"/>
  <c r="H135" i="4" s="1"/>
  <c r="U135" i="4"/>
  <c r="T135" i="4"/>
  <c r="V134" i="4"/>
  <c r="AU134" i="4" s="1"/>
  <c r="AV134" i="4" s="1"/>
  <c r="AX134" i="4" s="1"/>
  <c r="AW134" i="4" s="1"/>
  <c r="H134" i="4" s="1"/>
  <c r="U134" i="4"/>
  <c r="T134" i="4"/>
  <c r="V133" i="4"/>
  <c r="AU133" i="4" s="1"/>
  <c r="AV133" i="4" s="1"/>
  <c r="AX133" i="4" s="1"/>
  <c r="AW133" i="4" s="1"/>
  <c r="H133" i="4" s="1"/>
  <c r="U133" i="4"/>
  <c r="T133" i="4"/>
  <c r="V132" i="4"/>
  <c r="AU132" i="4" s="1"/>
  <c r="AV132" i="4" s="1"/>
  <c r="AX132" i="4" s="1"/>
  <c r="AW132" i="4" s="1"/>
  <c r="H132" i="4" s="1"/>
  <c r="U132" i="4"/>
  <c r="T132" i="4"/>
  <c r="V131" i="4"/>
  <c r="AU131" i="4" s="1"/>
  <c r="AV131" i="4" s="1"/>
  <c r="AX131" i="4" s="1"/>
  <c r="AW131" i="4" s="1"/>
  <c r="H131" i="4" s="1"/>
  <c r="U131" i="4"/>
  <c r="T131" i="4"/>
  <c r="V130" i="4"/>
  <c r="AU130" i="4" s="1"/>
  <c r="AV130" i="4" s="1"/>
  <c r="AX130" i="4" s="1"/>
  <c r="AW130" i="4" s="1"/>
  <c r="H130" i="4" s="1"/>
  <c r="U130" i="4"/>
  <c r="T130" i="4"/>
  <c r="V129" i="4"/>
  <c r="AU129" i="4" s="1"/>
  <c r="AV129" i="4" s="1"/>
  <c r="AX129" i="4" s="1"/>
  <c r="AW129" i="4" s="1"/>
  <c r="H129" i="4" s="1"/>
  <c r="U129" i="4"/>
  <c r="T129" i="4"/>
  <c r="V128" i="4"/>
  <c r="AU128" i="4" s="1"/>
  <c r="AV128" i="4" s="1"/>
  <c r="AX128" i="4" s="1"/>
  <c r="AW128" i="4" s="1"/>
  <c r="H128" i="4" s="1"/>
  <c r="U128" i="4"/>
  <c r="T128" i="4"/>
  <c r="V127" i="4"/>
  <c r="AU127" i="4" s="1"/>
  <c r="AV127" i="4" s="1"/>
  <c r="AX127" i="4" s="1"/>
  <c r="AW127" i="4" s="1"/>
  <c r="H127" i="4" s="1"/>
  <c r="U127" i="4"/>
  <c r="T127" i="4"/>
  <c r="V126" i="4"/>
  <c r="AU126" i="4" s="1"/>
  <c r="AV126" i="4" s="1"/>
  <c r="AX126" i="4" s="1"/>
  <c r="AW126" i="4" s="1"/>
  <c r="H126" i="4" s="1"/>
  <c r="U126" i="4"/>
  <c r="T126" i="4"/>
  <c r="V125" i="4"/>
  <c r="AU125" i="4" s="1"/>
  <c r="AV125" i="4" s="1"/>
  <c r="AX125" i="4" s="1"/>
  <c r="AW125" i="4" s="1"/>
  <c r="H125" i="4" s="1"/>
  <c r="U125" i="4"/>
  <c r="T125" i="4"/>
  <c r="V124" i="4"/>
  <c r="AU124" i="4" s="1"/>
  <c r="AV124" i="4" s="1"/>
  <c r="AX124" i="4" s="1"/>
  <c r="AW124" i="4" s="1"/>
  <c r="H124" i="4" s="1"/>
  <c r="U124" i="4"/>
  <c r="T124" i="4"/>
  <c r="V123" i="4"/>
  <c r="AU123" i="4" s="1"/>
  <c r="AV123" i="4" s="1"/>
  <c r="AX123" i="4" s="1"/>
  <c r="AW123" i="4" s="1"/>
  <c r="H123" i="4" s="1"/>
  <c r="U123" i="4"/>
  <c r="T123" i="4"/>
  <c r="V36" i="4"/>
  <c r="AU36" i="4" s="1"/>
  <c r="AV36" i="4" s="1"/>
  <c r="AX36" i="4" s="1"/>
  <c r="AW36" i="4" s="1"/>
  <c r="H36" i="4" s="1"/>
  <c r="U36" i="4"/>
  <c r="T36" i="4"/>
  <c r="V35" i="4"/>
  <c r="AU35" i="4" s="1"/>
  <c r="AV35" i="4" s="1"/>
  <c r="AX35" i="4" s="1"/>
  <c r="AW35" i="4" s="1"/>
  <c r="H35" i="4" s="1"/>
  <c r="U35" i="4"/>
  <c r="T35" i="4"/>
  <c r="V34" i="4"/>
  <c r="AU34" i="4" s="1"/>
  <c r="AV34" i="4" s="1"/>
  <c r="AX34" i="4" s="1"/>
  <c r="AW34" i="4" s="1"/>
  <c r="H34" i="4" s="1"/>
  <c r="U34" i="4"/>
  <c r="T34" i="4"/>
  <c r="V33" i="4"/>
  <c r="AU33" i="4" s="1"/>
  <c r="AV33" i="4" s="1"/>
  <c r="AX33" i="4" s="1"/>
  <c r="AW33" i="4" s="1"/>
  <c r="H33" i="4" s="1"/>
  <c r="U33" i="4"/>
  <c r="T33" i="4"/>
  <c r="V32" i="4"/>
  <c r="AU32" i="4" s="1"/>
  <c r="AV32" i="4" s="1"/>
  <c r="AX32" i="4" s="1"/>
  <c r="AW32" i="4" s="1"/>
  <c r="H32" i="4" s="1"/>
  <c r="U32" i="4"/>
  <c r="T32" i="4"/>
  <c r="V31" i="4"/>
  <c r="AU31" i="4" s="1"/>
  <c r="AV31" i="4" s="1"/>
  <c r="AX31" i="4" s="1"/>
  <c r="AW31" i="4" s="1"/>
  <c r="H31" i="4" s="1"/>
  <c r="U31" i="4"/>
  <c r="T31" i="4"/>
  <c r="V30" i="4"/>
  <c r="AU30" i="4" s="1"/>
  <c r="AV30" i="4" s="1"/>
  <c r="AX30" i="4" s="1"/>
  <c r="AW30" i="4" s="1"/>
  <c r="H30" i="4" s="1"/>
  <c r="U30" i="4"/>
  <c r="T30" i="4"/>
  <c r="V29" i="4"/>
  <c r="AU29" i="4" s="1"/>
  <c r="AV29" i="4" s="1"/>
  <c r="AX29" i="4" s="1"/>
  <c r="AW29" i="4" s="1"/>
  <c r="H29" i="4" s="1"/>
  <c r="U29" i="4"/>
  <c r="T29" i="4"/>
  <c r="V76" i="4"/>
  <c r="AU76" i="4" s="1"/>
  <c r="AV76" i="4" s="1"/>
  <c r="AX76" i="4" s="1"/>
  <c r="AW76" i="4" s="1"/>
  <c r="H76" i="4" s="1"/>
  <c r="U76" i="4"/>
  <c r="T76" i="4"/>
  <c r="V75" i="4"/>
  <c r="AU75" i="4" s="1"/>
  <c r="AV75" i="4" s="1"/>
  <c r="AX75" i="4" s="1"/>
  <c r="AW75" i="4" s="1"/>
  <c r="H75" i="4" s="1"/>
  <c r="U75" i="4"/>
  <c r="T75" i="4"/>
  <c r="V74" i="4"/>
  <c r="AU74" i="4" s="1"/>
  <c r="AV74" i="4" s="1"/>
  <c r="AX74" i="4" s="1"/>
  <c r="AW74" i="4" s="1"/>
  <c r="H74" i="4" s="1"/>
  <c r="U74" i="4"/>
  <c r="T74" i="4"/>
  <c r="V73" i="4"/>
  <c r="AU73" i="4" s="1"/>
  <c r="AV73" i="4" s="1"/>
  <c r="AX73" i="4" s="1"/>
  <c r="AW73" i="4" s="1"/>
  <c r="H73" i="4" s="1"/>
  <c r="U73" i="4"/>
  <c r="T73" i="4"/>
  <c r="V72" i="4"/>
  <c r="AU72" i="4" s="1"/>
  <c r="AV72" i="4" s="1"/>
  <c r="AX72" i="4" s="1"/>
  <c r="AW72" i="4" s="1"/>
  <c r="H72" i="4" s="1"/>
  <c r="U72" i="4"/>
  <c r="T72" i="4"/>
  <c r="V47" i="4"/>
  <c r="AU47" i="4" s="1"/>
  <c r="AV47" i="4" s="1"/>
  <c r="AX47" i="4" s="1"/>
  <c r="AW47" i="4" s="1"/>
  <c r="H47" i="4" s="1"/>
  <c r="U47" i="4"/>
  <c r="T47" i="4"/>
  <c r="V46" i="4"/>
  <c r="AU46" i="4" s="1"/>
  <c r="AV46" i="4" s="1"/>
  <c r="AX46" i="4" s="1"/>
  <c r="AW46" i="4" s="1"/>
  <c r="H46" i="4" s="1"/>
  <c r="U46" i="4"/>
  <c r="T46" i="4"/>
  <c r="V45" i="4"/>
  <c r="AU45" i="4" s="1"/>
  <c r="AV45" i="4" s="1"/>
  <c r="AX45" i="4" s="1"/>
  <c r="AW45" i="4" s="1"/>
  <c r="H45" i="4" s="1"/>
  <c r="U45" i="4"/>
  <c r="T45" i="4"/>
  <c r="V52" i="4"/>
  <c r="AU52" i="4" s="1"/>
  <c r="AV52" i="4" s="1"/>
  <c r="AX52" i="4" s="1"/>
  <c r="AW52" i="4" s="1"/>
  <c r="H52" i="4" s="1"/>
  <c r="U52" i="4"/>
  <c r="T52" i="4"/>
  <c r="V51" i="4"/>
  <c r="AU51" i="4" s="1"/>
  <c r="AV51" i="4" s="1"/>
  <c r="AX51" i="4" s="1"/>
  <c r="AW51" i="4" s="1"/>
  <c r="H51" i="4" s="1"/>
  <c r="U51" i="4"/>
  <c r="T51" i="4"/>
  <c r="V50" i="4"/>
  <c r="AU50" i="4" s="1"/>
  <c r="AV50" i="4" s="1"/>
  <c r="AX50" i="4" s="1"/>
  <c r="AW50" i="4" s="1"/>
  <c r="H50" i="4" s="1"/>
  <c r="U50" i="4"/>
  <c r="T50" i="4"/>
  <c r="V49" i="4"/>
  <c r="AU49" i="4" s="1"/>
  <c r="AV49" i="4" s="1"/>
  <c r="AX49" i="4" s="1"/>
  <c r="AW49" i="4" s="1"/>
  <c r="H49" i="4" s="1"/>
  <c r="U49" i="4"/>
  <c r="T49" i="4"/>
  <c r="V48" i="4"/>
  <c r="AU48" i="4" s="1"/>
  <c r="AV48" i="4" s="1"/>
  <c r="AX48" i="4" s="1"/>
  <c r="AW48" i="4" s="1"/>
  <c r="H48" i="4" s="1"/>
  <c r="U48" i="4"/>
  <c r="T48" i="4"/>
  <c r="V44" i="4"/>
  <c r="AU44" i="4" s="1"/>
  <c r="AV44" i="4" s="1"/>
  <c r="AX44" i="4" s="1"/>
  <c r="AW44" i="4" s="1"/>
  <c r="H44" i="4" s="1"/>
  <c r="U44" i="4"/>
  <c r="T44" i="4"/>
  <c r="V43" i="4"/>
  <c r="AU43" i="4" s="1"/>
  <c r="AV43" i="4" s="1"/>
  <c r="AX43" i="4" s="1"/>
  <c r="AW43" i="4" s="1"/>
  <c r="H43" i="4" s="1"/>
  <c r="U43" i="4"/>
  <c r="T43" i="4"/>
  <c r="V42" i="4"/>
  <c r="AU42" i="4" s="1"/>
  <c r="AV42" i="4" s="1"/>
  <c r="AX42" i="4" s="1"/>
  <c r="AW42" i="4" s="1"/>
  <c r="H42" i="4" s="1"/>
  <c r="U42" i="4"/>
  <c r="T42" i="4"/>
  <c r="V41" i="4"/>
  <c r="AU41" i="4" s="1"/>
  <c r="AV41" i="4" s="1"/>
  <c r="AX41" i="4" s="1"/>
  <c r="AW41" i="4" s="1"/>
  <c r="H41" i="4" s="1"/>
  <c r="U41" i="4"/>
  <c r="T41" i="4"/>
  <c r="V40" i="4"/>
  <c r="AU40" i="4" s="1"/>
  <c r="AV40" i="4" s="1"/>
  <c r="AX40" i="4" s="1"/>
  <c r="AW40" i="4" s="1"/>
  <c r="H40" i="4" s="1"/>
  <c r="U40" i="4"/>
  <c r="T40" i="4"/>
  <c r="V39" i="4"/>
  <c r="AU39" i="4" s="1"/>
  <c r="AV39" i="4" s="1"/>
  <c r="AX39" i="4" s="1"/>
  <c r="AW39" i="4" s="1"/>
  <c r="H39" i="4" s="1"/>
  <c r="U39" i="4"/>
  <c r="T39" i="4"/>
  <c r="V38" i="4"/>
  <c r="AU38" i="4" s="1"/>
  <c r="AV38" i="4" s="1"/>
  <c r="AX38" i="4" s="1"/>
  <c r="AW38" i="4" s="1"/>
  <c r="H38" i="4" s="1"/>
  <c r="U38" i="4"/>
  <c r="T38" i="4"/>
  <c r="V37" i="4"/>
  <c r="AU37" i="4" s="1"/>
  <c r="AV37" i="4" s="1"/>
  <c r="AX37" i="4" s="1"/>
  <c r="AW37" i="4" s="1"/>
  <c r="H37" i="4" s="1"/>
  <c r="U37" i="4"/>
  <c r="T37" i="4"/>
  <c r="V28" i="4"/>
  <c r="AU28" i="4" s="1"/>
  <c r="AV28" i="4" s="1"/>
  <c r="AX28" i="4" s="1"/>
  <c r="AW28" i="4" s="1"/>
  <c r="H28" i="4" s="1"/>
  <c r="U28" i="4"/>
  <c r="T28" i="4"/>
  <c r="V27" i="4"/>
  <c r="AU27" i="4" s="1"/>
  <c r="AV27" i="4" s="1"/>
  <c r="AX27" i="4" s="1"/>
  <c r="AW27" i="4" s="1"/>
  <c r="H27" i="4" s="1"/>
  <c r="U27" i="4"/>
  <c r="T27" i="4"/>
  <c r="V26" i="4"/>
  <c r="AU26" i="4" s="1"/>
  <c r="AV26" i="4" s="1"/>
  <c r="AX26" i="4" s="1"/>
  <c r="AW26" i="4" s="1"/>
  <c r="H26" i="4" s="1"/>
  <c r="U26" i="4"/>
  <c r="T26" i="4"/>
  <c r="V25" i="4"/>
  <c r="AU25" i="4" s="1"/>
  <c r="AV25" i="4" s="1"/>
  <c r="AX25" i="4" s="1"/>
  <c r="AW25" i="4" s="1"/>
  <c r="H25" i="4" s="1"/>
  <c r="U25" i="4"/>
  <c r="T25" i="4"/>
  <c r="V15" i="4"/>
  <c r="AU15" i="4" s="1"/>
  <c r="AV15" i="4" s="1"/>
  <c r="AX15" i="4" s="1"/>
  <c r="AW15" i="4" s="1"/>
  <c r="H15" i="4" s="1"/>
  <c r="U15" i="4"/>
  <c r="T15" i="4"/>
  <c r="V14" i="4"/>
  <c r="AU14" i="4" s="1"/>
  <c r="AV14" i="4" s="1"/>
  <c r="AX14" i="4" s="1"/>
  <c r="AW14" i="4" s="1"/>
  <c r="H14" i="4" s="1"/>
  <c r="U14" i="4"/>
  <c r="T14" i="4"/>
  <c r="V13" i="4"/>
  <c r="AU13" i="4" s="1"/>
  <c r="AV13" i="4" s="1"/>
  <c r="AX13" i="4" s="1"/>
  <c r="AW13" i="4" s="1"/>
  <c r="H13" i="4" s="1"/>
  <c r="U13" i="4"/>
  <c r="T13" i="4"/>
  <c r="V12" i="4"/>
  <c r="AU12" i="4" s="1"/>
  <c r="AV12" i="4" s="1"/>
  <c r="AX12" i="4" s="1"/>
  <c r="AW12" i="4" s="1"/>
  <c r="H12" i="4" s="1"/>
  <c r="U12" i="4"/>
  <c r="T12" i="4"/>
  <c r="V24" i="4"/>
  <c r="AU24" i="4" s="1"/>
  <c r="AV24" i="4" s="1"/>
  <c r="AX24" i="4" s="1"/>
  <c r="AW24" i="4" s="1"/>
  <c r="H24" i="4" s="1"/>
  <c r="U24" i="4"/>
  <c r="T24" i="4"/>
  <c r="V23" i="4"/>
  <c r="AU23" i="4" s="1"/>
  <c r="AV23" i="4" s="1"/>
  <c r="AX23" i="4" s="1"/>
  <c r="AW23" i="4" s="1"/>
  <c r="H23" i="4" s="1"/>
  <c r="U23" i="4"/>
  <c r="T23" i="4"/>
  <c r="V11" i="4"/>
  <c r="AU11" i="4" s="1"/>
  <c r="AV11" i="4" s="1"/>
  <c r="AX11" i="4" s="1"/>
  <c r="AW11" i="4" s="1"/>
  <c r="H11" i="4" s="1"/>
  <c r="U11" i="4"/>
  <c r="T11" i="4"/>
  <c r="V22" i="4"/>
  <c r="AU22" i="4" s="1"/>
  <c r="AV22" i="4" s="1"/>
  <c r="AX22" i="4" s="1"/>
  <c r="AW22" i="4" s="1"/>
  <c r="H22" i="4" s="1"/>
  <c r="U22" i="4"/>
  <c r="T22" i="4"/>
  <c r="V21" i="4"/>
  <c r="AU21" i="4" s="1"/>
  <c r="AV21" i="4" s="1"/>
  <c r="AX21" i="4" s="1"/>
  <c r="AW21" i="4" s="1"/>
  <c r="H21" i="4" s="1"/>
  <c r="U21" i="4"/>
  <c r="T21" i="4"/>
  <c r="V20" i="4"/>
  <c r="AU20" i="4" s="1"/>
  <c r="AV20" i="4" s="1"/>
  <c r="AX20" i="4" s="1"/>
  <c r="AW20" i="4" s="1"/>
  <c r="H20" i="4" s="1"/>
  <c r="U20" i="4"/>
  <c r="T20" i="4"/>
  <c r="V19" i="4"/>
  <c r="AU19" i="4" s="1"/>
  <c r="AV19" i="4" s="1"/>
  <c r="AX19" i="4" s="1"/>
  <c r="AW19" i="4" s="1"/>
  <c r="H19" i="4" s="1"/>
  <c r="U19" i="4"/>
  <c r="T19" i="4"/>
  <c r="V18" i="4"/>
  <c r="AU18" i="4" s="1"/>
  <c r="AV18" i="4" s="1"/>
  <c r="AX18" i="4" s="1"/>
  <c r="AW18" i="4" s="1"/>
  <c r="H18" i="4" s="1"/>
  <c r="U18" i="4"/>
  <c r="T18" i="4"/>
  <c r="V17" i="4"/>
  <c r="AU17" i="4" s="1"/>
  <c r="AV17" i="4" s="1"/>
  <c r="AX17" i="4" s="1"/>
  <c r="AW17" i="4" s="1"/>
  <c r="H17" i="4" s="1"/>
  <c r="U17" i="4"/>
  <c r="T17" i="4"/>
  <c r="V16" i="4"/>
  <c r="AU16" i="4" s="1"/>
  <c r="AV16" i="4" s="1"/>
  <c r="AX16" i="4" s="1"/>
  <c r="AW16" i="4" s="1"/>
  <c r="H16" i="4" s="1"/>
  <c r="U16" i="4"/>
  <c r="T16" i="4"/>
  <c r="V10" i="4"/>
  <c r="AU10" i="4" s="1"/>
  <c r="AV10" i="4" s="1"/>
  <c r="AX10" i="4" s="1"/>
  <c r="AW10" i="4" s="1"/>
  <c r="H10" i="4" s="1"/>
  <c r="U10" i="4"/>
  <c r="T10" i="4"/>
  <c r="V9" i="4"/>
  <c r="AU9" i="4" s="1"/>
  <c r="AV9" i="4" s="1"/>
  <c r="AX9" i="4" s="1"/>
  <c r="AW9" i="4" s="1"/>
  <c r="H9" i="4" s="1"/>
  <c r="U9" i="4"/>
  <c r="T9" i="4"/>
  <c r="V8" i="4"/>
  <c r="AU8" i="4" s="1"/>
  <c r="AV8" i="4" s="1"/>
  <c r="AX8" i="4" s="1"/>
  <c r="AW8" i="4" s="1"/>
  <c r="H8" i="4" s="1"/>
  <c r="U8" i="4"/>
  <c r="T8" i="4"/>
  <c r="V7" i="4"/>
  <c r="AU7" i="4" s="1"/>
  <c r="AV7" i="4" s="1"/>
  <c r="AX7" i="4" s="1"/>
  <c r="AW7" i="4" s="1"/>
  <c r="H7" i="4" s="1"/>
  <c r="U7" i="4"/>
  <c r="T7" i="4"/>
  <c r="V6" i="4"/>
  <c r="AU6" i="4" s="1"/>
  <c r="AV6" i="4" s="1"/>
  <c r="AX6" i="4" s="1"/>
  <c r="AW6" i="4" s="1"/>
  <c r="H6" i="4" s="1"/>
  <c r="U6" i="4"/>
  <c r="T6" i="4"/>
  <c r="V71" i="4"/>
  <c r="AU71" i="4" s="1"/>
  <c r="AV71" i="4" s="1"/>
  <c r="AX71" i="4" s="1"/>
  <c r="AW71" i="4" s="1"/>
  <c r="H71" i="4" s="1"/>
  <c r="U71" i="4"/>
  <c r="T71" i="4"/>
  <c r="V70" i="4"/>
  <c r="AU70" i="4" s="1"/>
  <c r="AV70" i="4" s="1"/>
  <c r="AX70" i="4" s="1"/>
  <c r="AW70" i="4" s="1"/>
  <c r="H70" i="4" s="1"/>
  <c r="U70" i="4"/>
  <c r="T70" i="4"/>
  <c r="V69" i="4"/>
  <c r="AU69" i="4" s="1"/>
  <c r="AV69" i="4" s="1"/>
  <c r="AX69" i="4" s="1"/>
  <c r="AW69" i="4" s="1"/>
  <c r="H69" i="4" s="1"/>
  <c r="U69" i="4"/>
  <c r="T69" i="4"/>
  <c r="V68" i="4"/>
  <c r="AU68" i="4" s="1"/>
  <c r="AV68" i="4" s="1"/>
  <c r="AX68" i="4" s="1"/>
  <c r="AW68" i="4" s="1"/>
  <c r="H68" i="4" s="1"/>
  <c r="U68" i="4"/>
  <c r="T68" i="4"/>
  <c r="V67" i="4"/>
  <c r="AU67" i="4" s="1"/>
  <c r="AV67" i="4" s="1"/>
  <c r="AX67" i="4" s="1"/>
  <c r="AW67" i="4" s="1"/>
  <c r="H67" i="4" s="1"/>
  <c r="U67" i="4"/>
  <c r="T67" i="4"/>
  <c r="V66" i="4"/>
  <c r="AU66" i="4" s="1"/>
  <c r="AV66" i="4" s="1"/>
  <c r="AX66" i="4" s="1"/>
  <c r="AW66" i="4" s="1"/>
  <c r="H66" i="4" s="1"/>
  <c r="U66" i="4"/>
  <c r="T66" i="4"/>
  <c r="V65" i="4"/>
  <c r="AU65" i="4" s="1"/>
  <c r="AV65" i="4" s="1"/>
  <c r="AX65" i="4" s="1"/>
  <c r="AW65" i="4" s="1"/>
  <c r="H65" i="4" s="1"/>
  <c r="U65" i="4"/>
  <c r="T65" i="4"/>
  <c r="V64" i="4"/>
  <c r="AU64" i="4" s="1"/>
  <c r="AV64" i="4" s="1"/>
  <c r="AX64" i="4" s="1"/>
  <c r="AW64" i="4" s="1"/>
  <c r="H64" i="4" s="1"/>
  <c r="U64" i="4"/>
  <c r="T64" i="4"/>
  <c r="V63" i="4"/>
  <c r="AU63" i="4" s="1"/>
  <c r="AV63" i="4" s="1"/>
  <c r="AX63" i="4" s="1"/>
  <c r="AW63" i="4" s="1"/>
  <c r="H63" i="4" s="1"/>
  <c r="U63" i="4"/>
  <c r="T63" i="4"/>
  <c r="V62" i="4"/>
  <c r="AU62" i="4" s="1"/>
  <c r="AV62" i="4" s="1"/>
  <c r="AX62" i="4" s="1"/>
  <c r="AW62" i="4" s="1"/>
  <c r="H62" i="4" s="1"/>
  <c r="U62" i="4"/>
  <c r="T62" i="4"/>
  <c r="V61" i="4"/>
  <c r="AU61" i="4" s="1"/>
  <c r="AV61" i="4" s="1"/>
  <c r="AX61" i="4" s="1"/>
  <c r="AW61" i="4" s="1"/>
  <c r="H61" i="4" s="1"/>
  <c r="U61" i="4"/>
  <c r="T61" i="4"/>
  <c r="V60" i="4"/>
  <c r="AU60" i="4" s="1"/>
  <c r="AV60" i="4" s="1"/>
  <c r="AX60" i="4" s="1"/>
  <c r="AW60" i="4" s="1"/>
  <c r="H60" i="4" s="1"/>
  <c r="U60" i="4"/>
  <c r="T60" i="4"/>
  <c r="V59" i="4"/>
  <c r="AU59" i="4" s="1"/>
  <c r="AV59" i="4" s="1"/>
  <c r="AX59" i="4" s="1"/>
  <c r="AW59" i="4" s="1"/>
  <c r="H59" i="4" s="1"/>
  <c r="U59" i="4"/>
  <c r="T59" i="4"/>
  <c r="V58" i="4"/>
  <c r="AU58" i="4" s="1"/>
  <c r="AV58" i="4" s="1"/>
  <c r="AX58" i="4" s="1"/>
  <c r="AW58" i="4" s="1"/>
  <c r="H58" i="4" s="1"/>
  <c r="U58" i="4"/>
  <c r="T58" i="4"/>
  <c r="V57" i="4"/>
  <c r="AU57" i="4" s="1"/>
  <c r="AV57" i="4" s="1"/>
  <c r="AX57" i="4" s="1"/>
  <c r="AW57" i="4" s="1"/>
  <c r="H57" i="4" s="1"/>
  <c r="U57" i="4"/>
  <c r="T57" i="4"/>
  <c r="V56" i="4"/>
  <c r="AU56" i="4" s="1"/>
  <c r="AV56" i="4" s="1"/>
  <c r="AX56" i="4" s="1"/>
  <c r="AW56" i="4" s="1"/>
  <c r="H56" i="4" s="1"/>
  <c r="U56" i="4"/>
  <c r="T56" i="4"/>
  <c r="V55" i="4"/>
  <c r="AU55" i="4" s="1"/>
  <c r="AV55" i="4" s="1"/>
  <c r="AX55" i="4" s="1"/>
  <c r="AW55" i="4" s="1"/>
  <c r="H55" i="4" s="1"/>
  <c r="U55" i="4"/>
  <c r="T55" i="4"/>
  <c r="V54" i="4"/>
  <c r="AU54" i="4" s="1"/>
  <c r="AV54" i="4" s="1"/>
  <c r="AX54" i="4" s="1"/>
  <c r="AW54" i="4" s="1"/>
  <c r="H54" i="4" s="1"/>
  <c r="U54" i="4"/>
  <c r="T54" i="4"/>
  <c r="V53" i="4"/>
  <c r="AU53" i="4" s="1"/>
  <c r="AV53" i="4" s="1"/>
  <c r="AX53" i="4" s="1"/>
  <c r="AW53" i="4" s="1"/>
  <c r="H53" i="4" s="1"/>
  <c r="U53" i="4"/>
  <c r="T53" i="4"/>
  <c r="B85" i="4"/>
  <c r="B84" i="4"/>
  <c r="B83" i="4"/>
  <c r="B82" i="4"/>
  <c r="B81" i="4"/>
  <c r="B80" i="4"/>
  <c r="B79" i="4"/>
  <c r="B78" i="4"/>
  <c r="B77" i="4"/>
  <c r="B92" i="4"/>
  <c r="B91" i="4"/>
  <c r="B90" i="4"/>
  <c r="B89" i="4"/>
  <c r="B88" i="4"/>
  <c r="B87" i="4"/>
  <c r="B86" i="4"/>
  <c r="B100" i="4"/>
  <c r="B99" i="4"/>
  <c r="B98" i="4"/>
  <c r="B97" i="4"/>
  <c r="B96" i="4"/>
  <c r="B95" i="4"/>
  <c r="B94" i="4"/>
  <c r="B93" i="4"/>
  <c r="B119" i="4"/>
  <c r="B118" i="4"/>
  <c r="B117" i="4"/>
  <c r="B116" i="4"/>
  <c r="B115" i="4"/>
  <c r="B114" i="4"/>
  <c r="B113" i="4"/>
  <c r="B112" i="4"/>
  <c r="B111" i="4"/>
  <c r="B110" i="4"/>
  <c r="B109" i="4"/>
  <c r="B108" i="4"/>
  <c r="B107" i="4"/>
  <c r="B106" i="4"/>
  <c r="B105" i="4"/>
  <c r="B104" i="4"/>
  <c r="B103" i="4"/>
  <c r="B102" i="4"/>
  <c r="B101" i="4"/>
  <c r="B156" i="4"/>
  <c r="B152" i="4"/>
  <c r="B122" i="4"/>
  <c r="B121" i="4"/>
  <c r="B120" i="4"/>
  <c r="B155" i="4"/>
  <c r="B154" i="4"/>
  <c r="B151" i="4"/>
  <c r="B150" i="4"/>
  <c r="B149" i="4"/>
  <c r="B148" i="4"/>
  <c r="B147" i="4"/>
  <c r="B146" i="4"/>
  <c r="B145" i="4"/>
  <c r="B153" i="4"/>
  <c r="B142" i="4"/>
  <c r="B141" i="4"/>
  <c r="B140" i="4"/>
  <c r="B139" i="4"/>
  <c r="B138" i="4"/>
  <c r="B137" i="4"/>
  <c r="B136" i="4"/>
  <c r="B144" i="4"/>
  <c r="B143" i="4"/>
  <c r="B135" i="4"/>
  <c r="B134" i="4"/>
  <c r="B133" i="4"/>
  <c r="B132" i="4"/>
  <c r="B131" i="4"/>
  <c r="B130" i="4"/>
  <c r="B129" i="4"/>
  <c r="B128" i="4"/>
  <c r="B127" i="4"/>
  <c r="B126" i="4"/>
  <c r="B125" i="4"/>
  <c r="B124" i="4"/>
  <c r="B123" i="4"/>
  <c r="B36" i="4"/>
  <c r="B35" i="4"/>
  <c r="B34" i="4"/>
  <c r="B33" i="4"/>
  <c r="B32" i="4"/>
  <c r="B31" i="4"/>
  <c r="B30" i="4"/>
  <c r="B29" i="4"/>
  <c r="B76" i="4"/>
  <c r="B75" i="4"/>
  <c r="B74" i="4"/>
  <c r="B73" i="4"/>
  <c r="B72" i="4"/>
  <c r="B47" i="4"/>
  <c r="B46" i="4"/>
  <c r="B45" i="4"/>
  <c r="B52" i="4"/>
  <c r="B51" i="4"/>
  <c r="B50" i="4"/>
  <c r="B49" i="4"/>
  <c r="B48" i="4"/>
  <c r="B44" i="4"/>
  <c r="B43" i="4"/>
  <c r="B42" i="4"/>
  <c r="B41" i="4"/>
  <c r="B40" i="4"/>
  <c r="B39" i="4"/>
  <c r="B38" i="4"/>
  <c r="B37" i="4"/>
  <c r="B28" i="4"/>
  <c r="B27" i="4"/>
  <c r="B26" i="4"/>
  <c r="B25" i="4"/>
  <c r="B15" i="4"/>
  <c r="B14" i="4"/>
  <c r="B13" i="4"/>
  <c r="B12" i="4"/>
  <c r="B24" i="4"/>
  <c r="B23" i="4"/>
  <c r="B11" i="4"/>
  <c r="B22" i="4"/>
  <c r="B21" i="4"/>
  <c r="B20" i="4"/>
  <c r="B19" i="4"/>
  <c r="B18" i="4"/>
  <c r="B17" i="4"/>
  <c r="B16" i="4"/>
  <c r="B10" i="4"/>
  <c r="B9" i="4"/>
  <c r="B8" i="4"/>
  <c r="B7" i="4"/>
  <c r="B6" i="4"/>
  <c r="B71" i="4"/>
  <c r="B70" i="4"/>
  <c r="B69" i="4"/>
  <c r="B68" i="4"/>
  <c r="B67" i="4"/>
  <c r="B66" i="4"/>
  <c r="B65" i="4"/>
  <c r="B64" i="4"/>
  <c r="B63" i="4"/>
  <c r="B62" i="4"/>
  <c r="B61" i="4"/>
  <c r="B60" i="4"/>
  <c r="B59" i="4"/>
  <c r="B58" i="4"/>
  <c r="B57" i="4"/>
  <c r="B56" i="4"/>
  <c r="B55" i="4"/>
  <c r="B54" i="4"/>
  <c r="B53" i="4"/>
  <c r="AM35" i="4" l="1"/>
  <c r="AM123" i="4"/>
  <c r="AM144" i="4"/>
  <c r="AM137" i="4"/>
  <c r="AM139" i="4"/>
  <c r="AM141" i="4"/>
  <c r="AM7" i="4"/>
  <c r="AM50" i="4"/>
  <c r="AM74" i="4"/>
  <c r="AM8" i="4"/>
  <c r="AM10" i="4"/>
  <c r="AM19" i="4"/>
  <c r="AM51" i="4"/>
  <c r="AM45" i="4"/>
  <c r="AM73" i="4"/>
  <c r="AM143" i="4"/>
  <c r="AM34" i="4"/>
  <c r="AM36" i="4"/>
  <c r="AM124" i="4"/>
  <c r="AM126" i="4"/>
  <c r="AM128" i="4"/>
  <c r="AM136" i="4"/>
  <c r="AM138" i="4"/>
  <c r="AM140" i="4"/>
  <c r="AM86" i="4"/>
  <c r="AM88" i="4"/>
  <c r="AM90" i="4"/>
  <c r="AM84" i="4"/>
  <c r="W59" i="4"/>
  <c r="W67" i="4"/>
  <c r="W71" i="4"/>
  <c r="W18" i="4"/>
  <c r="W22" i="4"/>
  <c r="W12" i="4"/>
  <c r="W25" i="4"/>
  <c r="W37" i="4"/>
  <c r="W41" i="4"/>
  <c r="W48" i="4"/>
  <c r="W52" i="4"/>
  <c r="W72" i="4"/>
  <c r="W76" i="4"/>
  <c r="W140" i="4"/>
  <c r="W145" i="4"/>
  <c r="W149" i="4"/>
  <c r="W155" i="4"/>
  <c r="E155" i="4" s="1"/>
  <c r="F155" i="4" s="1"/>
  <c r="W152" i="4"/>
  <c r="E152" i="4" s="1"/>
  <c r="F152" i="4" s="1"/>
  <c r="W103" i="4"/>
  <c r="W107" i="4"/>
  <c r="W111" i="4"/>
  <c r="E111" i="4" s="1"/>
  <c r="W115" i="4"/>
  <c r="W119" i="4"/>
  <c r="W96" i="4"/>
  <c r="W100" i="4"/>
  <c r="E100" i="4" s="1"/>
  <c r="W89" i="4"/>
  <c r="E89" i="4" s="1"/>
  <c r="G89" i="4" s="1"/>
  <c r="W77" i="4"/>
  <c r="W81" i="4"/>
  <c r="W85" i="4"/>
  <c r="E85" i="4" s="1"/>
  <c r="AM54" i="4"/>
  <c r="AM62" i="4"/>
  <c r="AM70" i="4"/>
  <c r="AM24" i="4"/>
  <c r="AM28" i="4"/>
  <c r="AM44" i="4"/>
  <c r="AM109" i="4"/>
  <c r="W55" i="4"/>
  <c r="W63" i="4"/>
  <c r="E63" i="4" s="1"/>
  <c r="W9" i="4"/>
  <c r="AM57" i="4"/>
  <c r="AM59" i="4"/>
  <c r="AM61" i="4"/>
  <c r="AM63" i="4"/>
  <c r="AM65" i="4"/>
  <c r="AM9" i="4"/>
  <c r="AM20" i="4"/>
  <c r="AM22" i="4"/>
  <c r="AM14" i="4"/>
  <c r="AM25" i="4"/>
  <c r="AM27" i="4"/>
  <c r="AM37" i="4"/>
  <c r="AM39" i="4"/>
  <c r="AM52" i="4"/>
  <c r="AM46" i="4"/>
  <c r="AM72" i="4"/>
  <c r="AM31" i="4"/>
  <c r="AM154" i="4"/>
  <c r="AM120" i="4"/>
  <c r="AM122" i="4"/>
  <c r="AM156" i="4"/>
  <c r="AM110" i="4"/>
  <c r="AM112" i="4"/>
  <c r="AM114" i="4"/>
  <c r="AM116" i="4"/>
  <c r="AM83" i="4"/>
  <c r="AM56" i="4"/>
  <c r="AM67" i="4"/>
  <c r="E67" i="4" s="1"/>
  <c r="AM69" i="4"/>
  <c r="AM71" i="4"/>
  <c r="AM17" i="4"/>
  <c r="AM21" i="4"/>
  <c r="AM11" i="4"/>
  <c r="AM13" i="4"/>
  <c r="AM41" i="4"/>
  <c r="AM43" i="4"/>
  <c r="AM48" i="4"/>
  <c r="AM47" i="4"/>
  <c r="AM75" i="4"/>
  <c r="AM29" i="4"/>
  <c r="AM33" i="4"/>
  <c r="AM130" i="4"/>
  <c r="AM132" i="4"/>
  <c r="AM134" i="4"/>
  <c r="AM153" i="4"/>
  <c r="AM146" i="4"/>
  <c r="AM148" i="4"/>
  <c r="AM150" i="4"/>
  <c r="AM103" i="4"/>
  <c r="AM105" i="4"/>
  <c r="AM107" i="4"/>
  <c r="AM118" i="4"/>
  <c r="AM93" i="4"/>
  <c r="AM95" i="4"/>
  <c r="AM97" i="4"/>
  <c r="AM77" i="4"/>
  <c r="AM79" i="4"/>
  <c r="AM58" i="4"/>
  <c r="AM60" i="4"/>
  <c r="AM64" i="4"/>
  <c r="AM16" i="4"/>
  <c r="AM18" i="4"/>
  <c r="AM15" i="4"/>
  <c r="AM26" i="4"/>
  <c r="AM38" i="4"/>
  <c r="AM125" i="4"/>
  <c r="AM127" i="4"/>
  <c r="AM115" i="4"/>
  <c r="AM55" i="4"/>
  <c r="E55" i="4" s="1"/>
  <c r="AM66" i="4"/>
  <c r="AM68" i="4"/>
  <c r="AM6" i="4"/>
  <c r="AM23" i="4"/>
  <c r="AM12" i="4"/>
  <c r="AM40" i="4"/>
  <c r="AM42" i="4"/>
  <c r="AM49" i="4"/>
  <c r="AM76" i="4"/>
  <c r="E76" i="4" s="1"/>
  <c r="AM30" i="4"/>
  <c r="AM32" i="4"/>
  <c r="AM129" i="4"/>
  <c r="AM131" i="4"/>
  <c r="AM133" i="4"/>
  <c r="AM135" i="4"/>
  <c r="AM145" i="4"/>
  <c r="AM147" i="4"/>
  <c r="AM149" i="4"/>
  <c r="AM102" i="4"/>
  <c r="AM104" i="4"/>
  <c r="AM106" i="4"/>
  <c r="AM108" i="4"/>
  <c r="AM119" i="4"/>
  <c r="AM94" i="4"/>
  <c r="AM96" i="4"/>
  <c r="AM99" i="4"/>
  <c r="AM92" i="4"/>
  <c r="AM78" i="4"/>
  <c r="AM80" i="4"/>
  <c r="AM82" i="4"/>
  <c r="W53" i="4"/>
  <c r="W57" i="4"/>
  <c r="E57" i="4" s="1"/>
  <c r="G57" i="4" s="1"/>
  <c r="W61" i="4"/>
  <c r="W65" i="4"/>
  <c r="W69" i="4"/>
  <c r="W7" i="4"/>
  <c r="E7" i="4" s="1"/>
  <c r="F7" i="4" s="1"/>
  <c r="W16" i="4"/>
  <c r="W20" i="4"/>
  <c r="E20" i="4" s="1"/>
  <c r="G20" i="4" s="1"/>
  <c r="W23" i="4"/>
  <c r="W14" i="4"/>
  <c r="E14" i="4" s="1"/>
  <c r="F14" i="4" s="1"/>
  <c r="W27" i="4"/>
  <c r="W39" i="4"/>
  <c r="W43" i="4"/>
  <c r="E43" i="4" s="1"/>
  <c r="F43" i="4" s="1"/>
  <c r="W50" i="4"/>
  <c r="E50" i="4" s="1"/>
  <c r="F50" i="4" s="1"/>
  <c r="W46" i="4"/>
  <c r="W74" i="4"/>
  <c r="E74" i="4" s="1"/>
  <c r="W30" i="4"/>
  <c r="W138" i="4"/>
  <c r="E138" i="4" s="1"/>
  <c r="F138" i="4" s="1"/>
  <c r="W142" i="4"/>
  <c r="E142" i="4" s="1"/>
  <c r="F142" i="4" s="1"/>
  <c r="W147" i="4"/>
  <c r="W151" i="4"/>
  <c r="E151" i="4" s="1"/>
  <c r="F151" i="4" s="1"/>
  <c r="W121" i="4"/>
  <c r="E121" i="4" s="1"/>
  <c r="F121" i="4" s="1"/>
  <c r="W101" i="4"/>
  <c r="E101" i="4" s="1"/>
  <c r="F101" i="4" s="1"/>
  <c r="W105" i="4"/>
  <c r="W109" i="4"/>
  <c r="W113" i="4"/>
  <c r="E113" i="4" s="1"/>
  <c r="G113" i="4" s="1"/>
  <c r="W117" i="4"/>
  <c r="E117" i="4" s="1"/>
  <c r="G117" i="4" s="1"/>
  <c r="W94" i="4"/>
  <c r="W98" i="4"/>
  <c r="E98" i="4" s="1"/>
  <c r="F98" i="4" s="1"/>
  <c r="W87" i="4"/>
  <c r="E87" i="4" s="1"/>
  <c r="F87" i="4" s="1"/>
  <c r="W91" i="4"/>
  <c r="E91" i="4" s="1"/>
  <c r="F91" i="4" s="1"/>
  <c r="W79" i="4"/>
  <c r="W83" i="4"/>
  <c r="E83" i="4" s="1"/>
  <c r="G83" i="4" s="1"/>
  <c r="AM81" i="4"/>
  <c r="W56" i="4"/>
  <c r="W60" i="4"/>
  <c r="E60" i="4" s="1"/>
  <c r="G60" i="4" s="1"/>
  <c r="W64" i="4"/>
  <c r="E64" i="4" s="1"/>
  <c r="F64" i="4" s="1"/>
  <c r="W68" i="4"/>
  <c r="E68" i="4" s="1"/>
  <c r="F68" i="4" s="1"/>
  <c r="W6" i="4"/>
  <c r="W10" i="4"/>
  <c r="E10" i="4" s="1"/>
  <c r="G10" i="4" s="1"/>
  <c r="W19" i="4"/>
  <c r="W11" i="4"/>
  <c r="E11" i="4" s="1"/>
  <c r="F11" i="4" s="1"/>
  <c r="W13" i="4"/>
  <c r="E13" i="4" s="1"/>
  <c r="F13" i="4" s="1"/>
  <c r="W26" i="4"/>
  <c r="W38" i="4"/>
  <c r="W42" i="4"/>
  <c r="E42" i="4" s="1"/>
  <c r="F42" i="4" s="1"/>
  <c r="W49" i="4"/>
  <c r="W45" i="4"/>
  <c r="E45" i="4" s="1"/>
  <c r="F45" i="4" s="1"/>
  <c r="W73" i="4"/>
  <c r="E73" i="4" s="1"/>
  <c r="G73" i="4" s="1"/>
  <c r="W29" i="4"/>
  <c r="E29" i="4" s="1"/>
  <c r="F29" i="4" s="1"/>
  <c r="W32" i="4"/>
  <c r="W36" i="4"/>
  <c r="E36" i="4" s="1"/>
  <c r="F36" i="4" s="1"/>
  <c r="W126" i="4"/>
  <c r="W130" i="4"/>
  <c r="E130" i="4" s="1"/>
  <c r="F130" i="4" s="1"/>
  <c r="W134" i="4"/>
  <c r="W136" i="4"/>
  <c r="E136" i="4" s="1"/>
  <c r="F136" i="4" s="1"/>
  <c r="W141" i="4"/>
  <c r="E141" i="4" s="1"/>
  <c r="G141" i="4" s="1"/>
  <c r="W146" i="4"/>
  <c r="E146" i="4" s="1"/>
  <c r="F146" i="4" s="1"/>
  <c r="W150" i="4"/>
  <c r="W120" i="4"/>
  <c r="E120" i="4" s="1"/>
  <c r="G120" i="4" s="1"/>
  <c r="W156" i="4"/>
  <c r="W104" i="4"/>
  <c r="E104" i="4" s="1"/>
  <c r="F104" i="4" s="1"/>
  <c r="W108" i="4"/>
  <c r="W112" i="4"/>
  <c r="E112" i="4" s="1"/>
  <c r="W116" i="4"/>
  <c r="W93" i="4"/>
  <c r="E93" i="4" s="1"/>
  <c r="F93" i="4" s="1"/>
  <c r="W97" i="4"/>
  <c r="W86" i="4"/>
  <c r="E86" i="4" s="1"/>
  <c r="G86" i="4" s="1"/>
  <c r="W90" i="4"/>
  <c r="E90" i="4" s="1"/>
  <c r="F90" i="4" s="1"/>
  <c r="W78" i="4"/>
  <c r="E78" i="4" s="1"/>
  <c r="G78" i="4" s="1"/>
  <c r="W82" i="4"/>
  <c r="W54" i="4"/>
  <c r="E54" i="4" s="1"/>
  <c r="G54" i="4" s="1"/>
  <c r="W58" i="4"/>
  <c r="E58" i="4" s="1"/>
  <c r="F58" i="4" s="1"/>
  <c r="W62" i="4"/>
  <c r="E62" i="4" s="1"/>
  <c r="F62" i="4" s="1"/>
  <c r="W66" i="4"/>
  <c r="W70" i="4"/>
  <c r="W8" i="4"/>
  <c r="E8" i="4" s="1"/>
  <c r="F8" i="4" s="1"/>
  <c r="W17" i="4"/>
  <c r="E17" i="4" s="1"/>
  <c r="F17" i="4" s="1"/>
  <c r="W21" i="4"/>
  <c r="W24" i="4"/>
  <c r="E24" i="4" s="1"/>
  <c r="F24" i="4" s="1"/>
  <c r="W15" i="4"/>
  <c r="E15" i="4" s="1"/>
  <c r="F15" i="4" s="1"/>
  <c r="W28" i="4"/>
  <c r="E28" i="4" s="1"/>
  <c r="F28" i="4" s="1"/>
  <c r="W40" i="4"/>
  <c r="W44" i="4"/>
  <c r="E44" i="4" s="1"/>
  <c r="F44" i="4" s="1"/>
  <c r="W51" i="4"/>
  <c r="E51" i="4" s="1"/>
  <c r="F51" i="4" s="1"/>
  <c r="W47" i="4"/>
  <c r="E47" i="4" s="1"/>
  <c r="F47" i="4" s="1"/>
  <c r="W75" i="4"/>
  <c r="W31" i="4"/>
  <c r="W139" i="4"/>
  <c r="E139" i="4" s="1"/>
  <c r="F139" i="4" s="1"/>
  <c r="W153" i="4"/>
  <c r="E153" i="4" s="1"/>
  <c r="F153" i="4" s="1"/>
  <c r="W148" i="4"/>
  <c r="W154" i="4"/>
  <c r="E154" i="4" s="1"/>
  <c r="F154" i="4" s="1"/>
  <c r="W122" i="4"/>
  <c r="E122" i="4" s="1"/>
  <c r="F122" i="4" s="1"/>
  <c r="W102" i="4"/>
  <c r="E102" i="4" s="1"/>
  <c r="F102" i="4" s="1"/>
  <c r="W106" i="4"/>
  <c r="W110" i="4"/>
  <c r="E110" i="4" s="1"/>
  <c r="F110" i="4" s="1"/>
  <c r="W114" i="4"/>
  <c r="E114" i="4" s="1"/>
  <c r="F114" i="4" s="1"/>
  <c r="W118" i="4"/>
  <c r="E118" i="4" s="1"/>
  <c r="G118" i="4" s="1"/>
  <c r="W95" i="4"/>
  <c r="W99" i="4"/>
  <c r="E99" i="4" s="1"/>
  <c r="F99" i="4" s="1"/>
  <c r="W88" i="4"/>
  <c r="E88" i="4" s="1"/>
  <c r="F88" i="4" s="1"/>
  <c r="W92" i="4"/>
  <c r="E92" i="4" s="1"/>
  <c r="F92" i="4" s="1"/>
  <c r="W80" i="4"/>
  <c r="W84" i="4"/>
  <c r="AM53" i="4"/>
  <c r="F85" i="4"/>
  <c r="F20" i="4"/>
  <c r="F74" i="4"/>
  <c r="F117" i="4"/>
  <c r="G24" i="4"/>
  <c r="G154" i="4"/>
  <c r="F63" i="4"/>
  <c r="G36" i="4"/>
  <c r="G152" i="4"/>
  <c r="F111" i="4"/>
  <c r="F100" i="4"/>
  <c r="F89" i="4"/>
  <c r="W34" i="4"/>
  <c r="E34" i="4" s="1"/>
  <c r="F34" i="4" s="1"/>
  <c r="W124" i="4"/>
  <c r="E124" i="4" s="1"/>
  <c r="F124" i="4" s="1"/>
  <c r="W128" i="4"/>
  <c r="E128" i="4" s="1"/>
  <c r="F128" i="4" s="1"/>
  <c r="W132" i="4"/>
  <c r="E132" i="4" s="1"/>
  <c r="F132" i="4" s="1"/>
  <c r="W143" i="4"/>
  <c r="G64" i="4"/>
  <c r="G13" i="4"/>
  <c r="G45" i="4"/>
  <c r="G29" i="4"/>
  <c r="G112" i="4"/>
  <c r="G90" i="4"/>
  <c r="F60" i="4"/>
  <c r="F10" i="4"/>
  <c r="F73" i="4"/>
  <c r="F120" i="4"/>
  <c r="F112" i="4"/>
  <c r="G74" i="4"/>
  <c r="G151" i="4"/>
  <c r="G98" i="4"/>
  <c r="G91" i="4"/>
  <c r="F83" i="4"/>
  <c r="G58" i="4"/>
  <c r="G8" i="4"/>
  <c r="G15" i="4"/>
  <c r="G139" i="4"/>
  <c r="G110" i="4"/>
  <c r="G114" i="4"/>
  <c r="G63" i="4"/>
  <c r="G136" i="4"/>
  <c r="G155" i="4"/>
  <c r="G111" i="4"/>
  <c r="G100" i="4"/>
  <c r="G85" i="4"/>
  <c r="W33" i="4"/>
  <c r="E33" i="4" s="1"/>
  <c r="F33" i="4" s="1"/>
  <c r="W123" i="4"/>
  <c r="W127" i="4"/>
  <c r="E127" i="4" s="1"/>
  <c r="G127" i="4" s="1"/>
  <c r="W131" i="4"/>
  <c r="E131" i="4" s="1"/>
  <c r="F131" i="4" s="1"/>
  <c r="W135" i="4"/>
  <c r="E135" i="4" s="1"/>
  <c r="F135" i="4" s="1"/>
  <c r="W137" i="4"/>
  <c r="W35" i="4"/>
  <c r="E35" i="4" s="1"/>
  <c r="F35" i="4" s="1"/>
  <c r="W125" i="4"/>
  <c r="E125" i="4" s="1"/>
  <c r="F125" i="4" s="1"/>
  <c r="W129" i="4"/>
  <c r="E129" i="4" s="1"/>
  <c r="G129" i="4" s="1"/>
  <c r="W133" i="4"/>
  <c r="W144" i="4"/>
  <c r="E144" i="4" s="1"/>
  <c r="F144" i="4" s="1"/>
  <c r="E143" i="4" l="1"/>
  <c r="F143" i="4" s="1"/>
  <c r="E116" i="4"/>
  <c r="G116" i="4" s="1"/>
  <c r="E156" i="4"/>
  <c r="E126" i="4"/>
  <c r="G126" i="4" s="1"/>
  <c r="E19" i="4"/>
  <c r="E109" i="4"/>
  <c r="F109" i="4" s="1"/>
  <c r="E84" i="4"/>
  <c r="E31" i="4"/>
  <c r="G31" i="4" s="1"/>
  <c r="E70" i="4"/>
  <c r="F70" i="4" s="1"/>
  <c r="E39" i="4"/>
  <c r="E65" i="4"/>
  <c r="E140" i="4"/>
  <c r="G7" i="4"/>
  <c r="E137" i="4"/>
  <c r="F137" i="4" s="1"/>
  <c r="G138" i="4"/>
  <c r="F54" i="4"/>
  <c r="G51" i="4"/>
  <c r="G121" i="4"/>
  <c r="G43" i="4"/>
  <c r="F86" i="4"/>
  <c r="F126" i="4"/>
  <c r="F31" i="4"/>
  <c r="E96" i="4"/>
  <c r="F96" i="4" s="1"/>
  <c r="E12" i="4"/>
  <c r="G12" i="4" s="1"/>
  <c r="G104" i="4"/>
  <c r="E30" i="4"/>
  <c r="G87" i="4"/>
  <c r="F113" i="4"/>
  <c r="E133" i="4"/>
  <c r="G133" i="4" s="1"/>
  <c r="E123" i="4"/>
  <c r="F123" i="4" s="1"/>
  <c r="G99" i="4"/>
  <c r="G70" i="4"/>
  <c r="G109" i="4"/>
  <c r="F116" i="4"/>
  <c r="F141" i="4"/>
  <c r="F57" i="4"/>
  <c r="E148" i="4"/>
  <c r="G148" i="4" s="1"/>
  <c r="E75" i="4"/>
  <c r="F75" i="4" s="1"/>
  <c r="E40" i="4"/>
  <c r="F40" i="4" s="1"/>
  <c r="E21" i="4"/>
  <c r="F21" i="4" s="1"/>
  <c r="E82" i="4"/>
  <c r="E97" i="4"/>
  <c r="G97" i="4" s="1"/>
  <c r="E108" i="4"/>
  <c r="G108" i="4" s="1"/>
  <c r="E150" i="4"/>
  <c r="E134" i="4"/>
  <c r="E32" i="4"/>
  <c r="F32" i="4" s="1"/>
  <c r="E6" i="4"/>
  <c r="F6" i="4" s="1"/>
  <c r="E56" i="4"/>
  <c r="E46" i="4"/>
  <c r="F46" i="4" s="1"/>
  <c r="E27" i="4"/>
  <c r="F27" i="4" s="1"/>
  <c r="E61" i="4"/>
  <c r="F61" i="4" s="1"/>
  <c r="G27" i="4"/>
  <c r="G142" i="4"/>
  <c r="G42" i="4"/>
  <c r="E41" i="4"/>
  <c r="G41" i="4" s="1"/>
  <c r="F41" i="4"/>
  <c r="E18" i="4"/>
  <c r="F18" i="4" s="1"/>
  <c r="E77" i="4"/>
  <c r="G77" i="4" s="1"/>
  <c r="E81" i="4"/>
  <c r="F81" i="4" s="1"/>
  <c r="E145" i="4"/>
  <c r="F145" i="4" s="1"/>
  <c r="G44" i="4"/>
  <c r="G132" i="4"/>
  <c r="F148" i="4"/>
  <c r="E48" i="4"/>
  <c r="F48" i="4" s="1"/>
  <c r="G93" i="4"/>
  <c r="E115" i="4"/>
  <c r="G115" i="4" s="1"/>
  <c r="E103" i="4"/>
  <c r="G103" i="4" s="1"/>
  <c r="G75" i="4"/>
  <c r="G62" i="4"/>
  <c r="G128" i="4"/>
  <c r="G11" i="4"/>
  <c r="G68" i="4"/>
  <c r="E119" i="4"/>
  <c r="F119" i="4" s="1"/>
  <c r="E107" i="4"/>
  <c r="F107" i="4" s="1"/>
  <c r="G130" i="4"/>
  <c r="G153" i="4"/>
  <c r="G17" i="4"/>
  <c r="G124" i="4"/>
  <c r="G50" i="4"/>
  <c r="G146" i="4"/>
  <c r="G101" i="4"/>
  <c r="G14" i="4"/>
  <c r="E149" i="4"/>
  <c r="G149" i="4" s="1"/>
  <c r="E71" i="4"/>
  <c r="F71" i="4" s="1"/>
  <c r="F76" i="4"/>
  <c r="G76" i="4"/>
  <c r="E72" i="4"/>
  <c r="E37" i="4"/>
  <c r="E49" i="4"/>
  <c r="E9" i="4"/>
  <c r="E52" i="4"/>
  <c r="E25" i="4"/>
  <c r="E22" i="4"/>
  <c r="E59" i="4"/>
  <c r="F12" i="4"/>
  <c r="F67" i="4"/>
  <c r="G67" i="4"/>
  <c r="G145" i="4"/>
  <c r="F55" i="4"/>
  <c r="G55" i="4"/>
  <c r="E16" i="4"/>
  <c r="G92" i="4"/>
  <c r="F118" i="4"/>
  <c r="G102" i="4"/>
  <c r="G47" i="4"/>
  <c r="G28" i="4"/>
  <c r="E38" i="4"/>
  <c r="E23" i="4"/>
  <c r="E69" i="4"/>
  <c r="F78" i="4"/>
  <c r="G88" i="4"/>
  <c r="G122" i="4"/>
  <c r="E80" i="4"/>
  <c r="E95" i="4"/>
  <c r="E106" i="4"/>
  <c r="E66" i="4"/>
  <c r="E26" i="4"/>
  <c r="E79" i="4"/>
  <c r="E94" i="4"/>
  <c r="E105" i="4"/>
  <c r="E147" i="4"/>
  <c r="E53" i="4"/>
  <c r="G125" i="4"/>
  <c r="F127" i="4"/>
  <c r="G137" i="4"/>
  <c r="G123" i="4"/>
  <c r="G144" i="4"/>
  <c r="G35" i="4"/>
  <c r="G143" i="4"/>
  <c r="G34" i="4"/>
  <c r="G135" i="4"/>
  <c r="G33" i="4"/>
  <c r="F133" i="4"/>
  <c r="G131" i="4"/>
  <c r="F129" i="4"/>
  <c r="I155" i="3"/>
  <c r="I154" i="3"/>
  <c r="I153" i="3"/>
  <c r="I152" i="3"/>
  <c r="I151" i="3"/>
  <c r="I150" i="3"/>
  <c r="I149" i="3"/>
  <c r="I148" i="3"/>
  <c r="I147" i="3"/>
  <c r="I146" i="3"/>
  <c r="I145" i="3"/>
  <c r="I144" i="3"/>
  <c r="I143" i="3"/>
  <c r="I142" i="3"/>
  <c r="I141" i="3"/>
  <c r="I140" i="3"/>
  <c r="I139" i="3"/>
  <c r="I138" i="3"/>
  <c r="I137" i="3"/>
  <c r="I136" i="3"/>
  <c r="I135" i="3"/>
  <c r="I134" i="3"/>
  <c r="I133" i="3"/>
  <c r="I132" i="3"/>
  <c r="I131" i="3"/>
  <c r="I130" i="3"/>
  <c r="I129" i="3"/>
  <c r="I128" i="3"/>
  <c r="I127" i="3"/>
  <c r="I126" i="3"/>
  <c r="I125" i="3"/>
  <c r="I124" i="3"/>
  <c r="I123" i="3"/>
  <c r="I122" i="3"/>
  <c r="I121" i="3"/>
  <c r="I120" i="3"/>
  <c r="I119" i="3"/>
  <c r="I118" i="3"/>
  <c r="I117" i="3"/>
  <c r="I116" i="3"/>
  <c r="I115" i="3"/>
  <c r="I114" i="3"/>
  <c r="I113" i="3"/>
  <c r="I112" i="3"/>
  <c r="I111" i="3"/>
  <c r="I110" i="3"/>
  <c r="I109" i="3"/>
  <c r="I108" i="3"/>
  <c r="I107" i="3"/>
  <c r="I106" i="3"/>
  <c r="I105" i="3"/>
  <c r="I104" i="3"/>
  <c r="I103" i="3"/>
  <c r="I102" i="3"/>
  <c r="I101" i="3"/>
  <c r="I100" i="3"/>
  <c r="I99" i="3"/>
  <c r="I98" i="3"/>
  <c r="I97" i="3"/>
  <c r="I96" i="3"/>
  <c r="I95" i="3"/>
  <c r="I94" i="3"/>
  <c r="I93" i="3"/>
  <c r="I92" i="3"/>
  <c r="I91" i="3"/>
  <c r="I90" i="3"/>
  <c r="I89" i="3"/>
  <c r="I88" i="3"/>
  <c r="I87" i="3"/>
  <c r="I86" i="3"/>
  <c r="I85" i="3"/>
  <c r="I84" i="3"/>
  <c r="I83" i="3"/>
  <c r="I82" i="3"/>
  <c r="I81" i="3"/>
  <c r="I80" i="3"/>
  <c r="I79" i="3"/>
  <c r="I78" i="3"/>
  <c r="I77" i="3"/>
  <c r="I76" i="3"/>
  <c r="I75" i="3"/>
  <c r="I74" i="3"/>
  <c r="I73" i="3"/>
  <c r="I72" i="3"/>
  <c r="I71" i="3"/>
  <c r="I70" i="3"/>
  <c r="I69" i="3"/>
  <c r="I68" i="3"/>
  <c r="I67" i="3"/>
  <c r="I66" i="3"/>
  <c r="I65" i="3"/>
  <c r="I64" i="3"/>
  <c r="I63" i="3"/>
  <c r="I62" i="3"/>
  <c r="I61" i="3"/>
  <c r="I60" i="3"/>
  <c r="I59" i="3"/>
  <c r="I58" i="3"/>
  <c r="I57" i="3"/>
  <c r="I56" i="3"/>
  <c r="I55" i="3"/>
  <c r="I54" i="3"/>
  <c r="I53" i="3"/>
  <c r="I52" i="3"/>
  <c r="I51" i="3"/>
  <c r="I50" i="3"/>
  <c r="I49" i="3"/>
  <c r="I48" i="3"/>
  <c r="I47" i="3"/>
  <c r="I46" i="3"/>
  <c r="I45" i="3"/>
  <c r="I44" i="3"/>
  <c r="I43" i="3"/>
  <c r="I42" i="3"/>
  <c r="I41" i="3"/>
  <c r="I40" i="3"/>
  <c r="I39" i="3"/>
  <c r="I38" i="3"/>
  <c r="I37" i="3"/>
  <c r="I36" i="3"/>
  <c r="I35" i="3"/>
  <c r="I34" i="3"/>
  <c r="I33" i="3"/>
  <c r="I32" i="3"/>
  <c r="I31" i="3"/>
  <c r="I30" i="3"/>
  <c r="I29" i="3"/>
  <c r="I28" i="3"/>
  <c r="I27" i="3"/>
  <c r="I26" i="3"/>
  <c r="I25" i="3"/>
  <c r="I24" i="3"/>
  <c r="I23" i="3"/>
  <c r="I22" i="3"/>
  <c r="I21" i="3"/>
  <c r="I20" i="3"/>
  <c r="I19" i="3"/>
  <c r="I18" i="3"/>
  <c r="I17" i="3"/>
  <c r="I16" i="3"/>
  <c r="I15" i="3"/>
  <c r="I14" i="3"/>
  <c r="I13" i="3"/>
  <c r="I12" i="3"/>
  <c r="I11" i="3"/>
  <c r="I10" i="3"/>
  <c r="I9" i="3"/>
  <c r="I8" i="3"/>
  <c r="I7" i="3"/>
  <c r="I6" i="3"/>
  <c r="I5" i="3"/>
  <c r="E24" i="3"/>
  <c r="E23" i="3"/>
  <c r="E22" i="3"/>
  <c r="E21" i="3"/>
  <c r="E20" i="3"/>
  <c r="E19" i="3"/>
  <c r="E18" i="3"/>
  <c r="E17" i="3"/>
  <c r="E16" i="3"/>
  <c r="E15" i="3"/>
  <c r="E14" i="3"/>
  <c r="E13" i="3"/>
  <c r="E12" i="3"/>
  <c r="E11" i="3"/>
  <c r="E10" i="3"/>
  <c r="E9" i="3"/>
  <c r="E8" i="3"/>
  <c r="E7" i="3"/>
  <c r="E6" i="3"/>
  <c r="B6" i="3"/>
  <c r="E5" i="3"/>
  <c r="G96" i="4" l="1"/>
  <c r="F140" i="4"/>
  <c r="G140" i="4"/>
  <c r="F65" i="4"/>
  <c r="G65" i="4"/>
  <c r="G84" i="4"/>
  <c r="F84" i="4"/>
  <c r="F156" i="4"/>
  <c r="G156" i="4"/>
  <c r="G46" i="4"/>
  <c r="F39" i="4"/>
  <c r="G39" i="4"/>
  <c r="F19" i="4"/>
  <c r="G19" i="4"/>
  <c r="G18" i="4"/>
  <c r="F103" i="4"/>
  <c r="F97" i="4"/>
  <c r="G21" i="4"/>
  <c r="F77" i="4"/>
  <c r="G32" i="4"/>
  <c r="F108" i="4"/>
  <c r="F56" i="4"/>
  <c r="G56" i="4"/>
  <c r="G150" i="4"/>
  <c r="F150" i="4"/>
  <c r="G119" i="4"/>
  <c r="G6" i="4"/>
  <c r="G30" i="4"/>
  <c r="F30" i="4"/>
  <c r="G40" i="4"/>
  <c r="G61" i="4"/>
  <c r="F134" i="4"/>
  <c r="G134" i="4"/>
  <c r="F82" i="4"/>
  <c r="G82" i="4"/>
  <c r="G48" i="4"/>
  <c r="F149" i="4"/>
  <c r="G107" i="4"/>
  <c r="F115" i="4"/>
  <c r="G71" i="4"/>
  <c r="G81" i="4"/>
  <c r="B1" i="3"/>
  <c r="C2" i="1" s="1"/>
  <c r="F25" i="4"/>
  <c r="G25" i="4"/>
  <c r="F37" i="4"/>
  <c r="G37" i="4"/>
  <c r="G52" i="4"/>
  <c r="F52" i="4"/>
  <c r="F72" i="4"/>
  <c r="G72" i="4"/>
  <c r="F59" i="4"/>
  <c r="G59" i="4"/>
  <c r="G9" i="4"/>
  <c r="F9" i="4"/>
  <c r="G22" i="4"/>
  <c r="F22" i="4"/>
  <c r="F49" i="4"/>
  <c r="G49" i="4"/>
  <c r="G147" i="4"/>
  <c r="F147" i="4"/>
  <c r="F26" i="4"/>
  <c r="G26" i="4"/>
  <c r="F80" i="4"/>
  <c r="G80" i="4"/>
  <c r="F69" i="4"/>
  <c r="G69" i="4"/>
  <c r="F16" i="4"/>
  <c r="G16" i="4"/>
  <c r="G105" i="4"/>
  <c r="F105" i="4"/>
  <c r="G66" i="4"/>
  <c r="F66" i="4"/>
  <c r="F23" i="4"/>
  <c r="G23" i="4"/>
  <c r="G94" i="4"/>
  <c r="F94" i="4"/>
  <c r="G106" i="4"/>
  <c r="F106" i="4"/>
  <c r="F38" i="4"/>
  <c r="G38" i="4"/>
  <c r="G79" i="4"/>
  <c r="F79" i="4"/>
  <c r="G95" i="4"/>
  <c r="F95" i="4"/>
  <c r="F53" i="4"/>
  <c r="G53" i="4"/>
  <c r="O45" i="1" l="1"/>
  <c r="K45" i="1"/>
  <c r="O46" i="1"/>
  <c r="K46" i="1"/>
  <c r="O35" i="1"/>
  <c r="K35" i="1"/>
  <c r="O44" i="1"/>
  <c r="K44" i="1"/>
  <c r="O41" i="1"/>
  <c r="K41" i="1"/>
  <c r="O31" i="1"/>
  <c r="K31" i="1"/>
  <c r="O47" i="1"/>
  <c r="K47" i="1"/>
  <c r="O36" i="1"/>
  <c r="K36" i="1"/>
  <c r="O30" i="1"/>
  <c r="K30" i="1"/>
  <c r="O43" i="1"/>
  <c r="K43" i="1"/>
  <c r="O32" i="1"/>
  <c r="K32" i="1"/>
  <c r="O29" i="1"/>
  <c r="K29" i="1"/>
  <c r="O38" i="1"/>
  <c r="K38" i="1"/>
  <c r="O34" i="1"/>
  <c r="K34" i="1"/>
  <c r="O42" i="1"/>
  <c r="K42" i="1"/>
  <c r="O40" i="1"/>
  <c r="K40" i="1"/>
  <c r="O33" i="1"/>
  <c r="K33" i="1"/>
  <c r="O39" i="1"/>
  <c r="K39" i="1"/>
  <c r="O37" i="1"/>
  <c r="K37" i="1"/>
  <c r="H32" i="1"/>
  <c r="H31" i="1"/>
  <c r="I30" i="1"/>
  <c r="F42" i="1"/>
  <c r="J42" i="1"/>
  <c r="G42" i="1"/>
  <c r="L42" i="1"/>
  <c r="I42" i="1"/>
  <c r="H42" i="1"/>
  <c r="L40" i="1"/>
  <c r="I40" i="1"/>
  <c r="F40" i="1"/>
  <c r="H40" i="1"/>
  <c r="J40" i="1"/>
  <c r="G40" i="1"/>
  <c r="G33" i="1"/>
  <c r="L33" i="1"/>
  <c r="F33" i="1"/>
  <c r="H33" i="1"/>
  <c r="J39" i="1"/>
  <c r="G39" i="1"/>
  <c r="I39" i="1"/>
  <c r="H39" i="1"/>
  <c r="L39" i="1"/>
  <c r="F39" i="1"/>
  <c r="L37" i="1"/>
  <c r="G37" i="1"/>
  <c r="H37" i="1"/>
  <c r="F37" i="1"/>
  <c r="J37" i="1"/>
  <c r="I37" i="1"/>
  <c r="J31" i="1"/>
  <c r="H45" i="1"/>
  <c r="G45" i="1"/>
  <c r="L45" i="1"/>
  <c r="F45" i="1"/>
  <c r="J45" i="1"/>
  <c r="I45" i="1"/>
  <c r="F46" i="1"/>
  <c r="L46" i="1"/>
  <c r="I46" i="1"/>
  <c r="J46" i="1"/>
  <c r="G46" i="1"/>
  <c r="H46" i="1"/>
  <c r="G35" i="1"/>
  <c r="L35" i="1"/>
  <c r="F35" i="1"/>
  <c r="H35" i="1"/>
  <c r="I35" i="1"/>
  <c r="J35" i="1"/>
  <c r="L44" i="1"/>
  <c r="I44" i="1"/>
  <c r="H44" i="1"/>
  <c r="F44" i="1"/>
  <c r="J44" i="1"/>
  <c r="G44" i="1"/>
  <c r="H41" i="1"/>
  <c r="J41" i="1"/>
  <c r="L41" i="1"/>
  <c r="F41" i="1"/>
  <c r="G41" i="1"/>
  <c r="I41" i="1"/>
  <c r="G31" i="1"/>
  <c r="L31" i="1"/>
  <c r="F31" i="1"/>
  <c r="J47" i="1"/>
  <c r="G47" i="1"/>
  <c r="I47" i="1"/>
  <c r="H47" i="1"/>
  <c r="L47" i="1"/>
  <c r="F47" i="1"/>
  <c r="L36" i="1"/>
  <c r="G36" i="1"/>
  <c r="F36" i="1"/>
  <c r="I36" i="1"/>
  <c r="J36" i="1"/>
  <c r="H36" i="1"/>
  <c r="L30" i="1"/>
  <c r="G30" i="1"/>
  <c r="F30" i="1"/>
  <c r="J30" i="1"/>
  <c r="H30" i="1"/>
  <c r="J43" i="1"/>
  <c r="G43" i="1"/>
  <c r="H43" i="1"/>
  <c r="L43" i="1"/>
  <c r="I43" i="1"/>
  <c r="F43" i="1"/>
  <c r="J32" i="1"/>
  <c r="I33" i="1"/>
  <c r="L32" i="1"/>
  <c r="G32" i="1"/>
  <c r="F32" i="1"/>
  <c r="L29" i="1"/>
  <c r="G29" i="1"/>
  <c r="F29" i="1"/>
  <c r="H29" i="1"/>
  <c r="I29" i="1"/>
  <c r="J29" i="1"/>
  <c r="F38" i="1"/>
  <c r="L38" i="1"/>
  <c r="I38" i="1"/>
  <c r="J38" i="1"/>
  <c r="G38" i="1"/>
  <c r="H38" i="1"/>
  <c r="G34" i="1"/>
  <c r="L34" i="1"/>
  <c r="F34" i="1"/>
  <c r="J34" i="1"/>
  <c r="I34" i="1"/>
  <c r="H34" i="1"/>
  <c r="I31" i="1"/>
  <c r="I32" i="1"/>
  <c r="J33" i="1"/>
  <c r="E32" i="1"/>
  <c r="E29" i="1"/>
  <c r="E38" i="1"/>
  <c r="E34" i="1"/>
  <c r="E42" i="1"/>
  <c r="E40" i="1"/>
  <c r="E33" i="1"/>
  <c r="E39" i="1"/>
  <c r="E37" i="1"/>
  <c r="E45" i="1"/>
  <c r="E46" i="1"/>
  <c r="E35" i="1"/>
  <c r="E44" i="1"/>
  <c r="E41" i="1"/>
  <c r="E31" i="1"/>
  <c r="E47" i="1"/>
  <c r="E36" i="1"/>
  <c r="E30" i="1"/>
  <c r="E43" i="1"/>
  <c r="E62" i="1"/>
  <c r="E86" i="1" s="1"/>
  <c r="E65" i="1"/>
  <c r="E89" i="1" s="1"/>
  <c r="E59" i="1"/>
  <c r="E83" i="1" s="1"/>
  <c r="E9" i="1"/>
  <c r="E56" i="1" s="1"/>
  <c r="E80" i="1" s="1"/>
  <c r="E7" i="1"/>
  <c r="E54" i="1" s="1"/>
  <c r="E78" i="1" s="1"/>
  <c r="E10" i="1"/>
  <c r="E57" i="1" s="1"/>
  <c r="E81" i="1" s="1"/>
  <c r="E69" i="1"/>
  <c r="E93" i="1" s="1"/>
  <c r="E63" i="1"/>
  <c r="E87" i="1" s="1"/>
  <c r="E60" i="1"/>
  <c r="E84" i="1" s="1"/>
  <c r="E6" i="1"/>
  <c r="E53" i="1" s="1"/>
  <c r="E77" i="1" s="1"/>
  <c r="E66" i="1"/>
  <c r="E90" i="1" s="1"/>
  <c r="E70" i="1"/>
  <c r="E94" i="1" s="1"/>
  <c r="E67" i="1"/>
  <c r="E91" i="1" s="1"/>
  <c r="E64" i="1"/>
  <c r="E88" i="1" s="1"/>
  <c r="E58" i="1"/>
  <c r="E82" i="1" s="1"/>
  <c r="E61" i="1"/>
  <c r="E85" i="1" s="1"/>
  <c r="E8" i="1"/>
  <c r="E55" i="1" s="1"/>
  <c r="E79" i="1" s="1"/>
  <c r="E71" i="1"/>
  <c r="E95" i="1" s="1"/>
  <c r="E68" i="1"/>
  <c r="E92" i="1" s="1"/>
  <c r="M44" i="1" l="1"/>
  <c r="N34" i="1"/>
  <c r="M38" i="1"/>
  <c r="N45" i="1"/>
  <c r="M46" i="1"/>
  <c r="N35" i="1"/>
  <c r="N42" i="1"/>
  <c r="M43" i="1"/>
  <c r="M47" i="1"/>
  <c r="N40" i="1"/>
  <c r="N38" i="1"/>
  <c r="N41" i="1"/>
  <c r="N44" i="1"/>
  <c r="M35" i="1"/>
  <c r="N46" i="1"/>
  <c r="N36" i="1"/>
  <c r="N47" i="1"/>
  <c r="N37" i="1"/>
  <c r="M39" i="1"/>
  <c r="N32" i="1"/>
  <c r="N29" i="1"/>
  <c r="M33" i="1"/>
  <c r="M31" i="1"/>
  <c r="N30" i="1"/>
  <c r="M30" i="1"/>
  <c r="N31" i="1"/>
  <c r="N39" i="1"/>
  <c r="M32" i="1"/>
  <c r="M37" i="1"/>
  <c r="M36" i="1"/>
  <c r="M41" i="1"/>
  <c r="M40" i="1"/>
  <c r="M42" i="1"/>
  <c r="M34" i="1"/>
  <c r="M29" i="1"/>
  <c r="N43" i="1"/>
  <c r="M45" i="1"/>
  <c r="N33" i="1"/>
  <c r="T68" i="1"/>
  <c r="P68" i="1"/>
  <c r="L68" i="1"/>
  <c r="H68" i="1"/>
  <c r="S68" i="1"/>
  <c r="O68" i="1"/>
  <c r="K68" i="1"/>
  <c r="G68" i="1"/>
  <c r="R68" i="1"/>
  <c r="N68" i="1"/>
  <c r="J68" i="1"/>
  <c r="F68" i="1"/>
  <c r="U68" i="1"/>
  <c r="Q68" i="1"/>
  <c r="M68" i="1"/>
  <c r="I68" i="1"/>
  <c r="T71" i="1"/>
  <c r="P71" i="1"/>
  <c r="L71" i="1"/>
  <c r="H71" i="1"/>
  <c r="S71" i="1"/>
  <c r="O71" i="1"/>
  <c r="K71" i="1"/>
  <c r="G71" i="1"/>
  <c r="R71" i="1"/>
  <c r="N71" i="1"/>
  <c r="J71" i="1"/>
  <c r="F71" i="1"/>
  <c r="U71" i="1"/>
  <c r="Q71" i="1"/>
  <c r="M71" i="1"/>
  <c r="I71" i="1"/>
  <c r="T61" i="1"/>
  <c r="P61" i="1"/>
  <c r="L61" i="1"/>
  <c r="H61" i="1"/>
  <c r="S61" i="1"/>
  <c r="O61" i="1"/>
  <c r="K61" i="1"/>
  <c r="G61" i="1"/>
  <c r="R61" i="1"/>
  <c r="N61" i="1"/>
  <c r="J61" i="1"/>
  <c r="F61" i="1"/>
  <c r="U61" i="1"/>
  <c r="Q61" i="1"/>
  <c r="M61" i="1"/>
  <c r="I61" i="1"/>
  <c r="T64" i="1"/>
  <c r="P64" i="1"/>
  <c r="L64" i="1"/>
  <c r="H64" i="1"/>
  <c r="S64" i="1"/>
  <c r="O64" i="1"/>
  <c r="K64" i="1"/>
  <c r="G64" i="1"/>
  <c r="R64" i="1"/>
  <c r="N64" i="1"/>
  <c r="J64" i="1"/>
  <c r="F64" i="1"/>
  <c r="U64" i="1"/>
  <c r="Q64" i="1"/>
  <c r="M64" i="1"/>
  <c r="I64" i="1"/>
  <c r="T70" i="1"/>
  <c r="P70" i="1"/>
  <c r="L70" i="1"/>
  <c r="H70" i="1"/>
  <c r="S70" i="1"/>
  <c r="O70" i="1"/>
  <c r="K70" i="1"/>
  <c r="G70" i="1"/>
  <c r="R70" i="1"/>
  <c r="N70" i="1"/>
  <c r="J70" i="1"/>
  <c r="F70" i="1"/>
  <c r="U70" i="1"/>
  <c r="Q70" i="1"/>
  <c r="M70" i="1"/>
  <c r="I70" i="1"/>
  <c r="T53" i="1"/>
  <c r="P53" i="1"/>
  <c r="L53" i="1"/>
  <c r="H53" i="1"/>
  <c r="S53" i="1"/>
  <c r="O53" i="1"/>
  <c r="K53" i="1"/>
  <c r="G53" i="1"/>
  <c r="R53" i="1"/>
  <c r="N53" i="1"/>
  <c r="J53" i="1"/>
  <c r="F53" i="1"/>
  <c r="U53" i="1"/>
  <c r="Q53" i="1"/>
  <c r="M53" i="1"/>
  <c r="I53" i="1"/>
  <c r="T63" i="1"/>
  <c r="P63" i="1"/>
  <c r="L63" i="1"/>
  <c r="H63" i="1"/>
  <c r="S63" i="1"/>
  <c r="O63" i="1"/>
  <c r="K63" i="1"/>
  <c r="G63" i="1"/>
  <c r="R63" i="1"/>
  <c r="N63" i="1"/>
  <c r="J63" i="1"/>
  <c r="F63" i="1"/>
  <c r="U63" i="1"/>
  <c r="Q63" i="1"/>
  <c r="M63" i="1"/>
  <c r="I63" i="1"/>
  <c r="T57" i="1"/>
  <c r="P57" i="1"/>
  <c r="L57" i="1"/>
  <c r="H57" i="1"/>
  <c r="S57" i="1"/>
  <c r="O57" i="1"/>
  <c r="K57" i="1"/>
  <c r="G57" i="1"/>
  <c r="R57" i="1"/>
  <c r="N57" i="1"/>
  <c r="J57" i="1"/>
  <c r="F57" i="1"/>
  <c r="U57" i="1"/>
  <c r="Q57" i="1"/>
  <c r="M57" i="1"/>
  <c r="I57" i="1"/>
  <c r="T56" i="1"/>
  <c r="P56" i="1"/>
  <c r="L56" i="1"/>
  <c r="H56" i="1"/>
  <c r="S56" i="1"/>
  <c r="O56" i="1"/>
  <c r="K56" i="1"/>
  <c r="G56" i="1"/>
  <c r="R56" i="1"/>
  <c r="N56" i="1"/>
  <c r="J56" i="1"/>
  <c r="F56" i="1"/>
  <c r="U56" i="1"/>
  <c r="Q56" i="1"/>
  <c r="M56" i="1"/>
  <c r="I56" i="1"/>
  <c r="T65" i="1"/>
  <c r="P65" i="1"/>
  <c r="L65" i="1"/>
  <c r="H65" i="1"/>
  <c r="S65" i="1"/>
  <c r="O65" i="1"/>
  <c r="K65" i="1"/>
  <c r="G65" i="1"/>
  <c r="R65" i="1"/>
  <c r="N65" i="1"/>
  <c r="J65" i="1"/>
  <c r="F65" i="1"/>
  <c r="U65" i="1"/>
  <c r="Q65" i="1"/>
  <c r="M65" i="1"/>
  <c r="I65" i="1"/>
  <c r="T55" i="1"/>
  <c r="P55" i="1"/>
  <c r="L55" i="1"/>
  <c r="H55" i="1"/>
  <c r="S55" i="1"/>
  <c r="O55" i="1"/>
  <c r="K55" i="1"/>
  <c r="G55" i="1"/>
  <c r="R55" i="1"/>
  <c r="N55" i="1"/>
  <c r="J55" i="1"/>
  <c r="F55" i="1"/>
  <c r="U55" i="1"/>
  <c r="Q55" i="1"/>
  <c r="M55" i="1"/>
  <c r="I55" i="1"/>
  <c r="T58" i="1"/>
  <c r="P58" i="1"/>
  <c r="L58" i="1"/>
  <c r="H58" i="1"/>
  <c r="S58" i="1"/>
  <c r="O58" i="1"/>
  <c r="K58" i="1"/>
  <c r="G58" i="1"/>
  <c r="R58" i="1"/>
  <c r="N58" i="1"/>
  <c r="J58" i="1"/>
  <c r="F58" i="1"/>
  <c r="U58" i="1"/>
  <c r="Q58" i="1"/>
  <c r="M58" i="1"/>
  <c r="I58" i="1"/>
  <c r="T67" i="1"/>
  <c r="P67" i="1"/>
  <c r="L67" i="1"/>
  <c r="H67" i="1"/>
  <c r="S67" i="1"/>
  <c r="O67" i="1"/>
  <c r="K67" i="1"/>
  <c r="G67" i="1"/>
  <c r="R67" i="1"/>
  <c r="N67" i="1"/>
  <c r="J67" i="1"/>
  <c r="F67" i="1"/>
  <c r="U67" i="1"/>
  <c r="Q67" i="1"/>
  <c r="M67" i="1"/>
  <c r="I67" i="1"/>
  <c r="T66" i="1"/>
  <c r="P66" i="1"/>
  <c r="L66" i="1"/>
  <c r="H66" i="1"/>
  <c r="S66" i="1"/>
  <c r="O66" i="1"/>
  <c r="K66" i="1"/>
  <c r="G66" i="1"/>
  <c r="R66" i="1"/>
  <c r="N66" i="1"/>
  <c r="J66" i="1"/>
  <c r="F66" i="1"/>
  <c r="U66" i="1"/>
  <c r="Q66" i="1"/>
  <c r="M66" i="1"/>
  <c r="I66" i="1"/>
  <c r="T60" i="1"/>
  <c r="P60" i="1"/>
  <c r="L60" i="1"/>
  <c r="H60" i="1"/>
  <c r="S60" i="1"/>
  <c r="O60" i="1"/>
  <c r="K60" i="1"/>
  <c r="G60" i="1"/>
  <c r="R60" i="1"/>
  <c r="N60" i="1"/>
  <c r="J60" i="1"/>
  <c r="F60" i="1"/>
  <c r="U60" i="1"/>
  <c r="Q60" i="1"/>
  <c r="M60" i="1"/>
  <c r="I60" i="1"/>
  <c r="T69" i="1"/>
  <c r="P69" i="1"/>
  <c r="L69" i="1"/>
  <c r="H69" i="1"/>
  <c r="S69" i="1"/>
  <c r="O69" i="1"/>
  <c r="K69" i="1"/>
  <c r="G69" i="1"/>
  <c r="R69" i="1"/>
  <c r="N69" i="1"/>
  <c r="J69" i="1"/>
  <c r="F69" i="1"/>
  <c r="U69" i="1"/>
  <c r="Q69" i="1"/>
  <c r="M69" i="1"/>
  <c r="I69" i="1"/>
  <c r="T54" i="1"/>
  <c r="P54" i="1"/>
  <c r="L54" i="1"/>
  <c r="H54" i="1"/>
  <c r="S54" i="1"/>
  <c r="O54" i="1"/>
  <c r="K54" i="1"/>
  <c r="G54" i="1"/>
  <c r="R54" i="1"/>
  <c r="N54" i="1"/>
  <c r="J54" i="1"/>
  <c r="F54" i="1"/>
  <c r="U54" i="1"/>
  <c r="Q54" i="1"/>
  <c r="M54" i="1"/>
  <c r="I54" i="1"/>
  <c r="T59" i="1"/>
  <c r="P59" i="1"/>
  <c r="L59" i="1"/>
  <c r="H59" i="1"/>
  <c r="S59" i="1"/>
  <c r="O59" i="1"/>
  <c r="K59" i="1"/>
  <c r="G59" i="1"/>
  <c r="R59" i="1"/>
  <c r="N59" i="1"/>
  <c r="J59" i="1"/>
  <c r="F59" i="1"/>
  <c r="U59" i="1"/>
  <c r="Q59" i="1"/>
  <c r="M59" i="1"/>
  <c r="I59" i="1"/>
  <c r="T62" i="1"/>
  <c r="P62" i="1"/>
  <c r="L62" i="1"/>
  <c r="H62" i="1"/>
  <c r="S62" i="1"/>
  <c r="O62" i="1"/>
  <c r="K62" i="1"/>
  <c r="G62" i="1"/>
  <c r="R62" i="1"/>
  <c r="N62" i="1"/>
  <c r="J62" i="1"/>
  <c r="F62" i="1"/>
  <c r="U62" i="1"/>
  <c r="Q62" i="1"/>
  <c r="M62" i="1"/>
  <c r="I62" i="1"/>
  <c r="T94" i="1" l="1"/>
  <c r="P94" i="1"/>
  <c r="L94" i="1"/>
  <c r="H94" i="1"/>
  <c r="S94" i="1"/>
  <c r="O94" i="1"/>
  <c r="K94" i="1"/>
  <c r="G94" i="1"/>
  <c r="R94" i="1"/>
  <c r="N94" i="1"/>
  <c r="J94" i="1"/>
  <c r="F94" i="1"/>
  <c r="Q94" i="1"/>
  <c r="M94" i="1"/>
  <c r="I94" i="1"/>
  <c r="S89" i="1"/>
  <c r="O89" i="1"/>
  <c r="K89" i="1"/>
  <c r="G89" i="1"/>
  <c r="R89" i="1"/>
  <c r="N89" i="1"/>
  <c r="J89" i="1"/>
  <c r="F89" i="1"/>
  <c r="Q89" i="1"/>
  <c r="M89" i="1"/>
  <c r="I89" i="1"/>
  <c r="T89" i="1"/>
  <c r="P89" i="1"/>
  <c r="L89" i="1"/>
  <c r="H89" i="1"/>
  <c r="R80" i="1"/>
  <c r="N80" i="1"/>
  <c r="J80" i="1"/>
  <c r="F80" i="1"/>
  <c r="Q80" i="1"/>
  <c r="M80" i="1"/>
  <c r="I80" i="1"/>
  <c r="T80" i="1"/>
  <c r="P80" i="1"/>
  <c r="L80" i="1"/>
  <c r="H80" i="1"/>
  <c r="S80" i="1"/>
  <c r="O80" i="1"/>
  <c r="K80" i="1"/>
  <c r="G80" i="1"/>
  <c r="Q79" i="1"/>
  <c r="M79" i="1"/>
  <c r="I79" i="1"/>
  <c r="T79" i="1"/>
  <c r="P79" i="1"/>
  <c r="L79" i="1"/>
  <c r="H79" i="1"/>
  <c r="S79" i="1"/>
  <c r="O79" i="1"/>
  <c r="K79" i="1"/>
  <c r="G79" i="1"/>
  <c r="R79" i="1"/>
  <c r="N79" i="1"/>
  <c r="J79" i="1"/>
  <c r="F79" i="1"/>
  <c r="S93" i="1"/>
  <c r="O93" i="1"/>
  <c r="K93" i="1"/>
  <c r="G93" i="1"/>
  <c r="R93" i="1"/>
  <c r="N93" i="1"/>
  <c r="J93" i="1"/>
  <c r="F93" i="1"/>
  <c r="Q93" i="1"/>
  <c r="M93" i="1"/>
  <c r="I93" i="1"/>
  <c r="T93" i="1"/>
  <c r="P93" i="1"/>
  <c r="L93" i="1"/>
  <c r="H93" i="1"/>
  <c r="R88" i="1"/>
  <c r="N88" i="1"/>
  <c r="J88" i="1"/>
  <c r="F88" i="1"/>
  <c r="Q88" i="1"/>
  <c r="M88" i="1"/>
  <c r="I88" i="1"/>
  <c r="T88" i="1"/>
  <c r="P88" i="1"/>
  <c r="L88" i="1"/>
  <c r="H88" i="1"/>
  <c r="S88" i="1"/>
  <c r="O88" i="1"/>
  <c r="K88" i="1"/>
  <c r="G88" i="1"/>
  <c r="Q87" i="1"/>
  <c r="M87" i="1"/>
  <c r="I87" i="1"/>
  <c r="T87" i="1"/>
  <c r="P87" i="1"/>
  <c r="L87" i="1"/>
  <c r="H87" i="1"/>
  <c r="S87" i="1"/>
  <c r="O87" i="1"/>
  <c r="K87" i="1"/>
  <c r="G87" i="1"/>
  <c r="R87" i="1"/>
  <c r="N87" i="1"/>
  <c r="J87" i="1"/>
  <c r="F87" i="1"/>
  <c r="T86" i="1"/>
  <c r="P86" i="1"/>
  <c r="L86" i="1"/>
  <c r="H86" i="1"/>
  <c r="S86" i="1"/>
  <c r="O86" i="1"/>
  <c r="K86" i="1"/>
  <c r="G86" i="1"/>
  <c r="R86" i="1"/>
  <c r="N86" i="1"/>
  <c r="J86" i="1"/>
  <c r="F86" i="1"/>
  <c r="Q86" i="1"/>
  <c r="M86" i="1"/>
  <c r="I86" i="1"/>
  <c r="R84" i="1"/>
  <c r="N84" i="1"/>
  <c r="J84" i="1"/>
  <c r="F84" i="1"/>
  <c r="Q84" i="1"/>
  <c r="M84" i="1"/>
  <c r="I84" i="1"/>
  <c r="T84" i="1"/>
  <c r="P84" i="1"/>
  <c r="L84" i="1"/>
  <c r="H84" i="1"/>
  <c r="S84" i="1"/>
  <c r="O84" i="1"/>
  <c r="K84" i="1"/>
  <c r="G84" i="1"/>
  <c r="T82" i="1"/>
  <c r="P82" i="1"/>
  <c r="L82" i="1"/>
  <c r="H82" i="1"/>
  <c r="S82" i="1"/>
  <c r="O82" i="1"/>
  <c r="K82" i="1"/>
  <c r="G82" i="1"/>
  <c r="R82" i="1"/>
  <c r="N82" i="1"/>
  <c r="J82" i="1"/>
  <c r="F82" i="1"/>
  <c r="Q82" i="1"/>
  <c r="M82" i="1"/>
  <c r="I82" i="1"/>
  <c r="T78" i="1"/>
  <c r="P78" i="1"/>
  <c r="L78" i="1"/>
  <c r="H78" i="1"/>
  <c r="S78" i="1"/>
  <c r="O78" i="1"/>
  <c r="K78" i="1"/>
  <c r="G78" i="1"/>
  <c r="R78" i="1"/>
  <c r="N78" i="1"/>
  <c r="J78" i="1"/>
  <c r="F78" i="1"/>
  <c r="Q78" i="1"/>
  <c r="M78" i="1"/>
  <c r="I78" i="1"/>
  <c r="T77" i="1"/>
  <c r="O77" i="1"/>
  <c r="K77" i="1"/>
  <c r="R77" i="1"/>
  <c r="N77" i="1"/>
  <c r="J77" i="1"/>
  <c r="Q77" i="1"/>
  <c r="M77" i="1"/>
  <c r="S77" i="1"/>
  <c r="P77" i="1"/>
  <c r="L77" i="1"/>
  <c r="H77" i="1"/>
  <c r="I77" i="1"/>
  <c r="G77" i="1"/>
  <c r="F77" i="1"/>
  <c r="R92" i="1"/>
  <c r="N92" i="1"/>
  <c r="J92" i="1"/>
  <c r="F92" i="1"/>
  <c r="Q92" i="1"/>
  <c r="M92" i="1"/>
  <c r="I92" i="1"/>
  <c r="T92" i="1"/>
  <c r="P92" i="1"/>
  <c r="L92" i="1"/>
  <c r="H92" i="1"/>
  <c r="S92" i="1"/>
  <c r="O92" i="1"/>
  <c r="K92" i="1"/>
  <c r="G92" i="1"/>
  <c r="Q83" i="1"/>
  <c r="M83" i="1"/>
  <c r="I83" i="1"/>
  <c r="T83" i="1"/>
  <c r="P83" i="1"/>
  <c r="L83" i="1"/>
  <c r="H83" i="1"/>
  <c r="S83" i="1"/>
  <c r="O83" i="1"/>
  <c r="K83" i="1"/>
  <c r="G83" i="1"/>
  <c r="R83" i="1"/>
  <c r="N83" i="1"/>
  <c r="J83" i="1"/>
  <c r="F83" i="1"/>
  <c r="S85" i="1"/>
  <c r="O85" i="1"/>
  <c r="K85" i="1"/>
  <c r="G85" i="1"/>
  <c r="R85" i="1"/>
  <c r="N85" i="1"/>
  <c r="J85" i="1"/>
  <c r="F85" i="1"/>
  <c r="Q85" i="1"/>
  <c r="M85" i="1"/>
  <c r="I85" i="1"/>
  <c r="T85" i="1"/>
  <c r="P85" i="1"/>
  <c r="L85" i="1"/>
  <c r="H85" i="1"/>
  <c r="Q95" i="1"/>
  <c r="M95" i="1"/>
  <c r="I95" i="1"/>
  <c r="T95" i="1"/>
  <c r="P95" i="1"/>
  <c r="L95" i="1"/>
  <c r="H95" i="1"/>
  <c r="S95" i="1"/>
  <c r="O95" i="1"/>
  <c r="K95" i="1"/>
  <c r="G95" i="1"/>
  <c r="R95" i="1"/>
  <c r="N95" i="1"/>
  <c r="J95" i="1"/>
  <c r="F95" i="1"/>
  <c r="Q91" i="1"/>
  <c r="M91" i="1"/>
  <c r="I91" i="1"/>
  <c r="T91" i="1"/>
  <c r="P91" i="1"/>
  <c r="L91" i="1"/>
  <c r="H91" i="1"/>
  <c r="S91" i="1"/>
  <c r="O91" i="1"/>
  <c r="K91" i="1"/>
  <c r="G91" i="1"/>
  <c r="R91" i="1"/>
  <c r="N91" i="1"/>
  <c r="J91" i="1"/>
  <c r="F91" i="1"/>
  <c r="T90" i="1"/>
  <c r="P90" i="1"/>
  <c r="L90" i="1"/>
  <c r="H90" i="1"/>
  <c r="S90" i="1"/>
  <c r="O90" i="1"/>
  <c r="K90" i="1"/>
  <c r="G90" i="1"/>
  <c r="R90" i="1"/>
  <c r="N90" i="1"/>
  <c r="J90" i="1"/>
  <c r="F90" i="1"/>
  <c r="Q90" i="1"/>
  <c r="M90" i="1"/>
  <c r="I90" i="1"/>
  <c r="S81" i="1"/>
  <c r="O81" i="1"/>
  <c r="K81" i="1"/>
  <c r="G81" i="1"/>
  <c r="R81" i="1"/>
  <c r="N81" i="1"/>
  <c r="J81" i="1"/>
  <c r="F81" i="1"/>
  <c r="Q81" i="1"/>
  <c r="M81" i="1"/>
  <c r="I81" i="1"/>
  <c r="T81" i="1"/>
  <c r="P81" i="1"/>
  <c r="L81" i="1"/>
  <c r="H81" i="1"/>
</calcChain>
</file>

<file path=xl/sharedStrings.xml><?xml version="1.0" encoding="utf-8"?>
<sst xmlns="http://schemas.openxmlformats.org/spreadsheetml/2006/main" count="2830" uniqueCount="600">
  <si>
    <t>Row</t>
  </si>
  <si>
    <t>HUC11</t>
  </si>
  <si>
    <t>HUC11 Name</t>
  </si>
  <si>
    <t>HUC11 Area (mi2)</t>
  </si>
  <si>
    <t>Watershed Area (mi2)</t>
  </si>
  <si>
    <t>September Median Flow (mgd)</t>
  </si>
  <si>
    <t>7Q10 (mgd)</t>
  </si>
  <si>
    <t>LFM (mgd)</t>
  </si>
  <si>
    <t>Peak Year With.</t>
  </si>
  <si>
    <t>Available Water (mgd)</t>
  </si>
  <si>
    <t>Current % Available Used</t>
  </si>
  <si>
    <t>Current Remaining Available Water (mgd)</t>
  </si>
  <si>
    <t>Full Alloca. Remaining Avail. Water (mgd)</t>
  </si>
  <si>
    <t>Public Supply</t>
  </si>
  <si>
    <t>Domestic</t>
  </si>
  <si>
    <t>Ind-Com-Min</t>
  </si>
  <si>
    <t>Ag Irrigation</t>
  </si>
  <si>
    <t>Non-Ag Irrigation</t>
  </si>
  <si>
    <t>Power Generation</t>
  </si>
  <si>
    <t>Combined</t>
  </si>
  <si>
    <t>RSW With- drawals (mgd)</t>
  </si>
  <si>
    <t>UnGW</t>
  </si>
  <si>
    <t>SW</t>
  </si>
  <si>
    <t>SFD Adj UnGW</t>
  </si>
  <si>
    <t>Total</t>
  </si>
  <si>
    <t>Sanitary Sewer</t>
  </si>
  <si>
    <t>Domestic Septic</t>
  </si>
  <si>
    <t>SW Fresh</t>
  </si>
  <si>
    <t>SW Saline</t>
  </si>
  <si>
    <t>lookup #</t>
  </si>
  <si>
    <t>WMA#</t>
  </si>
  <si>
    <t>WMAName</t>
  </si>
  <si>
    <t>WMA ID</t>
  </si>
  <si>
    <t>Upper Delaware</t>
  </si>
  <si>
    <t>Wallkill</t>
  </si>
  <si>
    <t>Pompton, Pequannock, Wanaque and Ramapo</t>
  </si>
  <si>
    <t>Lower Passaic and Saddle</t>
  </si>
  <si>
    <t>Hackensack, Hudson and Pascack</t>
  </si>
  <si>
    <t>Upper and Mid Passaic, Whippany and Rockaway</t>
  </si>
  <si>
    <t>Arthur Kill</t>
  </si>
  <si>
    <t>North and South Branch Raritan</t>
  </si>
  <si>
    <t>Lower Raritan, South and Lawrence</t>
  </si>
  <si>
    <t>Millstone</t>
  </si>
  <si>
    <t>Central Delaware</t>
  </si>
  <si>
    <t>Monmouth</t>
  </si>
  <si>
    <t>Barnegat Bay</t>
  </si>
  <si>
    <t>Mullica</t>
  </si>
  <si>
    <t>Great Egg Harbor</t>
  </si>
  <si>
    <t>Cape May</t>
  </si>
  <si>
    <t>Maurice, Salem and Cohansey</t>
  </si>
  <si>
    <t>Lower Delaware</t>
  </si>
  <si>
    <t>Rancocas</t>
  </si>
  <si>
    <t>Assiscunk, Crosswicks and Doctors</t>
  </si>
  <si>
    <t>LUID</t>
  </si>
  <si>
    <t>HUC11#</t>
  </si>
  <si>
    <t>HUC11Name</t>
  </si>
  <si>
    <t>02040104090</t>
  </si>
  <si>
    <t>Shimers Brook / Clove Brook</t>
  </si>
  <si>
    <t>02040104110</t>
  </si>
  <si>
    <t>Walpack Bend / Montague Riverfront</t>
  </si>
  <si>
    <t>02040104130</t>
  </si>
  <si>
    <t>Little Flat Brook</t>
  </si>
  <si>
    <t>02040104140</t>
  </si>
  <si>
    <t>Big Flat Brook</t>
  </si>
  <si>
    <t>02040104150</t>
  </si>
  <si>
    <t>Flat Brook</t>
  </si>
  <si>
    <t>02040104240</t>
  </si>
  <si>
    <t>Van Campens Brook / Dunnfield Creek</t>
  </si>
  <si>
    <t>02040105030</t>
  </si>
  <si>
    <t>Trout Brook / Swartswood Lake</t>
  </si>
  <si>
    <t>02040105040</t>
  </si>
  <si>
    <t>Paulins Kill (above Stillwater Village)</t>
  </si>
  <si>
    <t>02040105050</t>
  </si>
  <si>
    <t>Paulins Kill (below Stillwater Village)</t>
  </si>
  <si>
    <t>02040105060</t>
  </si>
  <si>
    <t>Stony Brook / Delawanna Creek</t>
  </si>
  <si>
    <t>02040105070</t>
  </si>
  <si>
    <t>Pequest River (above/incl Bear Swamp)</t>
  </si>
  <si>
    <t>02040105080</t>
  </si>
  <si>
    <t>Bear Creek</t>
  </si>
  <si>
    <t>02040105090</t>
  </si>
  <si>
    <t>Pequest River (below Bear Swamp)</t>
  </si>
  <si>
    <t>02040105100</t>
  </si>
  <si>
    <t>Beaver Brook</t>
  </si>
  <si>
    <t>02040105110</t>
  </si>
  <si>
    <t>Pophandusing Brook / Buckhorn Creek</t>
  </si>
  <si>
    <t>02040105120</t>
  </si>
  <si>
    <t>Lopatcong Creek</t>
  </si>
  <si>
    <t>02040105140</t>
  </si>
  <si>
    <t>Pohatcong Creek</t>
  </si>
  <si>
    <t>02040105150</t>
  </si>
  <si>
    <t>Musconetcong River (above Trout Brook)</t>
  </si>
  <si>
    <t>02040105160</t>
  </si>
  <si>
    <t>Musconetcong River (below incl Trout Bk)</t>
  </si>
  <si>
    <t>02020007000</t>
  </si>
  <si>
    <t>Rutgers Creek tribs</t>
  </si>
  <si>
    <t>02020007010</t>
  </si>
  <si>
    <t>Wallkill River (above road to Martins)</t>
  </si>
  <si>
    <t>02020007020</t>
  </si>
  <si>
    <t>Papakating Creek</t>
  </si>
  <si>
    <t>02020007030</t>
  </si>
  <si>
    <t>Wallkill River (below road to Martins)</t>
  </si>
  <si>
    <t>02020007040</t>
  </si>
  <si>
    <t>Pochuck Creek</t>
  </si>
  <si>
    <t>Pomp, Peq, Wan and Ramapo</t>
  </si>
  <si>
    <t>02030103050</t>
  </si>
  <si>
    <t>Pequannock River</t>
  </si>
  <si>
    <t>02030103070</t>
  </si>
  <si>
    <t>Wanaque River</t>
  </si>
  <si>
    <t>02030103100</t>
  </si>
  <si>
    <t>Ramapo River</t>
  </si>
  <si>
    <t>02030103110</t>
  </si>
  <si>
    <t>Pompton River</t>
  </si>
  <si>
    <t>02030103120</t>
  </si>
  <si>
    <t>Passaic River Lower (Saddle to Pompton)</t>
  </si>
  <si>
    <t>02030103140</t>
  </si>
  <si>
    <t>Saddle River</t>
  </si>
  <si>
    <t>02030103150</t>
  </si>
  <si>
    <t>Passaic River Lower (Nwk Bay to Saddle)</t>
  </si>
  <si>
    <t>02030101170</t>
  </si>
  <si>
    <t>Hudson River</t>
  </si>
  <si>
    <t>02030103170</t>
  </si>
  <si>
    <t>Hackensack R (above Hirshfeld Brook)</t>
  </si>
  <si>
    <t>02030103180</t>
  </si>
  <si>
    <t>Hackensack R (below/incl Hirshfeld Bk)</t>
  </si>
  <si>
    <t>Up and Mid Pas, Whip and Rock</t>
  </si>
  <si>
    <t>02030103010</t>
  </si>
  <si>
    <t>Passaic River Upr (above Pine Bk br)</t>
  </si>
  <si>
    <t>02030103020</t>
  </si>
  <si>
    <t>Whippany River</t>
  </si>
  <si>
    <t>02030103030</t>
  </si>
  <si>
    <t>Rockaway River</t>
  </si>
  <si>
    <t>02030103040</t>
  </si>
  <si>
    <t>Passaic River Upr (Pompton to Pine Bk)</t>
  </si>
  <si>
    <t>02030104010</t>
  </si>
  <si>
    <t>Newark Bay / Kill Van Kull / Upr NY Bay</t>
  </si>
  <si>
    <t>02030104020</t>
  </si>
  <si>
    <t>Elizabeth River</t>
  </si>
  <si>
    <t>02030104030</t>
  </si>
  <si>
    <t>Morses Creek / Piles Creek</t>
  </si>
  <si>
    <t>02030104050</t>
  </si>
  <si>
    <t>Rahway River / Woodbridge Creek</t>
  </si>
  <si>
    <t>02030105010</t>
  </si>
  <si>
    <t>Raritan River SB (above Spruce Run)</t>
  </si>
  <si>
    <t>02030105020</t>
  </si>
  <si>
    <t>Raritan River SB (3 Brdgs to Spruce Run)</t>
  </si>
  <si>
    <t>02030105030</t>
  </si>
  <si>
    <t>Neshanic River</t>
  </si>
  <si>
    <t>02030105040</t>
  </si>
  <si>
    <t>Raritan River SB (NB to Three Bridges)</t>
  </si>
  <si>
    <t>02030105050</t>
  </si>
  <si>
    <t>Lamington River</t>
  </si>
  <si>
    <t>02030105060</t>
  </si>
  <si>
    <t>Raritan River NB (above Lamington)</t>
  </si>
  <si>
    <t>02030105070</t>
  </si>
  <si>
    <t>Raritan River NB (SB to Lamington)</t>
  </si>
  <si>
    <t>Low Rar, South and Lawrence</t>
  </si>
  <si>
    <t>02030105080</t>
  </si>
  <si>
    <t>Raritan River Lower (Millstone to NB/SB)</t>
  </si>
  <si>
    <t>02030105120</t>
  </si>
  <si>
    <t>Raritan R Lower (Lawrence to Millstone)</t>
  </si>
  <si>
    <t>02030105130</t>
  </si>
  <si>
    <t>Lawrence Brook</t>
  </si>
  <si>
    <t>02030105140</t>
  </si>
  <si>
    <t>Manalapan Brook</t>
  </si>
  <si>
    <t>02030105150</t>
  </si>
  <si>
    <t>Matchaponix Brook</t>
  </si>
  <si>
    <t>02030105160</t>
  </si>
  <si>
    <t>Raritan R Lower (below Lawrence)</t>
  </si>
  <si>
    <t>02030105090</t>
  </si>
  <si>
    <t>Stony Brook</t>
  </si>
  <si>
    <t>02030105100</t>
  </si>
  <si>
    <t>Millstone River (above Carnegie Lake)</t>
  </si>
  <si>
    <t>02030105110</t>
  </si>
  <si>
    <t>Millstone River (below/incl Carnegie Lk)</t>
  </si>
  <si>
    <t>02040105170</t>
  </si>
  <si>
    <t>Hakihokake/Harihokake/Nishisakawick Ck</t>
  </si>
  <si>
    <t>02040105200</t>
  </si>
  <si>
    <t>Lockatong Creek / Wickecheoke Creek</t>
  </si>
  <si>
    <t>02040105210</t>
  </si>
  <si>
    <t>Alexauken Ck / Moore Ck / Jacobs Ck</t>
  </si>
  <si>
    <t>02040105230</t>
  </si>
  <si>
    <t>Assunpink Creek (above Shipetaukin Ck)</t>
  </si>
  <si>
    <t>02040105240</t>
  </si>
  <si>
    <t>Assunpink Creek (below Shipetaukin Ck)</t>
  </si>
  <si>
    <t>02030104060</t>
  </si>
  <si>
    <t>Raritan / Sandy Hook Bay tributaries</t>
  </si>
  <si>
    <t>02030104070</t>
  </si>
  <si>
    <t>Navesink River / Lower Shrewsbury River</t>
  </si>
  <si>
    <t>02030104080</t>
  </si>
  <si>
    <t>Shrewsbury River (above Navesink River)</t>
  </si>
  <si>
    <t>02030104090</t>
  </si>
  <si>
    <t>Whale Pond Bk / Shark R / Wreck Pond Bk</t>
  </si>
  <si>
    <t>02030104100</t>
  </si>
  <si>
    <t>Manasquan River</t>
  </si>
  <si>
    <t>02030104910</t>
  </si>
  <si>
    <t>Raritan Bay / Sandy Hook Bay</t>
  </si>
  <si>
    <t>02030104920</t>
  </si>
  <si>
    <t>Atlantic Coast (Sandy Hook to WhalePond)</t>
  </si>
  <si>
    <t>02030104930</t>
  </si>
  <si>
    <t>Atlantic Coast (Whale Pond to Manasquan)</t>
  </si>
  <si>
    <t>02040301020</t>
  </si>
  <si>
    <t>Metedeconk River NB</t>
  </si>
  <si>
    <t>02040301030</t>
  </si>
  <si>
    <t>Metedeconk River SB</t>
  </si>
  <si>
    <t>02040301040</t>
  </si>
  <si>
    <t>Metedeconk River</t>
  </si>
  <si>
    <t>02040301050</t>
  </si>
  <si>
    <t>Kettle Creek / Barnegat Bay North</t>
  </si>
  <si>
    <t>02040301060</t>
  </si>
  <si>
    <t>Toms River (above Oak Ridge Parkway)</t>
  </si>
  <si>
    <t>02040301070</t>
  </si>
  <si>
    <t>Union/Ridgeway Branch (Toms River)</t>
  </si>
  <si>
    <t>02040301080</t>
  </si>
  <si>
    <t>Toms River (below Oak Ridge Parkway)</t>
  </si>
  <si>
    <t>02040301090</t>
  </si>
  <si>
    <t>Cedar Creek</t>
  </si>
  <si>
    <t>02040301100</t>
  </si>
  <si>
    <t>Barnegat Bay Central &amp; Tribs</t>
  </si>
  <si>
    <t>02040301110</t>
  </si>
  <si>
    <t>Forked River / Oyster Creek</t>
  </si>
  <si>
    <t>02040301120</t>
  </si>
  <si>
    <t>Waretown Ck / Barnegat Bay South</t>
  </si>
  <si>
    <t>02040301130</t>
  </si>
  <si>
    <t>Manahawkin/Upper Little Egg Harbor tribs</t>
  </si>
  <si>
    <t>02040301140</t>
  </si>
  <si>
    <t>Lower Little Egg Harbor Bay tribs</t>
  </si>
  <si>
    <t>02040301910</t>
  </si>
  <si>
    <t>Atlantic Coast (Manasquan to Barnegat)</t>
  </si>
  <si>
    <t>02040301920</t>
  </si>
  <si>
    <t>Atlantic Coast (Barnegat to Little Egg)</t>
  </si>
  <si>
    <t>02040301150</t>
  </si>
  <si>
    <t>Basto River</t>
  </si>
  <si>
    <t>02040301160</t>
  </si>
  <si>
    <t>Mullica River (above Basto River)</t>
  </si>
  <si>
    <t>02040301170</t>
  </si>
  <si>
    <t>Mullica River (Turtle Ck to Basto River)</t>
  </si>
  <si>
    <t>02040301180</t>
  </si>
  <si>
    <t>Oswego River</t>
  </si>
  <si>
    <t>02040301190</t>
  </si>
  <si>
    <t>West Branch Wading River</t>
  </si>
  <si>
    <t>02040301200</t>
  </si>
  <si>
    <t>Mullica River (GSP bridge to Turtle Ck)</t>
  </si>
  <si>
    <t>02040301210</t>
  </si>
  <si>
    <t>Great Bay / Mullica R (below GSP bridge)</t>
  </si>
  <si>
    <t>02040302910</t>
  </si>
  <si>
    <t>Atlantic Coast (Little Egg to Absecon)</t>
  </si>
  <si>
    <t>02040302010</t>
  </si>
  <si>
    <t>Reeds Bay / Absecon Bay &amp; tribs</t>
  </si>
  <si>
    <t>02040302020</t>
  </si>
  <si>
    <t>Absecon Creek</t>
  </si>
  <si>
    <t>02040302030</t>
  </si>
  <si>
    <t>Great Egg Harbor R (above HospitalityBr)</t>
  </si>
  <si>
    <t>02040302040</t>
  </si>
  <si>
    <t>Great Egg Harbor R (Lk Lenape to HospBr)</t>
  </si>
  <si>
    <t>02040302050</t>
  </si>
  <si>
    <t>Great Egg Harbor R (below Lake Lenape)</t>
  </si>
  <si>
    <t>02040302060</t>
  </si>
  <si>
    <t>Patcong Creek/Great Egg Harbor Bay</t>
  </si>
  <si>
    <t>02040302070</t>
  </si>
  <si>
    <t>Tuckahoe River</t>
  </si>
  <si>
    <t>02040302920</t>
  </si>
  <si>
    <t>Atlantic Coast (Absecon to Great Egg)</t>
  </si>
  <si>
    <t>02040302930</t>
  </si>
  <si>
    <t>Atlantic Coast (Great Egg to 34th St)</t>
  </si>
  <si>
    <t>02040206210</t>
  </si>
  <si>
    <t>West Creek / East Creek / Riggins Ditch</t>
  </si>
  <si>
    <t>02040206220</t>
  </si>
  <si>
    <t>Dennis Creek</t>
  </si>
  <si>
    <t>02040206230</t>
  </si>
  <si>
    <t>Cape May Tribs West</t>
  </si>
  <si>
    <t>02040302080</t>
  </si>
  <si>
    <t>Cape May Bays &amp; Tribs East</t>
  </si>
  <si>
    <t>02040302940</t>
  </si>
  <si>
    <t>Atlantic Coast (34th St to Cape May Pt)</t>
  </si>
  <si>
    <t>02040204910</t>
  </si>
  <si>
    <t>Delaware Bay (Cape May Pt to Fishing Ck)</t>
  </si>
  <si>
    <t>02040206020</t>
  </si>
  <si>
    <t>Pennsville / Penns Grove tribs</t>
  </si>
  <si>
    <t>02040206030</t>
  </si>
  <si>
    <t>Salem R(above 39d40m14s dam)/Salem Canal</t>
  </si>
  <si>
    <t>02040206040</t>
  </si>
  <si>
    <t>Salem River (below 39d40m14s dam)</t>
  </si>
  <si>
    <t>02040206060</t>
  </si>
  <si>
    <t>Alloway Creek / Hope Creek</t>
  </si>
  <si>
    <t>02040206070</t>
  </si>
  <si>
    <t>Stow Creek</t>
  </si>
  <si>
    <t>02040206080</t>
  </si>
  <si>
    <t>Cohansey River (above Sunset Lake)</t>
  </si>
  <si>
    <t>02040206090</t>
  </si>
  <si>
    <t>Cohansey River (below Cornwell Run)</t>
  </si>
  <si>
    <t>02040206100</t>
  </si>
  <si>
    <t>Back / Cedar / Nantuxent Creeks</t>
  </si>
  <si>
    <t>02040206110</t>
  </si>
  <si>
    <t>Dividing Creek</t>
  </si>
  <si>
    <t>02040206120</t>
  </si>
  <si>
    <t>Still Run / Little Ease Run</t>
  </si>
  <si>
    <t>02040206130</t>
  </si>
  <si>
    <t>Scotland Run</t>
  </si>
  <si>
    <t>02040206140</t>
  </si>
  <si>
    <t>Maurice River (above Sherman Ave Bridge)</t>
  </si>
  <si>
    <t>02040206150</t>
  </si>
  <si>
    <t>Muddy Run</t>
  </si>
  <si>
    <t>02040206160</t>
  </si>
  <si>
    <t>Maurice River (Union Lk to Sherman Ave)</t>
  </si>
  <si>
    <t>02040206170</t>
  </si>
  <si>
    <t>Maurice River (Menantico Ck to Union Lk)</t>
  </si>
  <si>
    <t>02040206180</t>
  </si>
  <si>
    <t>Menantico Creek</t>
  </si>
  <si>
    <t>02040206190</t>
  </si>
  <si>
    <t>Manamuskin River</t>
  </si>
  <si>
    <t>02040206200</t>
  </si>
  <si>
    <t>Maurice River (below Menantico Creek)</t>
  </si>
  <si>
    <t>02040202090</t>
  </si>
  <si>
    <t>Pompeston Creek / Swede Run</t>
  </si>
  <si>
    <t>02040202100</t>
  </si>
  <si>
    <t>Pennsauken Creek</t>
  </si>
  <si>
    <t>02040202110</t>
  </si>
  <si>
    <t>Cooper River</t>
  </si>
  <si>
    <t>02040202120</t>
  </si>
  <si>
    <t>Woodbury / Big Timber / Newton Creeks</t>
  </si>
  <si>
    <t>02040202130</t>
  </si>
  <si>
    <t>Mantua Creek</t>
  </si>
  <si>
    <t>02040202140</t>
  </si>
  <si>
    <t>Cedar Swamp / Repaupo Ck / Clonmell Ck</t>
  </si>
  <si>
    <t>02040202150</t>
  </si>
  <si>
    <t>Raccoon Creek / Birch Creek</t>
  </si>
  <si>
    <t>02040202160</t>
  </si>
  <si>
    <t>Oldmans Creek</t>
  </si>
  <si>
    <t>02040202020</t>
  </si>
  <si>
    <t>Rancocas Creek NB (above New Lisbon dam)</t>
  </si>
  <si>
    <t>02040202030</t>
  </si>
  <si>
    <t>Greenwood Branch (NB Rancocas Creek)</t>
  </si>
  <si>
    <t>02040202040</t>
  </si>
  <si>
    <t>Rancocas Creek NB (below New Lisbon dam)</t>
  </si>
  <si>
    <t>02040202050</t>
  </si>
  <si>
    <t>Rancocas Creek SB (above Bobbys Run)</t>
  </si>
  <si>
    <t>02040202060</t>
  </si>
  <si>
    <t>Rancocas Creek SB SW Branch</t>
  </si>
  <si>
    <t>02040202070</t>
  </si>
  <si>
    <t>Rancocas Creek SB (below Bobbys Run)</t>
  </si>
  <si>
    <t>02040202080</t>
  </si>
  <si>
    <t>Rancocas Creek</t>
  </si>
  <si>
    <t>Assis, Cross and Doctors</t>
  </si>
  <si>
    <t>02040201030</t>
  </si>
  <si>
    <t>Duck Creek and UDRV to Assunpink Ck</t>
  </si>
  <si>
    <t>02040201040</t>
  </si>
  <si>
    <t>Crosswicks Ck (above New Egypt)</t>
  </si>
  <si>
    <t>02040201050</t>
  </si>
  <si>
    <t>Crosswicks Ck (Doctors Ck to New Egypt)</t>
  </si>
  <si>
    <t>02040201060</t>
  </si>
  <si>
    <t>Doctors Creek</t>
  </si>
  <si>
    <t>02040201070</t>
  </si>
  <si>
    <t>Crosswicks Ck (below Doctors Creek)</t>
  </si>
  <si>
    <t>02040201080</t>
  </si>
  <si>
    <t>Blacks Creek</t>
  </si>
  <si>
    <t>02040201090</t>
  </si>
  <si>
    <t>Crafts Creek</t>
  </si>
  <si>
    <t>02040201100</t>
  </si>
  <si>
    <t>Assiscunk Creek</t>
  </si>
  <si>
    <t>02040201110</t>
  </si>
  <si>
    <t>Burlington/Edgewater Park Delaware tribs</t>
  </si>
  <si>
    <t>Max Year</t>
  </si>
  <si>
    <t>Min Year</t>
  </si>
  <si>
    <t>Leak. to Con. Aq.</t>
  </si>
  <si>
    <t>HUC11 Data</t>
  </si>
  <si>
    <t>Potential Availability Limitations</t>
  </si>
  <si>
    <t>Ag Irr</t>
  </si>
  <si>
    <t>Non-Ag Irr</t>
  </si>
  <si>
    <t>Power Gen</t>
  </si>
  <si>
    <t>Totals</t>
  </si>
  <si>
    <t xml:space="preserve">Peak Loss Year </t>
  </si>
  <si>
    <t>Total Available Water</t>
  </si>
  <si>
    <t>Current Net Dep-Con Loss (mgd)</t>
  </si>
  <si>
    <t>Largest Dep-Con Loss</t>
  </si>
  <si>
    <t>Induced Leakage to Confined aquifers</t>
  </si>
  <si>
    <t xml:space="preserve">Total </t>
  </si>
  <si>
    <t>RSW With-drawals</t>
  </si>
  <si>
    <t>1-1</t>
  </si>
  <si>
    <t/>
  </si>
  <si>
    <t>Yes</t>
  </si>
  <si>
    <t>1-2</t>
  </si>
  <si>
    <t>1-3</t>
  </si>
  <si>
    <t>1-4</t>
  </si>
  <si>
    <t>1-5</t>
  </si>
  <si>
    <t>1-6</t>
  </si>
  <si>
    <t>1-7</t>
  </si>
  <si>
    <t>1-8</t>
  </si>
  <si>
    <t>Partial</t>
  </si>
  <si>
    <t>1-9</t>
  </si>
  <si>
    <t>1-10</t>
  </si>
  <si>
    <t>1-11</t>
  </si>
  <si>
    <t>1-12</t>
  </si>
  <si>
    <t>1-13</t>
  </si>
  <si>
    <t>All</t>
  </si>
  <si>
    <t>1-14</t>
  </si>
  <si>
    <t>1-15</t>
  </si>
  <si>
    <t>1-16</t>
  </si>
  <si>
    <t>1-17</t>
  </si>
  <si>
    <t>1-18</t>
  </si>
  <si>
    <t>1-19</t>
  </si>
  <si>
    <t>2-1</t>
  </si>
  <si>
    <t>Not Calc.</t>
  </si>
  <si>
    <t>2-2</t>
  </si>
  <si>
    <t>2-3</t>
  </si>
  <si>
    <t>2-4</t>
  </si>
  <si>
    <t>2-5</t>
  </si>
  <si>
    <t>3-1</t>
  </si>
  <si>
    <t>3-2</t>
  </si>
  <si>
    <t>3-3</t>
  </si>
  <si>
    <t>3-4</t>
  </si>
  <si>
    <t>4-1</t>
  </si>
  <si>
    <t>4-2</t>
  </si>
  <si>
    <t>4-3</t>
  </si>
  <si>
    <t>5-1</t>
  </si>
  <si>
    <t>5-2</t>
  </si>
  <si>
    <t>5-3</t>
  </si>
  <si>
    <t>6-1</t>
  </si>
  <si>
    <t>6-2</t>
  </si>
  <si>
    <t>6-3</t>
  </si>
  <si>
    <t>6-4</t>
  </si>
  <si>
    <t>7-1</t>
  </si>
  <si>
    <t>7-2</t>
  </si>
  <si>
    <t>7-3</t>
  </si>
  <si>
    <t>7-4</t>
  </si>
  <si>
    <t>8-1</t>
  </si>
  <si>
    <t>8-2</t>
  </si>
  <si>
    <t>8-3</t>
  </si>
  <si>
    <t>8-4</t>
  </si>
  <si>
    <t>8-5</t>
  </si>
  <si>
    <t>8-6</t>
  </si>
  <si>
    <t>8-7</t>
  </si>
  <si>
    <t>9-1</t>
  </si>
  <si>
    <t>9-2</t>
  </si>
  <si>
    <t>9-3</t>
  </si>
  <si>
    <t>9-4</t>
  </si>
  <si>
    <t>9-5</t>
  </si>
  <si>
    <t>9-6</t>
  </si>
  <si>
    <t>10-1</t>
  </si>
  <si>
    <t>10-2</t>
  </si>
  <si>
    <t>10-3</t>
  </si>
  <si>
    <t>11-1</t>
  </si>
  <si>
    <t>11-2</t>
  </si>
  <si>
    <t>11-3</t>
  </si>
  <si>
    <t>11-4</t>
  </si>
  <si>
    <t>11-5</t>
  </si>
  <si>
    <t>12-1</t>
  </si>
  <si>
    <t>12-2</t>
  </si>
  <si>
    <t>12-3</t>
  </si>
  <si>
    <t>12-4</t>
  </si>
  <si>
    <t>12-5</t>
  </si>
  <si>
    <t>12-6</t>
  </si>
  <si>
    <t>12-7</t>
  </si>
  <si>
    <t>12-8</t>
  </si>
  <si>
    <t>13-1</t>
  </si>
  <si>
    <t>13-2</t>
  </si>
  <si>
    <t>13-3</t>
  </si>
  <si>
    <t>13-4</t>
  </si>
  <si>
    <t>13-5</t>
  </si>
  <si>
    <t>13-6</t>
  </si>
  <si>
    <t>13-7</t>
  </si>
  <si>
    <t>13-8</t>
  </si>
  <si>
    <t>13-9</t>
  </si>
  <si>
    <t>13-10</t>
  </si>
  <si>
    <t>13-11</t>
  </si>
  <si>
    <t>13-12</t>
  </si>
  <si>
    <t>13-13</t>
  </si>
  <si>
    <t>13-14</t>
  </si>
  <si>
    <t>13-15</t>
  </si>
  <si>
    <t>14-1</t>
  </si>
  <si>
    <t>14-2</t>
  </si>
  <si>
    <t>14-3</t>
  </si>
  <si>
    <t>14-4</t>
  </si>
  <si>
    <t>14-5</t>
  </si>
  <si>
    <t>14-6</t>
  </si>
  <si>
    <t>14-7</t>
  </si>
  <si>
    <t>14-8</t>
  </si>
  <si>
    <t>15-1</t>
  </si>
  <si>
    <t>15-2</t>
  </si>
  <si>
    <t>15-3</t>
  </si>
  <si>
    <t>15-4</t>
  </si>
  <si>
    <t>15-5</t>
  </si>
  <si>
    <t>15-6</t>
  </si>
  <si>
    <t>15-7</t>
  </si>
  <si>
    <t>15-8</t>
  </si>
  <si>
    <t>15-9</t>
  </si>
  <si>
    <t>16-1</t>
  </si>
  <si>
    <t>16-2</t>
  </si>
  <si>
    <t>16-3</t>
  </si>
  <si>
    <t>16-4</t>
  </si>
  <si>
    <t>16-5</t>
  </si>
  <si>
    <t>17-1</t>
  </si>
  <si>
    <t>17-2</t>
  </si>
  <si>
    <t>17-3</t>
  </si>
  <si>
    <t>17-4</t>
  </si>
  <si>
    <t>17-5</t>
  </si>
  <si>
    <t>17-6</t>
  </si>
  <si>
    <t>17-7</t>
  </si>
  <si>
    <t>17-8</t>
  </si>
  <si>
    <t>17-9</t>
  </si>
  <si>
    <t>17-10</t>
  </si>
  <si>
    <t>17-11</t>
  </si>
  <si>
    <t>17-12</t>
  </si>
  <si>
    <t>17-13</t>
  </si>
  <si>
    <t>17-14</t>
  </si>
  <si>
    <t>17-15</t>
  </si>
  <si>
    <t>17-16</t>
  </si>
  <si>
    <t>17-17</t>
  </si>
  <si>
    <t>17-18</t>
  </si>
  <si>
    <t>17-19</t>
  </si>
  <si>
    <t>18-1</t>
  </si>
  <si>
    <t>18-2</t>
  </si>
  <si>
    <t>18-3</t>
  </si>
  <si>
    <t>18-4</t>
  </si>
  <si>
    <t>18-5</t>
  </si>
  <si>
    <t>18-6</t>
  </si>
  <si>
    <t>18-7</t>
  </si>
  <si>
    <t>18-8</t>
  </si>
  <si>
    <t>19-1</t>
  </si>
  <si>
    <t>19-2</t>
  </si>
  <si>
    <t>19-3</t>
  </si>
  <si>
    <t>19-4</t>
  </si>
  <si>
    <t>19-5</t>
  </si>
  <si>
    <t>19-6</t>
  </si>
  <si>
    <t>19-7</t>
  </si>
  <si>
    <t>20-1</t>
  </si>
  <si>
    <t>20-2</t>
  </si>
  <si>
    <t>20-3</t>
  </si>
  <si>
    <t>20-4</t>
  </si>
  <si>
    <t>20-5</t>
  </si>
  <si>
    <t>20-6</t>
  </si>
  <si>
    <t>20-7</t>
  </si>
  <si>
    <t>20-8</t>
  </si>
  <si>
    <t>20-9</t>
  </si>
  <si>
    <t>LFM Percen-tage</t>
  </si>
  <si>
    <t xml:space="preserve">Remain-ing Available Water </t>
  </si>
  <si>
    <t>Availability Summary</t>
  </si>
  <si>
    <t>LFM for the Full Allocation Data</t>
  </si>
  <si>
    <t>NetDC</t>
  </si>
  <si>
    <t>Leakage to confined aquifers</t>
  </si>
  <si>
    <t>Withdrawals minus Returns: Postives eqate to loses</t>
  </si>
  <si>
    <t>Potable Supply</t>
  </si>
  <si>
    <t>Leakage</t>
  </si>
  <si>
    <t>Max</t>
  </si>
  <si>
    <t>FA Cause</t>
  </si>
  <si>
    <t>Potable</t>
  </si>
  <si>
    <t>Con Aq Leak</t>
  </si>
  <si>
    <t>Sept Median Flow (mgd)</t>
  </si>
  <si>
    <t>Water-shed
 Area (mi2)</t>
  </si>
  <si>
    <t>HUC11 
Area (mi2)</t>
  </si>
  <si>
    <t>Upstream of or 
Contains Major 
Potable SW Intake
 &gt;10mgd</t>
  </si>
  <si>
    <t>7Q10 
Limited</t>
  </si>
  <si>
    <t>Withdrawals  (MGD)</t>
  </si>
  <si>
    <t>Returns (MGD)</t>
  </si>
  <si>
    <t>Current Net D/C (mgd)</t>
  </si>
  <si>
    <t>Full Alloca. Net D/C (mgd)</t>
  </si>
  <si>
    <t>a</t>
  </si>
  <si>
    <t>Pine-lands</t>
  </si>
  <si>
    <t>Critical Area HUC?</t>
  </si>
  <si>
    <t>Pinelands HUC?</t>
  </si>
  <si>
    <t>Highlands?
 HUC</t>
  </si>
  <si>
    <t>LFM %</t>
  </si>
  <si>
    <t>Cause</t>
  </si>
  <si>
    <t>Critical Area 
1 or 2</t>
  </si>
  <si>
    <t>no allocations</t>
  </si>
  <si>
    <t>Table 1. HUC11 Area, Low Flow Margin and Potential Limiting Factors</t>
  </si>
  <si>
    <t>See the Users Guide for a description of the columns.</t>
  </si>
  <si>
    <t>Largest 
D/C Loss  
Current</t>
  </si>
  <si>
    <t>Largest D/C Loss 
 Full All.</t>
  </si>
  <si>
    <t>Full Allocation % Available Used</t>
  </si>
  <si>
    <t>20-Assiscunk, Crosswicks and Doctors</t>
  </si>
  <si>
    <t>1-Upper Delaware</t>
  </si>
  <si>
    <t>2-Wallkill</t>
  </si>
  <si>
    <t>3-Pompton, Pequannock, Wanaque and Ramapo</t>
  </si>
  <si>
    <t>4-Lower Passaic and Saddle</t>
  </si>
  <si>
    <t>5-Hackensack, Hudson and Pascack</t>
  </si>
  <si>
    <t>6-Upper and Mid Passaic, Whippany and Rockaway</t>
  </si>
  <si>
    <t>7-Arthur Kill</t>
  </si>
  <si>
    <t>8-North and South Branch Raritan</t>
  </si>
  <si>
    <t>9-Lower Raritan, South and Lawrence</t>
  </si>
  <si>
    <t>10-Millstone</t>
  </si>
  <si>
    <t>11-Central Delaware</t>
  </si>
  <si>
    <t>12-Monmouth</t>
  </si>
  <si>
    <t>13-Barnegat Bay</t>
  </si>
  <si>
    <t>14-Mullica</t>
  </si>
  <si>
    <t>15-Great Egg Harbor</t>
  </si>
  <si>
    <t>16-Cape May</t>
  </si>
  <si>
    <t>17-Maurice, Salem and Cohansey</t>
  </si>
  <si>
    <t>18-Lower Delaware</t>
  </si>
  <si>
    <t>19-Rancocas</t>
  </si>
  <si>
    <t>Full Allocation Net Depletive and Consumptive with cause</t>
  </si>
  <si>
    <t>Major SW Potable Supply</t>
  </si>
  <si>
    <t>Potentially 7Q10 Limited</t>
  </si>
  <si>
    <t>NJ High-lands</t>
  </si>
  <si>
    <t>Peak Depletive and Consumptive Losses for the 2000 Through 2009 Time Period</t>
  </si>
  <si>
    <t>Ind-Com-Min (ICM)</t>
  </si>
  <si>
    <t>ICM</t>
  </si>
  <si>
    <t xml:space="preserve">Table 2. Remaining Water at Current (2000-2009) Use and Full Allocation </t>
  </si>
  <si>
    <t>Table 3. Summary of Maximum HUC11 Withdrawals, 2000-2009, in millions of gallons per day (mgd)</t>
  </si>
  <si>
    <t>Table 4. Summary of HUC11 Discharges and Returns, 2000-2009, in millions of gallons per day (mgd)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</si>
</sst>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0"/>
    <numFmt numFmtId="165" formatCode="#,##0.0"/>
    <numFmt numFmtId="166" formatCode="0_);\(0\)"/>
    <numFmt numFmtId="167" formatCode="0.00_);\(0.00\)"/>
    <numFmt numFmtId="168" formatCode="0.0_);\(0.0\)"/>
  </numFmts>
  <fonts count="23" x14ac:knownFonts="1">
    <font>
      <sz val="10"/>
      <name val="Arial"/>
    </font>
    <font>
      <sz val="10"/>
      <name val="Arial"/>
      <family val="2"/>
    </font>
    <font>
      <sz val="8"/>
      <name val="Arial"/>
      <family val="2"/>
    </font>
    <font>
      <sz val="12"/>
      <name val="Arial"/>
      <family val="2"/>
    </font>
    <font>
      <b/>
      <sz val="16"/>
      <name val="Arial"/>
      <family val="2"/>
    </font>
    <font>
      <b/>
      <sz val="12"/>
      <name val="Arial"/>
      <family val="2"/>
    </font>
    <font>
      <b/>
      <sz val="12"/>
      <name val="Arial"/>
      <family val="2"/>
    </font>
    <font>
      <sz val="12"/>
      <name val="Arial"/>
      <family val="2"/>
    </font>
    <font>
      <b/>
      <sz val="11"/>
      <name val="Arial"/>
      <family val="2"/>
    </font>
    <font>
      <sz val="11"/>
      <name val="Arial"/>
      <family val="2"/>
    </font>
    <font>
      <sz val="11"/>
      <name val="Arial"/>
      <family val="2"/>
    </font>
    <font>
      <sz val="10"/>
      <name val="Arial"/>
      <family val="2"/>
    </font>
    <font>
      <b/>
      <sz val="10"/>
      <name val="Arial"/>
      <family val="2"/>
    </font>
    <font>
      <b/>
      <sz val="20"/>
      <name val="Arial"/>
      <family val="2"/>
    </font>
    <font>
      <sz val="16"/>
      <name val="Arial"/>
      <family val="2"/>
    </font>
    <font>
      <sz val="12"/>
      <color theme="0"/>
      <name val="Arial"/>
      <family val="2"/>
    </font>
    <font>
      <u/>
      <sz val="16"/>
      <name val="Arial"/>
      <family val="2"/>
    </font>
    <font>
      <sz val="24"/>
      <name val="Arial"/>
      <family val="2"/>
    </font>
    <font>
      <b/>
      <sz val="11"/>
      <color theme="1"/>
      <name val="Calibri"/>
      <family val="2"/>
      <scheme val="minor"/>
    </font>
    <font>
      <b/>
      <sz val="11"/>
      <color rgb="FF000000"/>
      <name val="Calibri"/>
      <family val="2"/>
      <scheme val="minor"/>
    </font>
    <font>
      <b/>
      <sz val="10"/>
      <color theme="1"/>
      <name val="Calibri"/>
      <family val="2"/>
      <scheme val="minor"/>
    </font>
    <font>
      <sz val="11"/>
      <color rgb="FF000000"/>
      <name val="Calibri"/>
      <family val="2"/>
      <scheme val="minor"/>
    </font>
    <font>
      <i/>
      <sz val="10"/>
      <name val="Arial"/>
      <family val="2"/>
    </font>
  </fonts>
  <fills count="10">
    <fill>
      <patternFill patternType="none"/>
    </fill>
    <fill>
      <patternFill patternType="gray125"/>
    </fill>
    <fill>
      <patternFill patternType="solid">
        <fgColor indexed="2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7030A0"/>
        <bgColor indexed="64"/>
      </patternFill>
    </fill>
  </fills>
  <borders count="58">
    <border>
      <left/>
      <right/>
      <top/>
      <bottom/>
      <diagonal/>
    </border>
    <border>
      <left style="thick">
        <color indexed="12"/>
      </left>
      <right/>
      <top style="thick">
        <color indexed="12"/>
      </top>
      <bottom/>
      <diagonal/>
    </border>
    <border>
      <left/>
      <right/>
      <top style="thick">
        <color indexed="12"/>
      </top>
      <bottom/>
      <diagonal/>
    </border>
    <border>
      <left/>
      <right style="thick">
        <color indexed="12"/>
      </right>
      <top style="thick">
        <color indexed="12"/>
      </top>
      <bottom/>
      <diagonal/>
    </border>
    <border>
      <left style="thick">
        <color indexed="12"/>
      </left>
      <right/>
      <top/>
      <bottom/>
      <diagonal/>
    </border>
    <border>
      <left/>
      <right style="thick">
        <color indexed="12"/>
      </right>
      <top/>
      <bottom/>
      <diagonal/>
    </border>
    <border>
      <left/>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style="thick">
        <color indexed="12"/>
      </left>
      <right/>
      <top/>
      <bottom style="thick">
        <color indexed="12"/>
      </bottom>
      <diagonal/>
    </border>
    <border>
      <left/>
      <right/>
      <top/>
      <bottom style="thick">
        <color indexed="12"/>
      </bottom>
      <diagonal/>
    </border>
    <border>
      <left/>
      <right style="thick">
        <color indexed="12"/>
      </right>
      <top/>
      <bottom style="thick">
        <color indexed="12"/>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top/>
      <bottom style="thin">
        <color indexed="64"/>
      </bottom>
      <diagonal/>
    </border>
    <border>
      <left style="medium">
        <color auto="1"/>
      </left>
      <right/>
      <top style="thin">
        <color indexed="64"/>
      </top>
      <bottom style="thin">
        <color indexed="64"/>
      </bottom>
      <diagonal/>
    </border>
    <border>
      <left/>
      <right style="medium">
        <color auto="1"/>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medium">
        <color auto="1"/>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ck">
        <color rgb="FF0000FF"/>
      </top>
      <bottom/>
      <diagonal/>
    </border>
    <border>
      <left/>
      <right style="medium">
        <color indexed="64"/>
      </right>
      <top/>
      <bottom style="medium">
        <color indexed="64"/>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9" fontId="11" fillId="0" borderId="0" applyFont="0" applyFill="0" applyBorder="0" applyAlignment="0" applyProtection="0"/>
    <xf numFmtId="0" fontId="1" fillId="0" borderId="0"/>
  </cellStyleXfs>
  <cellXfs count="376">
    <xf numFmtId="0" fontId="0" fillId="0" borderId="0" xfId="0"/>
    <xf numFmtId="0" fontId="3" fillId="0" borderId="0" xfId="0" applyFont="1"/>
    <xf numFmtId="0" fontId="3" fillId="0" borderId="0" xfId="0" applyFont="1" applyBorder="1"/>
    <xf numFmtId="0" fontId="3" fillId="0" borderId="1" xfId="0" applyFont="1" applyBorder="1"/>
    <xf numFmtId="0" fontId="4" fillId="0" borderId="2" xfId="0" applyFont="1" applyBorder="1"/>
    <xf numFmtId="0" fontId="3" fillId="0" borderId="2" xfId="0" applyFont="1" applyBorder="1"/>
    <xf numFmtId="0" fontId="3" fillId="0" borderId="2" xfId="0" applyFont="1" applyFill="1" applyBorder="1" applyAlignment="1"/>
    <xf numFmtId="0" fontId="3" fillId="0" borderId="3" xfId="0" applyFont="1" applyFill="1" applyBorder="1" applyAlignment="1"/>
    <xf numFmtId="0" fontId="3" fillId="0" borderId="0" xfId="0" applyFont="1" applyFill="1" applyBorder="1" applyAlignment="1"/>
    <xf numFmtId="0" fontId="3" fillId="0" borderId="4" xfId="0" applyFont="1" applyBorder="1"/>
    <xf numFmtId="0" fontId="5" fillId="0" borderId="0" xfId="0" applyFont="1" applyBorder="1"/>
    <xf numFmtId="0" fontId="5" fillId="0" borderId="0" xfId="0" applyFont="1" applyFill="1" applyBorder="1" applyAlignment="1">
      <alignment horizontal="center"/>
    </xf>
    <xf numFmtId="0" fontId="5" fillId="0" borderId="5" xfId="0" applyFont="1" applyFill="1" applyBorder="1" applyAlignment="1">
      <alignment horizontal="center"/>
    </xf>
    <xf numFmtId="0" fontId="5" fillId="0" borderId="0" xfId="0" applyFont="1" applyFill="1" applyBorder="1" applyAlignment="1">
      <alignment horizontal="center" textRotation="90" wrapText="1"/>
    </xf>
    <xf numFmtId="0" fontId="5" fillId="0" borderId="0" xfId="0" applyFont="1" applyBorder="1" applyAlignment="1">
      <alignment horizontal="center" textRotation="90" wrapText="1"/>
    </xf>
    <xf numFmtId="0" fontId="6" fillId="0" borderId="5" xfId="0" applyFont="1" applyBorder="1" applyAlignment="1">
      <alignment horizontal="center" wrapText="1"/>
    </xf>
    <xf numFmtId="0" fontId="3" fillId="0" borderId="0" xfId="0" applyFont="1" applyFill="1" applyBorder="1"/>
    <xf numFmtId="0" fontId="3" fillId="0" borderId="0" xfId="0" applyFont="1" applyFill="1" applyBorder="1" applyAlignment="1">
      <alignment wrapText="1"/>
    </xf>
    <xf numFmtId="0" fontId="7" fillId="0" borderId="5" xfId="0" applyFont="1" applyFill="1" applyBorder="1" applyAlignment="1">
      <alignment horizontal="center"/>
    </xf>
    <xf numFmtId="165" fontId="3" fillId="0" borderId="0" xfId="0" applyNumberFormat="1" applyFont="1" applyFill="1" applyBorder="1" applyAlignment="1">
      <alignment horizontal="center"/>
    </xf>
    <xf numFmtId="9" fontId="3" fillId="0" borderId="0" xfId="2" applyFont="1" applyFill="1" applyBorder="1"/>
    <xf numFmtId="165" fontId="3" fillId="0" borderId="5" xfId="0" applyNumberFormat="1" applyFont="1" applyFill="1" applyBorder="1" applyAlignment="1">
      <alignment horizontal="center"/>
    </xf>
    <xf numFmtId="165" fontId="3" fillId="0" borderId="0" xfId="2" applyNumberFormat="1" applyFont="1" applyFill="1" applyBorder="1" applyAlignment="1">
      <alignment horizontal="center"/>
    </xf>
    <xf numFmtId="165" fontId="3" fillId="0" borderId="5" xfId="2" applyNumberFormat="1" applyFont="1" applyFill="1" applyBorder="1" applyAlignment="1">
      <alignment horizontal="center"/>
    </xf>
    <xf numFmtId="0" fontId="3" fillId="0" borderId="6" xfId="0" applyFont="1" applyFill="1" applyBorder="1"/>
    <xf numFmtId="0" fontId="3" fillId="0" borderId="4" xfId="0" applyFont="1" applyFill="1" applyBorder="1"/>
    <xf numFmtId="0" fontId="3" fillId="0" borderId="0" xfId="0" applyFont="1" applyFill="1" applyBorder="1" applyAlignment="1">
      <alignment horizontal="center"/>
    </xf>
    <xf numFmtId="0" fontId="3" fillId="0" borderId="5" xfId="0" applyFont="1" applyFill="1" applyBorder="1" applyAlignment="1"/>
    <xf numFmtId="0" fontId="3" fillId="0" borderId="0" xfId="0" applyFont="1" applyFill="1"/>
    <xf numFmtId="0" fontId="5" fillId="0" borderId="6" xfId="0" applyFont="1" applyBorder="1" applyAlignment="1"/>
    <xf numFmtId="0" fontId="5" fillId="0" borderId="0" xfId="0" applyFont="1" applyBorder="1" applyAlignment="1"/>
    <xf numFmtId="0" fontId="5" fillId="0" borderId="0" xfId="0" applyFont="1" applyBorder="1" applyAlignment="1">
      <alignment horizontal="center"/>
    </xf>
    <xf numFmtId="0" fontId="5" fillId="0" borderId="5" xfId="0" applyFont="1" applyFill="1" applyBorder="1" applyAlignment="1">
      <alignment horizontal="center" textRotation="90"/>
    </xf>
    <xf numFmtId="0" fontId="5" fillId="0" borderId="0" xfId="0" applyFont="1" applyFill="1" applyBorder="1" applyAlignment="1">
      <alignment horizontal="center" textRotation="90"/>
    </xf>
    <xf numFmtId="0" fontId="3" fillId="0" borderId="0" xfId="0" applyFont="1" applyBorder="1" applyAlignment="1">
      <alignment horizontal="right"/>
    </xf>
    <xf numFmtId="9" fontId="3" fillId="0" borderId="0" xfId="2" applyFont="1" applyBorder="1"/>
    <xf numFmtId="0" fontId="3" fillId="0" borderId="21" xfId="0" applyFont="1" applyFill="1" applyBorder="1"/>
    <xf numFmtId="0" fontId="3" fillId="0" borderId="11" xfId="0" applyFont="1" applyFill="1" applyBorder="1"/>
    <xf numFmtId="0" fontId="3" fillId="0" borderId="5" xfId="0" applyFont="1" applyFill="1" applyBorder="1" applyAlignment="1">
      <alignment horizontal="center"/>
    </xf>
    <xf numFmtId="9" fontId="3" fillId="0" borderId="0" xfId="2" applyFont="1" applyFill="1" applyBorder="1" applyAlignment="1">
      <alignment horizontal="center"/>
    </xf>
    <xf numFmtId="0" fontId="3" fillId="0" borderId="0" xfId="0" applyFont="1" applyFill="1" applyBorder="1" applyAlignment="1">
      <alignment horizontal="right"/>
    </xf>
    <xf numFmtId="9" fontId="3" fillId="0" borderId="0" xfId="2" applyFont="1" applyFill="1" applyBorder="1" applyAlignment="1"/>
    <xf numFmtId="0" fontId="3" fillId="0" borderId="0" xfId="0" applyFont="1" applyBorder="1" applyAlignment="1">
      <alignment wrapText="1"/>
    </xf>
    <xf numFmtId="0" fontId="3" fillId="0" borderId="0" xfId="0" applyFont="1" applyAlignment="1">
      <alignment wrapText="1"/>
    </xf>
    <xf numFmtId="0" fontId="3" fillId="0" borderId="18" xfId="0" applyFont="1" applyFill="1" applyBorder="1"/>
    <xf numFmtId="0" fontId="3" fillId="0" borderId="0" xfId="0" applyFont="1" applyBorder="1" applyAlignment="1">
      <alignment horizontal="left"/>
    </xf>
    <xf numFmtId="0" fontId="3" fillId="0" borderId="0" xfId="0" applyFont="1" applyBorder="1" applyAlignment="1">
      <alignment horizontal="center"/>
    </xf>
    <xf numFmtId="0" fontId="3" fillId="0" borderId="5" xfId="0" applyFont="1" applyBorder="1"/>
    <xf numFmtId="14" fontId="3" fillId="0" borderId="0" xfId="0" quotePrefix="1" applyNumberFormat="1" applyFont="1" applyBorder="1"/>
    <xf numFmtId="0" fontId="3" fillId="0" borderId="25" xfId="0" applyFont="1" applyFill="1" applyBorder="1"/>
    <xf numFmtId="0" fontId="3" fillId="0" borderId="26" xfId="0" applyFont="1" applyFill="1" applyBorder="1"/>
    <xf numFmtId="0" fontId="3" fillId="0" borderId="26" xfId="0" applyFont="1" applyBorder="1"/>
    <xf numFmtId="0" fontId="3" fillId="0" borderId="27" xfId="0" applyFont="1" applyFill="1" applyBorder="1"/>
    <xf numFmtId="0" fontId="11" fillId="0" borderId="0" xfId="0" applyFont="1" applyFill="1" applyBorder="1" applyAlignment="1"/>
    <xf numFmtId="0" fontId="12" fillId="0" borderId="0" xfId="0" applyFont="1" applyFill="1" applyBorder="1" applyAlignment="1">
      <alignment wrapText="1"/>
    </xf>
    <xf numFmtId="0" fontId="0" fillId="0" borderId="0" xfId="0" applyFill="1" applyBorder="1"/>
    <xf numFmtId="0" fontId="0" fillId="0" borderId="0" xfId="0" applyNumberFormat="1" applyFill="1" applyBorder="1"/>
    <xf numFmtId="0" fontId="3" fillId="0" borderId="0" xfId="0" applyFont="1" applyFill="1" applyBorder="1" applyAlignment="1">
      <alignment horizontal="left"/>
    </xf>
    <xf numFmtId="14" fontId="0" fillId="0" borderId="0" xfId="0" applyNumberFormat="1"/>
    <xf numFmtId="14" fontId="3" fillId="0" borderId="0" xfId="0" applyNumberFormat="1" applyFont="1" applyBorder="1" applyAlignment="1">
      <alignment horizontal="center"/>
    </xf>
    <xf numFmtId="0" fontId="0" fillId="3" borderId="0" xfId="0" applyFill="1"/>
    <xf numFmtId="0" fontId="12" fillId="3" borderId="31" xfId="0" applyFont="1" applyFill="1" applyBorder="1" applyAlignment="1">
      <alignment horizontal="center" wrapText="1"/>
    </xf>
    <xf numFmtId="0" fontId="12" fillId="0" borderId="0" xfId="0" applyFont="1" applyAlignment="1">
      <alignment horizontal="center" wrapText="1"/>
    </xf>
    <xf numFmtId="0" fontId="12" fillId="4" borderId="31" xfId="0" applyFont="1" applyFill="1" applyBorder="1" applyAlignment="1">
      <alignment horizontal="center" wrapText="1"/>
    </xf>
    <xf numFmtId="0" fontId="12" fillId="5" borderId="31" xfId="0" applyFont="1" applyFill="1" applyBorder="1" applyAlignment="1">
      <alignment horizontal="center" wrapText="1"/>
    </xf>
    <xf numFmtId="0" fontId="12" fillId="6" borderId="31" xfId="0" applyFont="1" applyFill="1" applyBorder="1" applyAlignment="1">
      <alignment horizontal="center" wrapText="1"/>
    </xf>
    <xf numFmtId="0" fontId="12" fillId="6" borderId="34" xfId="0" applyFont="1" applyFill="1" applyBorder="1" applyAlignment="1">
      <alignment horizontal="center" wrapText="1"/>
    </xf>
    <xf numFmtId="0" fontId="12" fillId="4" borderId="34" xfId="0" applyFont="1" applyFill="1" applyBorder="1" applyAlignment="1">
      <alignment horizontal="center" wrapText="1"/>
    </xf>
    <xf numFmtId="0" fontId="12" fillId="4" borderId="36" xfId="0" applyFont="1" applyFill="1" applyBorder="1" applyAlignment="1">
      <alignment horizontal="center" wrapText="1"/>
    </xf>
    <xf numFmtId="0" fontId="0" fillId="6" borderId="38" xfId="0" applyFill="1" applyBorder="1"/>
    <xf numFmtId="0" fontId="12" fillId="6" borderId="40" xfId="0" applyFont="1" applyFill="1" applyBorder="1" applyAlignment="1">
      <alignment horizontal="center" wrapText="1"/>
    </xf>
    <xf numFmtId="0" fontId="0" fillId="5" borderId="38" xfId="0" applyFill="1" applyBorder="1"/>
    <xf numFmtId="0" fontId="0" fillId="0" borderId="0" xfId="0" applyAlignment="1">
      <alignment horizontal="center"/>
    </xf>
    <xf numFmtId="0" fontId="0" fillId="0" borderId="0" xfId="0" applyAlignment="1">
      <alignment horizontal="center"/>
    </xf>
    <xf numFmtId="4" fontId="0" fillId="0" borderId="0" xfId="0" applyNumberFormat="1"/>
    <xf numFmtId="0" fontId="0" fillId="3" borderId="31" xfId="0" applyFill="1" applyBorder="1"/>
    <xf numFmtId="4" fontId="0" fillId="5" borderId="0" xfId="0" applyNumberFormat="1" applyFill="1"/>
    <xf numFmtId="4" fontId="0" fillId="5" borderId="12" xfId="0" applyNumberFormat="1" applyFill="1" applyBorder="1"/>
    <xf numFmtId="4" fontId="0" fillId="5" borderId="13" xfId="0" applyNumberFormat="1" applyFill="1" applyBorder="1"/>
    <xf numFmtId="4" fontId="0" fillId="5" borderId="14" xfId="0" applyNumberFormat="1" applyFill="1" applyBorder="1"/>
    <xf numFmtId="4" fontId="0" fillId="6" borderId="12" xfId="0" applyNumberFormat="1" applyFill="1" applyBorder="1"/>
    <xf numFmtId="4" fontId="0" fillId="6" borderId="13" xfId="0" applyNumberFormat="1" applyFill="1" applyBorder="1"/>
    <xf numFmtId="4" fontId="0" fillId="6" borderId="14" xfId="0" applyNumberFormat="1" applyFill="1" applyBorder="1"/>
    <xf numFmtId="0" fontId="6" fillId="3" borderId="31" xfId="0" applyFont="1" applyFill="1" applyBorder="1" applyAlignment="1">
      <alignment horizontal="center"/>
    </xf>
    <xf numFmtId="0" fontId="0" fillId="3" borderId="0" xfId="0" applyFill="1" applyBorder="1"/>
    <xf numFmtId="0" fontId="0" fillId="0" borderId="31" xfId="0" applyBorder="1" applyAlignment="1">
      <alignment horizontal="center" wrapText="1"/>
    </xf>
    <xf numFmtId="0" fontId="11" fillId="0" borderId="31" xfId="0" applyFont="1" applyBorder="1" applyAlignment="1">
      <alignment horizontal="center" wrapText="1"/>
    </xf>
    <xf numFmtId="0" fontId="13" fillId="0" borderId="0" xfId="0" applyFont="1" applyAlignment="1"/>
    <xf numFmtId="165" fontId="7" fillId="7" borderId="0" xfId="0" quotePrefix="1" applyNumberFormat="1" applyFont="1" applyFill="1" applyBorder="1" applyAlignment="1">
      <alignment horizontal="center"/>
    </xf>
    <xf numFmtId="165" fontId="7" fillId="7" borderId="6" xfId="0" quotePrefix="1" applyNumberFormat="1" applyFont="1" applyFill="1" applyBorder="1" applyAlignment="1">
      <alignment horizontal="center"/>
    </xf>
    <xf numFmtId="0" fontId="12" fillId="3" borderId="0" xfId="0" applyFont="1" applyFill="1" applyBorder="1" applyAlignment="1">
      <alignment vertical="center"/>
    </xf>
    <xf numFmtId="0" fontId="12" fillId="3" borderId="31" xfId="0" applyFont="1" applyFill="1" applyBorder="1" applyAlignment="1">
      <alignment vertical="center"/>
    </xf>
    <xf numFmtId="0" fontId="11" fillId="6" borderId="30" xfId="0" applyFont="1" applyFill="1" applyBorder="1" applyAlignment="1">
      <alignment horizontal="center" wrapText="1"/>
    </xf>
    <xf numFmtId="0" fontId="11" fillId="6" borderId="31" xfId="0" applyFont="1" applyFill="1" applyBorder="1" applyAlignment="1">
      <alignment horizontal="center" wrapText="1"/>
    </xf>
    <xf numFmtId="0" fontId="11" fillId="6" borderId="40" xfId="0" quotePrefix="1" applyFont="1" applyFill="1" applyBorder="1" applyAlignment="1">
      <alignment horizontal="center" wrapText="1"/>
    </xf>
    <xf numFmtId="0" fontId="0" fillId="6" borderId="14" xfId="0" applyFill="1" applyBorder="1" applyAlignment="1">
      <alignment horizontal="center"/>
    </xf>
    <xf numFmtId="0" fontId="0" fillId="6" borderId="13" xfId="0" applyFill="1" applyBorder="1" applyAlignment="1">
      <alignment horizontal="center"/>
    </xf>
    <xf numFmtId="0" fontId="0" fillId="6" borderId="0" xfId="0" applyFill="1" applyBorder="1" applyAlignment="1">
      <alignment horizontal="center"/>
    </xf>
    <xf numFmtId="0" fontId="11" fillId="3" borderId="31" xfId="0" applyFont="1" applyFill="1" applyBorder="1" applyAlignment="1">
      <alignment horizontal="center" wrapText="1"/>
    </xf>
    <xf numFmtId="0" fontId="0" fillId="3" borderId="31" xfId="0" applyFill="1" applyBorder="1" applyAlignment="1">
      <alignment horizontal="center" wrapText="1"/>
    </xf>
    <xf numFmtId="0" fontId="0" fillId="3" borderId="40" xfId="0" applyFill="1" applyBorder="1" applyAlignment="1">
      <alignment horizontal="center" wrapText="1"/>
    </xf>
    <xf numFmtId="4" fontId="0" fillId="3" borderId="0" xfId="0" applyNumberFormat="1" applyFill="1" applyBorder="1" applyAlignment="1">
      <alignment horizontal="center"/>
    </xf>
    <xf numFmtId="4" fontId="0" fillId="3" borderId="14" xfId="0" applyNumberFormat="1" applyFill="1" applyBorder="1" applyAlignment="1">
      <alignment horizontal="center"/>
    </xf>
    <xf numFmtId="4" fontId="0" fillId="4" borderId="0" xfId="0" applyNumberFormat="1" applyFill="1" applyBorder="1" applyAlignment="1">
      <alignment horizontal="center"/>
    </xf>
    <xf numFmtId="4" fontId="0" fillId="4" borderId="15" xfId="0" applyNumberFormat="1" applyFill="1" applyBorder="1" applyAlignment="1">
      <alignment horizontal="center"/>
    </xf>
    <xf numFmtId="4" fontId="0" fillId="0" borderId="0" xfId="0" applyNumberFormat="1" applyAlignment="1">
      <alignment horizontal="center"/>
    </xf>
    <xf numFmtId="0" fontId="7" fillId="0" borderId="2" xfId="0" applyFont="1" applyBorder="1"/>
    <xf numFmtId="9" fontId="0" fillId="4" borderId="9" xfId="0" applyNumberFormat="1" applyFill="1" applyBorder="1" applyAlignment="1">
      <alignment horizontal="center"/>
    </xf>
    <xf numFmtId="4" fontId="0" fillId="5" borderId="0" xfId="0" applyNumberFormat="1" applyFill="1" applyBorder="1"/>
    <xf numFmtId="4" fontId="0" fillId="5" borderId="0" xfId="0" applyNumberFormat="1" applyFill="1" applyBorder="1" applyAlignment="1">
      <alignment horizontal="center"/>
    </xf>
    <xf numFmtId="4" fontId="0" fillId="6" borderId="0" xfId="0" applyNumberFormat="1" applyFill="1" applyBorder="1" applyAlignment="1">
      <alignment horizontal="center"/>
    </xf>
    <xf numFmtId="4" fontId="0" fillId="6" borderId="13" xfId="0" applyNumberFormat="1" applyFill="1" applyBorder="1" applyAlignment="1">
      <alignment horizontal="center"/>
    </xf>
    <xf numFmtId="4" fontId="0" fillId="5" borderId="13" xfId="0" applyNumberFormat="1" applyFill="1" applyBorder="1" applyAlignment="1">
      <alignment horizontal="center"/>
    </xf>
    <xf numFmtId="9" fontId="0" fillId="4" borderId="0" xfId="0" applyNumberFormat="1" applyFill="1" applyBorder="1" applyAlignment="1">
      <alignment horizontal="center"/>
    </xf>
    <xf numFmtId="0" fontId="12" fillId="4" borderId="28" xfId="0" applyFont="1" applyFill="1" applyBorder="1" applyAlignment="1">
      <alignment horizontal="center" wrapText="1"/>
    </xf>
    <xf numFmtId="9" fontId="3" fillId="0" borderId="6" xfId="2" applyFont="1" applyFill="1" applyBorder="1" applyAlignment="1">
      <alignment horizontal="center"/>
    </xf>
    <xf numFmtId="0" fontId="3" fillId="8" borderId="0" xfId="0" applyFont="1" applyFill="1" applyBorder="1"/>
    <xf numFmtId="165" fontId="7" fillId="8" borderId="0" xfId="0" quotePrefix="1" applyNumberFormat="1" applyFont="1" applyFill="1" applyBorder="1" applyAlignment="1">
      <alignment horizontal="center"/>
    </xf>
    <xf numFmtId="0" fontId="3" fillId="7" borderId="0" xfId="0" applyFont="1" applyFill="1" applyBorder="1"/>
    <xf numFmtId="4" fontId="0" fillId="3" borderId="0" xfId="0" applyNumberFormat="1" applyFill="1" applyAlignment="1">
      <alignment horizontal="center"/>
    </xf>
    <xf numFmtId="0" fontId="11" fillId="3" borderId="30" xfId="0" applyFont="1" applyFill="1" applyBorder="1" applyAlignment="1">
      <alignment horizontal="center" wrapText="1"/>
    </xf>
    <xf numFmtId="4" fontId="0" fillId="3" borderId="13" xfId="0" applyNumberFormat="1" applyFill="1" applyBorder="1" applyAlignment="1">
      <alignment horizontal="center"/>
    </xf>
    <xf numFmtId="0" fontId="12" fillId="5" borderId="37" xfId="0" applyFont="1" applyFill="1" applyBorder="1" applyAlignment="1">
      <alignment horizontal="center" wrapText="1"/>
    </xf>
    <xf numFmtId="0" fontId="12" fillId="5" borderId="28" xfId="0" applyFont="1" applyFill="1" applyBorder="1" applyAlignment="1">
      <alignment horizontal="center" wrapText="1"/>
    </xf>
    <xf numFmtId="0" fontId="12" fillId="5" borderId="42" xfId="0" applyFont="1" applyFill="1" applyBorder="1" applyAlignment="1">
      <alignment horizontal="center" wrapText="1"/>
    </xf>
    <xf numFmtId="0" fontId="3" fillId="8" borderId="14" xfId="0" applyFont="1" applyFill="1" applyBorder="1"/>
    <xf numFmtId="0" fontId="3" fillId="7" borderId="14" xfId="0" applyFont="1" applyFill="1" applyBorder="1"/>
    <xf numFmtId="165" fontId="7" fillId="7" borderId="14" xfId="0" quotePrefix="1" applyNumberFormat="1" applyFont="1" applyFill="1" applyBorder="1" applyAlignment="1">
      <alignment horizontal="center"/>
    </xf>
    <xf numFmtId="165" fontId="7" fillId="8" borderId="14" xfId="0" quotePrefix="1" applyNumberFormat="1" applyFont="1" applyFill="1" applyBorder="1" applyAlignment="1">
      <alignment horizontal="center"/>
    </xf>
    <xf numFmtId="165" fontId="7" fillId="7" borderId="18" xfId="0" quotePrefix="1" applyNumberFormat="1" applyFont="1" applyFill="1" applyBorder="1" applyAlignment="1">
      <alignment horizontal="center"/>
    </xf>
    <xf numFmtId="9" fontId="7" fillId="0" borderId="0" xfId="1" quotePrefix="1" applyNumberFormat="1" applyFont="1" applyFill="1" applyBorder="1" applyAlignment="1">
      <alignment horizontal="center"/>
    </xf>
    <xf numFmtId="168" fontId="7" fillId="8" borderId="0" xfId="1" quotePrefix="1" applyNumberFormat="1" applyFont="1" applyFill="1" applyBorder="1" applyAlignment="1">
      <alignment horizontal="center"/>
    </xf>
    <xf numFmtId="164" fontId="7" fillId="0" borderId="24" xfId="0" quotePrefix="1" applyNumberFormat="1" applyFont="1" applyFill="1" applyBorder="1" applyAlignment="1">
      <alignment horizontal="center"/>
    </xf>
    <xf numFmtId="164" fontId="7" fillId="0" borderId="11" xfId="0" quotePrefix="1" applyNumberFormat="1" applyFont="1" applyFill="1" applyBorder="1" applyAlignment="1">
      <alignment horizontal="center"/>
    </xf>
    <xf numFmtId="164" fontId="7" fillId="0" borderId="21" xfId="0" quotePrefix="1" applyNumberFormat="1" applyFont="1" applyFill="1" applyBorder="1" applyAlignment="1">
      <alignment horizontal="center"/>
    </xf>
    <xf numFmtId="164" fontId="7" fillId="8" borderId="13" xfId="0" quotePrefix="1" applyNumberFormat="1" applyFont="1" applyFill="1" applyBorder="1" applyAlignment="1">
      <alignment horizontal="center"/>
    </xf>
    <xf numFmtId="164" fontId="7" fillId="8" borderId="14" xfId="0" quotePrefix="1" applyNumberFormat="1" applyFont="1" applyFill="1" applyBorder="1" applyAlignment="1">
      <alignment horizontal="center"/>
    </xf>
    <xf numFmtId="164" fontId="7" fillId="8" borderId="0" xfId="0" quotePrefix="1" applyNumberFormat="1" applyFont="1" applyFill="1" applyBorder="1" applyAlignment="1">
      <alignment horizontal="center"/>
    </xf>
    <xf numFmtId="164" fontId="7" fillId="7" borderId="13" xfId="0" quotePrefix="1" applyNumberFormat="1" applyFont="1" applyFill="1" applyBorder="1" applyAlignment="1">
      <alignment horizontal="center"/>
    </xf>
    <xf numFmtId="164" fontId="7" fillId="7" borderId="14" xfId="0" quotePrefix="1" applyNumberFormat="1" applyFont="1" applyFill="1" applyBorder="1" applyAlignment="1">
      <alignment horizontal="center"/>
    </xf>
    <xf numFmtId="164" fontId="7" fillId="7" borderId="0" xfId="0" quotePrefix="1" applyNumberFormat="1" applyFont="1" applyFill="1" applyBorder="1" applyAlignment="1">
      <alignment horizontal="center"/>
    </xf>
    <xf numFmtId="164" fontId="7" fillId="0" borderId="23" xfId="0" quotePrefix="1" applyNumberFormat="1" applyFont="1" applyFill="1" applyBorder="1" applyAlignment="1">
      <alignment horizontal="center"/>
    </xf>
    <xf numFmtId="164" fontId="7" fillId="0" borderId="18" xfId="0" quotePrefix="1" applyNumberFormat="1" applyFont="1" applyFill="1" applyBorder="1" applyAlignment="1">
      <alignment horizontal="center"/>
    </xf>
    <xf numFmtId="164" fontId="7" fillId="0" borderId="6" xfId="0" quotePrefix="1" applyNumberFormat="1" applyFont="1" applyFill="1" applyBorder="1" applyAlignment="1">
      <alignment horizontal="center"/>
    </xf>
    <xf numFmtId="164" fontId="7" fillId="0" borderId="10" xfId="0" quotePrefix="1" applyNumberFormat="1" applyFont="1" applyFill="1" applyBorder="1" applyAlignment="1">
      <alignment horizontal="center"/>
    </xf>
    <xf numFmtId="164" fontId="7" fillId="8" borderId="12" xfId="0" quotePrefix="1" applyNumberFormat="1" applyFont="1" applyFill="1" applyBorder="1" applyAlignment="1">
      <alignment horizontal="center"/>
    </xf>
    <xf numFmtId="164" fontId="7" fillId="7" borderId="12" xfId="0" quotePrefix="1" applyNumberFormat="1" applyFont="1" applyFill="1" applyBorder="1" applyAlignment="1">
      <alignment horizontal="center"/>
    </xf>
    <xf numFmtId="164" fontId="7" fillId="0" borderId="17" xfId="0" quotePrefix="1" applyNumberFormat="1" applyFont="1" applyFill="1" applyBorder="1" applyAlignment="1">
      <alignment horizontal="center"/>
    </xf>
    <xf numFmtId="0" fontId="0" fillId="0" borderId="0" xfId="0" applyAlignment="1">
      <alignment horizontal="center"/>
    </xf>
    <xf numFmtId="9" fontId="3" fillId="0" borderId="0" xfId="0" applyNumberFormat="1" applyFont="1"/>
    <xf numFmtId="1" fontId="3" fillId="0" borderId="0" xfId="0" applyNumberFormat="1" applyFont="1"/>
    <xf numFmtId="166" fontId="7" fillId="0" borderId="0" xfId="1" quotePrefix="1" applyNumberFormat="1" applyFont="1" applyFill="1" applyBorder="1" applyAlignment="1">
      <alignment horizontal="center"/>
    </xf>
    <xf numFmtId="167" fontId="7" fillId="0" borderId="0" xfId="1" quotePrefix="1" applyNumberFormat="1" applyFont="1" applyFill="1" applyBorder="1" applyAlignment="1">
      <alignment horizontal="center"/>
    </xf>
    <xf numFmtId="2" fontId="7" fillId="0" borderId="0" xfId="2" quotePrefix="1" applyNumberFormat="1" applyFont="1" applyFill="1" applyBorder="1" applyAlignment="1">
      <alignment horizontal="center"/>
    </xf>
    <xf numFmtId="164" fontId="3" fillId="0" borderId="0" xfId="2" applyNumberFormat="1" applyFont="1" applyFill="1" applyBorder="1" applyAlignment="1">
      <alignment horizontal="center"/>
    </xf>
    <xf numFmtId="0" fontId="11" fillId="0" borderId="0" xfId="0" applyFont="1"/>
    <xf numFmtId="168" fontId="7" fillId="0" borderId="0" xfId="1" quotePrefix="1" applyNumberFormat="1" applyFont="1" applyFill="1" applyBorder="1" applyAlignment="1">
      <alignment horizontal="center"/>
    </xf>
    <xf numFmtId="0" fontId="3" fillId="0" borderId="6" xfId="0" applyFont="1" applyFill="1" applyBorder="1" applyAlignment="1">
      <alignment horizontal="center"/>
    </xf>
    <xf numFmtId="164" fontId="7" fillId="0" borderId="0" xfId="1" quotePrefix="1" applyNumberFormat="1" applyFont="1" applyFill="1" applyBorder="1" applyAlignment="1">
      <alignment horizontal="center"/>
    </xf>
    <xf numFmtId="164" fontId="7" fillId="8" borderId="0" xfId="1" quotePrefix="1" applyNumberFormat="1" applyFont="1" applyFill="1" applyBorder="1" applyAlignment="1">
      <alignment horizontal="center"/>
    </xf>
    <xf numFmtId="0" fontId="5" fillId="0" borderId="0" xfId="0" applyFont="1" applyFill="1" applyBorder="1" applyAlignment="1">
      <alignment horizontal="center" wrapText="1"/>
    </xf>
    <xf numFmtId="0" fontId="5" fillId="0" borderId="0" xfId="0" applyFont="1" applyBorder="1" applyAlignment="1">
      <alignment horizontal="center" wrapText="1"/>
    </xf>
    <xf numFmtId="0" fontId="6" fillId="0" borderId="0" xfId="0" applyFont="1" applyBorder="1" applyAlignment="1">
      <alignment horizontal="center" wrapText="1"/>
    </xf>
    <xf numFmtId="166" fontId="7" fillId="0" borderId="23" xfId="1" quotePrefix="1" applyNumberFormat="1" applyFont="1" applyFill="1" applyBorder="1" applyAlignment="1">
      <alignment horizontal="center"/>
    </xf>
    <xf numFmtId="168" fontId="7" fillId="0" borderId="6" xfId="1" quotePrefix="1" applyNumberFormat="1" applyFont="1" applyFill="1" applyBorder="1" applyAlignment="1">
      <alignment horizontal="center"/>
    </xf>
    <xf numFmtId="164" fontId="7" fillId="0" borderId="6" xfId="1" quotePrefix="1" applyNumberFormat="1" applyFont="1" applyFill="1" applyBorder="1" applyAlignment="1">
      <alignment horizontal="center"/>
    </xf>
    <xf numFmtId="164" fontId="7" fillId="0" borderId="0" xfId="2" quotePrefix="1" applyNumberFormat="1" applyFont="1" applyFill="1" applyBorder="1" applyAlignment="1">
      <alignment horizontal="center"/>
    </xf>
    <xf numFmtId="9" fontId="15" fillId="0" borderId="2" xfId="0" applyNumberFormat="1" applyFont="1" applyBorder="1"/>
    <xf numFmtId="0" fontId="15" fillId="0" borderId="2" xfId="0" applyFont="1" applyBorder="1"/>
    <xf numFmtId="2" fontId="3" fillId="0" borderId="0" xfId="2" applyNumberFormat="1" applyFont="1" applyFill="1" applyBorder="1" applyAlignment="1">
      <alignment horizontal="center"/>
    </xf>
    <xf numFmtId="0" fontId="5"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5" fillId="0" borderId="22" xfId="0" applyFont="1" applyFill="1" applyBorder="1" applyAlignment="1">
      <alignment horizontal="center" wrapText="1"/>
    </xf>
    <xf numFmtId="0" fontId="6" fillId="0" borderId="0" xfId="0" applyFont="1" applyFill="1" applyBorder="1" applyAlignment="1">
      <alignment horizontal="center" wrapText="1"/>
    </xf>
    <xf numFmtId="0" fontId="12" fillId="7" borderId="31" xfId="0" applyFont="1" applyFill="1" applyBorder="1" applyAlignment="1">
      <alignment horizontal="center" vertical="center" wrapText="1"/>
    </xf>
    <xf numFmtId="0" fontId="0" fillId="0" borderId="13" xfId="0" applyFill="1" applyBorder="1"/>
    <xf numFmtId="0" fontId="12" fillId="0" borderId="31" xfId="0" applyFont="1" applyFill="1" applyBorder="1" applyAlignment="1">
      <alignment horizontal="center" vertical="center" wrapText="1"/>
    </xf>
    <xf numFmtId="0" fontId="12" fillId="0" borderId="0" xfId="0" applyFont="1" applyBorder="1" applyAlignment="1"/>
    <xf numFmtId="0" fontId="11" fillId="0" borderId="0" xfId="0" applyFont="1" applyFill="1" applyBorder="1" applyAlignment="1">
      <alignment horizontal="center" vertical="center" wrapText="1"/>
    </xf>
    <xf numFmtId="3" fontId="0" fillId="0" borderId="0" xfId="0" applyNumberFormat="1"/>
    <xf numFmtId="0" fontId="0" fillId="0" borderId="0" xfId="0" applyAlignment="1">
      <alignment horizontal="center"/>
    </xf>
    <xf numFmtId="0" fontId="3" fillId="7" borderId="0" xfId="0" applyFont="1" applyFill="1" applyBorder="1" applyAlignment="1">
      <alignment horizontal="center"/>
    </xf>
    <xf numFmtId="0" fontId="3" fillId="8" borderId="0" xfId="0" applyFont="1" applyFill="1" applyBorder="1" applyAlignment="1">
      <alignment horizontal="center"/>
    </xf>
    <xf numFmtId="0" fontId="3" fillId="7" borderId="6" xfId="0" applyFont="1" applyFill="1" applyBorder="1" applyAlignment="1">
      <alignment horizontal="center"/>
    </xf>
    <xf numFmtId="164" fontId="7" fillId="0" borderId="16" xfId="0" quotePrefix="1" applyNumberFormat="1" applyFont="1" applyFill="1" applyBorder="1" applyAlignment="1">
      <alignment horizontal="center"/>
    </xf>
    <xf numFmtId="165" fontId="7" fillId="0" borderId="0" xfId="0" quotePrefix="1" applyNumberFormat="1" applyFont="1" applyFill="1" applyBorder="1" applyAlignment="1">
      <alignment horizontal="center"/>
    </xf>
    <xf numFmtId="0" fontId="5" fillId="0" borderId="0" xfId="0" applyFont="1" applyFill="1" applyBorder="1"/>
    <xf numFmtId="0" fontId="1" fillId="0" borderId="0" xfId="0" quotePrefix="1" applyFont="1"/>
    <xf numFmtId="9" fontId="3" fillId="0" borderId="0" xfId="1" quotePrefix="1" applyNumberFormat="1" applyFont="1" applyFill="1" applyBorder="1" applyAlignment="1">
      <alignment horizontal="center"/>
    </xf>
    <xf numFmtId="9" fontId="3" fillId="8" borderId="0" xfId="1" quotePrefix="1" applyNumberFormat="1" applyFont="1" applyFill="1" applyBorder="1" applyAlignment="1">
      <alignment horizontal="center"/>
    </xf>
    <xf numFmtId="9" fontId="3" fillId="0" borderId="6" xfId="1" quotePrefix="1" applyNumberFormat="1" applyFont="1" applyFill="1" applyBorder="1" applyAlignment="1">
      <alignment horizontal="center"/>
    </xf>
    <xf numFmtId="0" fontId="0" fillId="0" borderId="0" xfId="0" applyFill="1" applyBorder="1" applyAlignment="1">
      <alignment horizontal="center"/>
    </xf>
    <xf numFmtId="0" fontId="0" fillId="9" borderId="0" xfId="0" applyFill="1" applyAlignment="1">
      <alignment horizontal="center"/>
    </xf>
    <xf numFmtId="0" fontId="1" fillId="0" borderId="0" xfId="0" applyFont="1" applyAlignment="1">
      <alignment horizontal="center"/>
    </xf>
    <xf numFmtId="166" fontId="7" fillId="0" borderId="13" xfId="1" quotePrefix="1" applyNumberFormat="1" applyFont="1" applyFill="1" applyBorder="1" applyAlignment="1">
      <alignment horizontal="center"/>
    </xf>
    <xf numFmtId="166" fontId="7" fillId="8" borderId="13" xfId="1" quotePrefix="1" applyNumberFormat="1" applyFont="1" applyFill="1" applyBorder="1" applyAlignment="1">
      <alignment horizontal="center"/>
    </xf>
    <xf numFmtId="0" fontId="5" fillId="0" borderId="8" xfId="0" applyFont="1" applyBorder="1" applyAlignment="1">
      <alignment horizontal="center" vertical="center" wrapText="1"/>
    </xf>
    <xf numFmtId="0" fontId="3" fillId="7" borderId="11" xfId="0" applyFont="1" applyFill="1" applyBorder="1" applyAlignment="1">
      <alignment horizontal="center"/>
    </xf>
    <xf numFmtId="0" fontId="3" fillId="8" borderId="14" xfId="0" applyFont="1" applyFill="1" applyBorder="1" applyAlignment="1">
      <alignment horizontal="center"/>
    </xf>
    <xf numFmtId="0" fontId="3" fillId="0" borderId="14" xfId="0" applyFont="1" applyFill="1" applyBorder="1" applyAlignment="1">
      <alignment horizontal="center"/>
    </xf>
    <xf numFmtId="0" fontId="3" fillId="7" borderId="18" xfId="0" applyFont="1" applyFill="1" applyBorder="1" applyAlignment="1">
      <alignment horizontal="center"/>
    </xf>
    <xf numFmtId="164" fontId="7" fillId="8" borderId="0" xfId="2" quotePrefix="1" applyNumberFormat="1" applyFont="1" applyFill="1" applyBorder="1" applyAlignment="1">
      <alignment horizontal="center"/>
    </xf>
    <xf numFmtId="2" fontId="7" fillId="8" borderId="0" xfId="2" quotePrefix="1" applyNumberFormat="1" applyFont="1" applyFill="1" applyBorder="1" applyAlignment="1">
      <alignment horizontal="center"/>
    </xf>
    <xf numFmtId="2" fontId="7" fillId="0" borderId="6" xfId="2" quotePrefix="1" applyNumberFormat="1" applyFont="1" applyFill="1" applyBorder="1" applyAlignment="1">
      <alignment horizontal="center"/>
    </xf>
    <xf numFmtId="0" fontId="5" fillId="0" borderId="7" xfId="0" applyFont="1" applyBorder="1" applyAlignment="1">
      <alignment horizontal="center" vertical="center" wrapText="1"/>
    </xf>
    <xf numFmtId="9" fontId="3" fillId="8" borderId="0" xfId="2" applyFont="1" applyFill="1" applyBorder="1" applyAlignment="1">
      <alignment horizontal="center"/>
    </xf>
    <xf numFmtId="164" fontId="3" fillId="8" borderId="0" xfId="2" applyNumberFormat="1" applyFont="1" applyFill="1" applyBorder="1" applyAlignment="1">
      <alignment horizontal="center"/>
    </xf>
    <xf numFmtId="9" fontId="3" fillId="7" borderId="0" xfId="2" applyFont="1" applyFill="1" applyBorder="1" applyAlignment="1">
      <alignment horizontal="center"/>
    </xf>
    <xf numFmtId="164" fontId="3" fillId="0" borderId="6" xfId="2" applyNumberFormat="1" applyFont="1" applyFill="1" applyBorder="1" applyAlignment="1">
      <alignment horizontal="center"/>
    </xf>
    <xf numFmtId="0" fontId="4" fillId="0" borderId="0" xfId="1" quotePrefix="1" applyNumberFormat="1" applyFont="1" applyFill="1" applyBorder="1" applyAlignment="1">
      <alignment horizontal="center"/>
    </xf>
    <xf numFmtId="0" fontId="4" fillId="0" borderId="0" xfId="0" applyFont="1" applyBorder="1"/>
    <xf numFmtId="0" fontId="7" fillId="0" borderId="0" xfId="0" applyFont="1" applyBorder="1"/>
    <xf numFmtId="9" fontId="15" fillId="0" borderId="0" xfId="0" applyNumberFormat="1" applyFont="1" applyBorder="1"/>
    <xf numFmtId="0" fontId="15" fillId="0" borderId="0" xfId="0" applyFont="1" applyBorder="1"/>
    <xf numFmtId="0" fontId="4" fillId="0" borderId="0" xfId="0" applyFont="1" applyBorder="1" applyAlignment="1">
      <alignment horizontal="left" vertical="center"/>
    </xf>
    <xf numFmtId="164" fontId="17" fillId="0" borderId="0" xfId="1" quotePrefix="1" applyNumberFormat="1" applyFont="1" applyFill="1" applyBorder="1" applyAlignment="1">
      <alignment horizontal="center"/>
    </xf>
    <xf numFmtId="0" fontId="19" fillId="7" borderId="0" xfId="0" applyFont="1" applyFill="1" applyBorder="1"/>
    <xf numFmtId="0" fontId="0" fillId="7" borderId="0" xfId="0" applyFill="1" applyBorder="1"/>
    <xf numFmtId="1" fontId="20" fillId="7" borderId="0" xfId="0" applyNumberFormat="1" applyFont="1" applyFill="1" applyBorder="1" applyAlignment="1">
      <alignment horizontal="left" vertical="center"/>
    </xf>
    <xf numFmtId="3" fontId="20" fillId="7" borderId="0" xfId="0" applyNumberFormat="1" applyFont="1" applyFill="1" applyBorder="1" applyAlignment="1">
      <alignment horizontal="left" vertical="center"/>
    </xf>
    <xf numFmtId="0" fontId="21" fillId="7" borderId="0" xfId="0" applyFont="1" applyFill="1" applyBorder="1"/>
    <xf numFmtId="0" fontId="0" fillId="7" borderId="0" xfId="0" applyFill="1" applyBorder="1" applyAlignment="1">
      <alignment horizontal="center" vertical="center"/>
    </xf>
    <xf numFmtId="1" fontId="20" fillId="7" borderId="0" xfId="0" applyNumberFormat="1" applyFont="1" applyFill="1" applyBorder="1" applyAlignment="1">
      <alignment horizontal="center" vertical="center"/>
    </xf>
    <xf numFmtId="0" fontId="20" fillId="7" borderId="0" xfId="0" applyFont="1" applyFill="1" applyBorder="1" applyAlignment="1">
      <alignment horizontal="center" vertical="center"/>
    </xf>
    <xf numFmtId="0" fontId="18" fillId="7" borderId="0" xfId="0" applyFont="1" applyFill="1" applyBorder="1" applyAlignment="1">
      <alignment horizontal="center" vertical="center"/>
    </xf>
    <xf numFmtId="0" fontId="0" fillId="7" borderId="0" xfId="0" applyFill="1" applyBorder="1" applyAlignment="1">
      <alignment horizontal="left" vertical="center"/>
    </xf>
    <xf numFmtId="0" fontId="1" fillId="7" borderId="0" xfId="0" applyFont="1" applyFill="1" applyBorder="1"/>
    <xf numFmtId="0" fontId="3" fillId="0" borderId="53" xfId="0" applyFont="1" applyBorder="1"/>
    <xf numFmtId="0" fontId="3" fillId="2" borderId="0" xfId="0" applyFont="1" applyFill="1" applyBorder="1" applyAlignment="1">
      <alignment horizontal="center"/>
    </xf>
    <xf numFmtId="0" fontId="3" fillId="0" borderId="21" xfId="0" applyFont="1" applyFill="1" applyBorder="1" applyAlignment="1">
      <alignment horizontal="center"/>
    </xf>
    <xf numFmtId="10" fontId="0" fillId="0" borderId="0" xfId="0" applyNumberFormat="1"/>
    <xf numFmtId="165" fontId="3" fillId="7" borderId="0" xfId="0" quotePrefix="1" applyNumberFormat="1" applyFont="1" applyFill="1" applyBorder="1" applyAlignment="1">
      <alignment horizontal="center"/>
    </xf>
    <xf numFmtId="0" fontId="1" fillId="6" borderId="0" xfId="0" applyFont="1" applyFill="1" applyBorder="1" applyAlignment="1">
      <alignment horizontal="center"/>
    </xf>
    <xf numFmtId="165" fontId="3" fillId="8" borderId="0" xfId="0" quotePrefix="1" applyNumberFormat="1" applyFont="1" applyFill="1" applyBorder="1" applyAlignment="1">
      <alignment horizontal="center"/>
    </xf>
    <xf numFmtId="165" fontId="3" fillId="0" borderId="0" xfId="0" quotePrefix="1" applyNumberFormat="1" applyFont="1" applyFill="1" applyBorder="1" applyAlignment="1">
      <alignment horizontal="center"/>
    </xf>
    <xf numFmtId="165" fontId="3" fillId="7" borderId="6" xfId="0" quotePrefix="1" applyNumberFormat="1" applyFont="1" applyFill="1" applyBorder="1" applyAlignment="1">
      <alignment horizontal="center"/>
    </xf>
    <xf numFmtId="10" fontId="0" fillId="6" borderId="0" xfId="0" applyNumberFormat="1" applyFill="1"/>
    <xf numFmtId="0" fontId="0" fillId="6" borderId="29" xfId="0" applyFill="1" applyBorder="1" applyAlignment="1">
      <alignment horizontal="center"/>
    </xf>
    <xf numFmtId="165" fontId="7" fillId="0" borderId="20" xfId="0" quotePrefix="1" applyNumberFormat="1" applyFont="1" applyFill="1" applyBorder="1" applyAlignment="1">
      <alignment horizontal="center"/>
    </xf>
    <xf numFmtId="165" fontId="7" fillId="8" borderId="9" xfId="0" quotePrefix="1" applyNumberFormat="1" applyFont="1" applyFill="1" applyBorder="1" applyAlignment="1">
      <alignment horizontal="center"/>
    </xf>
    <xf numFmtId="165" fontId="7" fillId="7" borderId="9" xfId="0" quotePrefix="1" applyNumberFormat="1" applyFont="1" applyFill="1" applyBorder="1" applyAlignment="1">
      <alignment horizontal="center"/>
    </xf>
    <xf numFmtId="165" fontId="8" fillId="0" borderId="0" xfId="2" applyNumberFormat="1" applyFont="1" applyFill="1" applyBorder="1" applyAlignment="1">
      <alignment horizontal="left"/>
    </xf>
    <xf numFmtId="0" fontId="0" fillId="0" borderId="0" xfId="0" applyFill="1"/>
    <xf numFmtId="0" fontId="3" fillId="0" borderId="0" xfId="0" applyFont="1" applyFill="1" applyBorder="1" applyAlignment="1">
      <alignment vertical="center"/>
    </xf>
    <xf numFmtId="0" fontId="3" fillId="0" borderId="14" xfId="0" applyFont="1" applyFill="1" applyBorder="1" applyAlignment="1">
      <alignment vertical="center" wrapText="1"/>
    </xf>
    <xf numFmtId="0" fontId="3" fillId="8" borderId="0" xfId="0" applyFont="1" applyFill="1" applyBorder="1" applyAlignment="1">
      <alignment vertical="center"/>
    </xf>
    <xf numFmtId="0" fontId="3" fillId="8" borderId="14" xfId="0" applyFont="1" applyFill="1" applyBorder="1" applyAlignment="1">
      <alignment vertical="center" wrapText="1"/>
    </xf>
    <xf numFmtId="0" fontId="3" fillId="7" borderId="14" xfId="0" applyFont="1" applyFill="1" applyBorder="1" applyAlignment="1">
      <alignment vertical="center" wrapText="1"/>
    </xf>
    <xf numFmtId="0" fontId="3" fillId="0" borderId="6" xfId="0" applyFont="1" applyFill="1" applyBorder="1" applyAlignment="1">
      <alignment vertical="center"/>
    </xf>
    <xf numFmtId="0" fontId="3" fillId="0" borderId="18" xfId="0" applyFont="1" applyFill="1" applyBorder="1" applyAlignment="1">
      <alignment vertical="center" wrapText="1"/>
    </xf>
    <xf numFmtId="0" fontId="12" fillId="0" borderId="0" xfId="0" applyFont="1" applyFill="1" applyBorder="1" applyAlignment="1">
      <alignment vertical="center"/>
    </xf>
    <xf numFmtId="0" fontId="12" fillId="0" borderId="31" xfId="0" applyFont="1" applyFill="1" applyBorder="1" applyAlignment="1">
      <alignment horizontal="center" wrapText="1"/>
    </xf>
    <xf numFmtId="0" fontId="0" fillId="0" borderId="31" xfId="0" applyFill="1" applyBorder="1" applyAlignment="1">
      <alignment horizontal="center"/>
    </xf>
    <xf numFmtId="4" fontId="0" fillId="0" borderId="0" xfId="0" applyNumberFormat="1" applyFill="1"/>
    <xf numFmtId="0" fontId="1" fillId="0" borderId="31" xfId="0" applyFont="1" applyFill="1" applyBorder="1"/>
    <xf numFmtId="0" fontId="3" fillId="0" borderId="0" xfId="0" applyFont="1" applyFill="1" applyAlignment="1"/>
    <xf numFmtId="0" fontId="12" fillId="5" borderId="39" xfId="0" applyFont="1" applyFill="1" applyBorder="1" applyAlignment="1">
      <alignment horizontal="center" wrapText="1"/>
    </xf>
    <xf numFmtId="4" fontId="0" fillId="6" borderId="0" xfId="0" applyNumberFormat="1" applyFill="1"/>
    <xf numFmtId="0" fontId="12" fillId="6" borderId="38" xfId="0" applyFont="1" applyFill="1" applyBorder="1" applyAlignment="1">
      <alignment horizontal="center" wrapText="1"/>
    </xf>
    <xf numFmtId="0" fontId="12" fillId="6" borderId="37" xfId="0" applyFont="1" applyFill="1" applyBorder="1" applyAlignment="1">
      <alignment horizontal="center" wrapText="1"/>
    </xf>
    <xf numFmtId="0" fontId="12" fillId="6" borderId="39" xfId="0" applyFont="1" applyFill="1" applyBorder="1" applyAlignment="1">
      <alignment horizontal="center" wrapText="1"/>
    </xf>
    <xf numFmtId="0" fontId="0" fillId="3" borderId="6" xfId="0" applyFill="1" applyBorder="1"/>
    <xf numFmtId="9" fontId="0" fillId="4" borderId="16" xfId="0" applyNumberFormat="1" applyFill="1" applyBorder="1" applyAlignment="1">
      <alignment horizontal="center"/>
    </xf>
    <xf numFmtId="0" fontId="0" fillId="4" borderId="6" xfId="0" applyFill="1" applyBorder="1" applyAlignment="1">
      <alignment horizontal="center"/>
    </xf>
    <xf numFmtId="4" fontId="0" fillId="4" borderId="6" xfId="0" applyNumberFormat="1" applyFill="1" applyBorder="1" applyAlignment="1">
      <alignment horizontal="center"/>
    </xf>
    <xf numFmtId="9" fontId="0" fillId="4" borderId="6" xfId="0" applyNumberFormat="1" applyFill="1" applyBorder="1" applyAlignment="1">
      <alignment horizontal="center"/>
    </xf>
    <xf numFmtId="4" fontId="0" fillId="4" borderId="54" xfId="0" applyNumberFormat="1" applyFill="1" applyBorder="1" applyAlignment="1">
      <alignment horizontal="center"/>
    </xf>
    <xf numFmtId="4" fontId="0" fillId="5" borderId="6" xfId="0" applyNumberFormat="1" applyFill="1" applyBorder="1"/>
    <xf numFmtId="4" fontId="0" fillId="5" borderId="17" xfId="0" applyNumberFormat="1" applyFill="1" applyBorder="1"/>
    <xf numFmtId="4" fontId="0" fillId="5" borderId="23" xfId="0" applyNumberFormat="1" applyFill="1" applyBorder="1"/>
    <xf numFmtId="4" fontId="0" fillId="5" borderId="18" xfId="0" applyNumberFormat="1" applyFill="1" applyBorder="1"/>
    <xf numFmtId="4" fontId="0" fillId="5" borderId="23" xfId="0" applyNumberFormat="1" applyFill="1" applyBorder="1" applyAlignment="1">
      <alignment horizontal="center"/>
    </xf>
    <xf numFmtId="4" fontId="0" fillId="5" borderId="6" xfId="0" applyNumberFormat="1" applyFill="1" applyBorder="1" applyAlignment="1">
      <alignment horizontal="center"/>
    </xf>
    <xf numFmtId="4" fontId="0" fillId="6" borderId="6" xfId="0" applyNumberFormat="1" applyFill="1" applyBorder="1"/>
    <xf numFmtId="4" fontId="0" fillId="6" borderId="17" xfId="0" applyNumberFormat="1" applyFill="1" applyBorder="1"/>
    <xf numFmtId="4" fontId="0" fillId="6" borderId="23" xfId="0" applyNumberFormat="1" applyFill="1" applyBorder="1"/>
    <xf numFmtId="4" fontId="0" fillId="6" borderId="18" xfId="0" applyNumberFormat="1" applyFill="1" applyBorder="1"/>
    <xf numFmtId="4" fontId="0" fillId="6" borderId="23" xfId="0" applyNumberFormat="1" applyFill="1" applyBorder="1" applyAlignment="1">
      <alignment horizontal="center"/>
    </xf>
    <xf numFmtId="4" fontId="0" fillId="6" borderId="6" xfId="0" applyNumberFormat="1" applyFill="1" applyBorder="1" applyAlignment="1">
      <alignment horizontal="center"/>
    </xf>
    <xf numFmtId="4" fontId="0" fillId="0" borderId="6" xfId="0" applyNumberFormat="1" applyBorder="1"/>
    <xf numFmtId="0" fontId="0" fillId="0" borderId="6" xfId="0" applyBorder="1"/>
    <xf numFmtId="3" fontId="0" fillId="0" borderId="6" xfId="0" applyNumberFormat="1" applyBorder="1"/>
    <xf numFmtId="4" fontId="0" fillId="5" borderId="55" xfId="0" applyNumberFormat="1" applyFill="1" applyBorder="1"/>
    <xf numFmtId="4" fontId="0" fillId="5" borderId="15" xfId="0" applyNumberFormat="1" applyFill="1" applyBorder="1"/>
    <xf numFmtId="4" fontId="0" fillId="5" borderId="54" xfId="0" applyNumberFormat="1" applyFill="1" applyBorder="1"/>
    <xf numFmtId="0" fontId="12" fillId="7" borderId="39" xfId="0" applyFont="1" applyFill="1" applyBorder="1" applyAlignment="1">
      <alignment horizontal="center" vertical="center" wrapText="1"/>
    </xf>
    <xf numFmtId="4" fontId="0" fillId="0" borderId="14" xfId="0" applyNumberFormat="1" applyBorder="1"/>
    <xf numFmtId="4" fontId="0" fillId="0" borderId="18" xfId="0" applyNumberFormat="1" applyBorder="1"/>
    <xf numFmtId="4" fontId="0" fillId="3" borderId="6" xfId="0" applyNumberFormat="1" applyFill="1" applyBorder="1" applyAlignment="1">
      <alignment horizontal="center"/>
    </xf>
    <xf numFmtId="4" fontId="0" fillId="3" borderId="23" xfId="0" applyNumberFormat="1" applyFill="1" applyBorder="1" applyAlignment="1">
      <alignment horizontal="center"/>
    </xf>
    <xf numFmtId="4" fontId="0" fillId="3" borderId="18" xfId="0" applyNumberFormat="1" applyFill="1" applyBorder="1" applyAlignment="1">
      <alignment horizontal="center"/>
    </xf>
    <xf numFmtId="0" fontId="0" fillId="6" borderId="23" xfId="0" applyFill="1" applyBorder="1" applyAlignment="1">
      <alignment horizontal="center"/>
    </xf>
    <xf numFmtId="0" fontId="0" fillId="6" borderId="6" xfId="0" applyFill="1" applyBorder="1" applyAlignment="1">
      <alignment horizontal="center"/>
    </xf>
    <xf numFmtId="0" fontId="0" fillId="6" borderId="18" xfId="0" applyFill="1" applyBorder="1" applyAlignment="1">
      <alignment horizontal="center"/>
    </xf>
    <xf numFmtId="0" fontId="0" fillId="0" borderId="6" xfId="0" applyFill="1" applyBorder="1"/>
    <xf numFmtId="4" fontId="0" fillId="0" borderId="6" xfId="0" applyNumberFormat="1" applyFill="1" applyBorder="1"/>
    <xf numFmtId="0" fontId="12" fillId="6" borderId="28" xfId="0" applyFont="1" applyFill="1" applyBorder="1" applyAlignment="1">
      <alignment horizontal="center" wrapText="1"/>
    </xf>
    <xf numFmtId="0" fontId="0" fillId="4" borderId="0" xfId="0" applyFill="1" applyAlignment="1">
      <alignment horizontal="center"/>
    </xf>
    <xf numFmtId="0" fontId="12" fillId="5" borderId="38" xfId="0" applyFont="1" applyFill="1" applyBorder="1" applyAlignment="1">
      <alignment horizontal="center" wrapText="1"/>
    </xf>
    <xf numFmtId="0" fontId="22" fillId="0" borderId="21" xfId="0" applyFont="1" applyFill="1" applyBorder="1"/>
    <xf numFmtId="0" fontId="22" fillId="0" borderId="0" xfId="0" applyFont="1" applyFill="1" applyBorder="1"/>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8" xfId="0" applyFont="1" applyFill="1" applyBorder="1" applyAlignment="1">
      <alignment horizontal="center" vertical="center" wrapText="1"/>
    </xf>
    <xf numFmtId="0" fontId="5" fillId="0" borderId="46" xfId="0" applyFont="1" applyBorder="1" applyAlignment="1">
      <alignment horizontal="center" vertical="center" wrapText="1"/>
    </xf>
    <xf numFmtId="0" fontId="6"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45" xfId="0" applyFont="1" applyBorder="1" applyAlignment="1">
      <alignment horizontal="center" vertical="center" wrapText="1"/>
    </xf>
    <xf numFmtId="165" fontId="7" fillId="0" borderId="0" xfId="1" quotePrefix="1" applyNumberFormat="1" applyFont="1" applyFill="1" applyBorder="1" applyAlignment="1">
      <alignment horizontal="center"/>
    </xf>
    <xf numFmtId="165" fontId="7" fillId="8" borderId="0" xfId="1" quotePrefix="1" applyNumberFormat="1" applyFont="1" applyFill="1" applyBorder="1" applyAlignment="1">
      <alignment horizontal="center"/>
    </xf>
    <xf numFmtId="165" fontId="7" fillId="0" borderId="6" xfId="1" quotePrefix="1" applyNumberFormat="1" applyFont="1" applyFill="1" applyBorder="1" applyAlignment="1">
      <alignment horizontal="center"/>
    </xf>
    <xf numFmtId="4" fontId="0" fillId="6" borderId="56" xfId="0" applyNumberFormat="1" applyFill="1" applyBorder="1"/>
    <xf numFmtId="4" fontId="0" fillId="6" borderId="57" xfId="0" applyNumberFormat="1" applyFill="1" applyBorder="1"/>
    <xf numFmtId="4" fontId="0" fillId="5" borderId="16" xfId="0" applyNumberFormat="1" applyFill="1" applyBorder="1"/>
    <xf numFmtId="0" fontId="1" fillId="0" borderId="0" xfId="0" applyFont="1" applyFill="1" applyBorder="1" applyAlignment="1">
      <alignment horizontal="center" vertical="center" wrapText="1"/>
    </xf>
    <xf numFmtId="0" fontId="1" fillId="0" borderId="0" xfId="0" applyFont="1" applyFill="1"/>
    <xf numFmtId="0" fontId="5" fillId="0" borderId="21" xfId="0" applyFont="1" applyBorder="1" applyAlignment="1">
      <alignment horizontal="center" wrapText="1"/>
    </xf>
    <xf numFmtId="0" fontId="5" fillId="0" borderId="6" xfId="0" applyFont="1" applyBorder="1" applyAlignment="1">
      <alignment horizontal="center" wrapText="1"/>
    </xf>
    <xf numFmtId="0" fontId="5" fillId="0" borderId="22" xfId="0" applyFont="1" applyFill="1" applyBorder="1" applyAlignment="1">
      <alignment horizontal="center" wrapText="1"/>
    </xf>
    <xf numFmtId="0" fontId="5" fillId="0" borderId="32" xfId="0" applyFont="1" applyFill="1" applyBorder="1" applyAlignment="1">
      <alignment horizontal="center" wrapText="1"/>
    </xf>
    <xf numFmtId="0" fontId="5" fillId="0" borderId="19" xfId="0" applyFont="1" applyBorder="1" applyAlignment="1">
      <alignment horizontal="center"/>
    </xf>
    <xf numFmtId="0" fontId="5" fillId="0" borderId="33" xfId="0" applyFont="1" applyBorder="1" applyAlignment="1">
      <alignment horizontal="center"/>
    </xf>
    <xf numFmtId="164" fontId="16" fillId="0" borderId="0" xfId="2" quotePrefix="1" applyNumberFormat="1" applyFont="1" applyFill="1" applyBorder="1" applyAlignment="1">
      <alignment horizontal="center" vertical="center"/>
    </xf>
    <xf numFmtId="164" fontId="14" fillId="0" borderId="0" xfId="2" quotePrefix="1" applyNumberFormat="1" applyFont="1" applyFill="1" applyBorder="1" applyAlignment="1">
      <alignment horizontal="center" vertical="center"/>
    </xf>
    <xf numFmtId="164" fontId="4" fillId="0" borderId="50" xfId="2" quotePrefix="1" applyNumberFormat="1" applyFont="1" applyFill="1" applyBorder="1" applyAlignment="1">
      <alignment horizontal="center" vertical="center"/>
    </xf>
    <xf numFmtId="164" fontId="4" fillId="0" borderId="51" xfId="2" quotePrefix="1" applyNumberFormat="1" applyFont="1" applyFill="1" applyBorder="1" applyAlignment="1">
      <alignment horizontal="center" vertical="center"/>
    </xf>
    <xf numFmtId="9" fontId="4" fillId="0" borderId="51" xfId="2" applyFont="1" applyFill="1" applyBorder="1" applyAlignment="1">
      <alignment horizontal="center" vertical="center"/>
    </xf>
    <xf numFmtId="9" fontId="4" fillId="0" borderId="52" xfId="2" applyFont="1" applyFill="1" applyBorder="1" applyAlignment="1">
      <alignment horizontal="center" vertical="center"/>
    </xf>
    <xf numFmtId="0" fontId="5" fillId="0" borderId="22"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19" xfId="0" applyFont="1" applyBorder="1" applyAlignment="1">
      <alignment horizontal="center" vertical="center"/>
    </xf>
    <xf numFmtId="9" fontId="14" fillId="0" borderId="0" xfId="2" applyFont="1" applyFill="1" applyBorder="1" applyAlignment="1">
      <alignment horizontal="center" vertical="center"/>
    </xf>
    <xf numFmtId="0" fontId="9" fillId="0" borderId="0" xfId="0" applyFont="1" applyFill="1" applyBorder="1" applyAlignment="1">
      <alignment horizontal="left" wrapText="1"/>
    </xf>
    <xf numFmtId="0" fontId="9" fillId="0" borderId="0" xfId="0" applyFont="1" applyFill="1" applyBorder="1" applyAlignment="1">
      <alignment horizontal="left" vertical="top" wrapText="1"/>
    </xf>
    <xf numFmtId="0" fontId="0" fillId="0" borderId="0" xfId="0" applyBorder="1" applyAlignment="1">
      <alignment vertical="top" wrapText="1"/>
    </xf>
    <xf numFmtId="0" fontId="10" fillId="0" borderId="0" xfId="0" applyFont="1" applyFill="1" applyBorder="1" applyAlignment="1">
      <alignment horizontal="left" vertical="top" wrapText="1"/>
    </xf>
    <xf numFmtId="0" fontId="6" fillId="0" borderId="0" xfId="0" applyFont="1" applyFill="1" applyBorder="1" applyAlignment="1">
      <alignment horizontal="center" wrapText="1"/>
    </xf>
    <xf numFmtId="0" fontId="5" fillId="0" borderId="47" xfId="0" applyFont="1" applyBorder="1" applyAlignment="1">
      <alignment horizontal="center" vertical="center"/>
    </xf>
    <xf numFmtId="0" fontId="5" fillId="0" borderId="48" xfId="0" applyFont="1" applyBorder="1" applyAlignment="1">
      <alignment horizontal="center" vertical="center"/>
    </xf>
    <xf numFmtId="0" fontId="5" fillId="0" borderId="49" xfId="0" applyFont="1" applyBorder="1" applyAlignment="1">
      <alignment horizontal="center" vertical="center"/>
    </xf>
    <xf numFmtId="0" fontId="5" fillId="0" borderId="1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1" xfId="0" applyFont="1" applyBorder="1" applyAlignment="1">
      <alignment horizontal="center" vertical="center"/>
    </xf>
    <xf numFmtId="0" fontId="5" fillId="0" borderId="6" xfId="0" applyFont="1" applyBorder="1" applyAlignment="1">
      <alignment horizontal="center" vertical="center"/>
    </xf>
    <xf numFmtId="0" fontId="5" fillId="0" borderId="11" xfId="0" applyFont="1" applyBorder="1" applyAlignment="1">
      <alignment horizontal="center" vertical="center"/>
    </xf>
    <xf numFmtId="0" fontId="5" fillId="0" borderId="18" xfId="0" applyFont="1" applyBorder="1" applyAlignment="1">
      <alignment horizontal="center" vertical="center"/>
    </xf>
    <xf numFmtId="0" fontId="12" fillId="6" borderId="30" xfId="0" applyFont="1" applyFill="1" applyBorder="1" applyAlignment="1">
      <alignment horizontal="center"/>
    </xf>
    <xf numFmtId="0" fontId="12" fillId="6" borderId="31" xfId="0" applyFont="1" applyFill="1" applyBorder="1" applyAlignment="1">
      <alignment horizontal="center"/>
    </xf>
    <xf numFmtId="0" fontId="12" fillId="6" borderId="40" xfId="0" applyFont="1" applyFill="1" applyBorder="1" applyAlignment="1">
      <alignment horizontal="center"/>
    </xf>
    <xf numFmtId="0" fontId="0" fillId="0" borderId="0" xfId="0" applyAlignment="1">
      <alignment horizontal="center"/>
    </xf>
    <xf numFmtId="0" fontId="6" fillId="3" borderId="31" xfId="0" applyFont="1" applyFill="1" applyBorder="1" applyAlignment="1">
      <alignment horizontal="center"/>
    </xf>
    <xf numFmtId="0" fontId="0" fillId="5" borderId="28" xfId="0" applyFill="1" applyBorder="1" applyAlignment="1">
      <alignment horizontal="center"/>
    </xf>
    <xf numFmtId="0" fontId="0" fillId="5" borderId="37" xfId="0" applyFill="1" applyBorder="1" applyAlignment="1">
      <alignment horizontal="center"/>
    </xf>
    <xf numFmtId="0" fontId="0" fillId="5" borderId="39" xfId="0" applyFill="1" applyBorder="1" applyAlignment="1">
      <alignment horizontal="center"/>
    </xf>
    <xf numFmtId="0" fontId="0" fillId="7" borderId="28" xfId="0" applyFill="1" applyBorder="1" applyAlignment="1">
      <alignment horizontal="center"/>
    </xf>
    <xf numFmtId="0" fontId="0" fillId="7" borderId="39" xfId="0" applyFill="1" applyBorder="1" applyAlignment="1">
      <alignment horizontal="center"/>
    </xf>
    <xf numFmtId="0" fontId="12" fillId="0" borderId="31" xfId="0" applyFont="1" applyBorder="1" applyAlignment="1">
      <alignment horizontal="center"/>
    </xf>
    <xf numFmtId="0" fontId="13" fillId="0" borderId="0" xfId="0" applyFont="1" applyAlignment="1">
      <alignment horizontal="center"/>
    </xf>
    <xf numFmtId="0" fontId="12" fillId="6" borderId="34" xfId="0" applyFont="1" applyFill="1" applyBorder="1" applyAlignment="1">
      <alignment horizontal="center"/>
    </xf>
    <xf numFmtId="0" fontId="0" fillId="6" borderId="35" xfId="0" applyFill="1" applyBorder="1" applyAlignment="1">
      <alignment horizontal="center"/>
    </xf>
    <xf numFmtId="0" fontId="0" fillId="6" borderId="28" xfId="0" applyFill="1" applyBorder="1" applyAlignment="1">
      <alignment horizontal="center"/>
    </xf>
    <xf numFmtId="0" fontId="0" fillId="6" borderId="37" xfId="0" applyFill="1" applyBorder="1" applyAlignment="1">
      <alignment horizontal="center"/>
    </xf>
    <xf numFmtId="0" fontId="0" fillId="6" borderId="39" xfId="0" applyFill="1" applyBorder="1" applyAlignment="1">
      <alignment horizontal="center"/>
    </xf>
    <xf numFmtId="0" fontId="12" fillId="4" borderId="9" xfId="0" applyFont="1" applyFill="1" applyBorder="1" applyAlignment="1">
      <alignment horizontal="center" vertical="center"/>
    </xf>
    <xf numFmtId="0" fontId="12" fillId="4" borderId="0" xfId="0" applyFont="1" applyFill="1" applyBorder="1" applyAlignment="1">
      <alignment horizontal="center" vertical="center"/>
    </xf>
    <xf numFmtId="0" fontId="12" fillId="4" borderId="15" xfId="0" applyFont="1" applyFill="1" applyBorder="1" applyAlignment="1">
      <alignment horizontal="center" vertical="center"/>
    </xf>
    <xf numFmtId="0" fontId="12" fillId="4" borderId="34" xfId="0" applyFont="1" applyFill="1" applyBorder="1" applyAlignment="1">
      <alignment horizontal="center" vertical="center"/>
    </xf>
    <xf numFmtId="0" fontId="12" fillId="4" borderId="31" xfId="0" applyFont="1" applyFill="1" applyBorder="1" applyAlignment="1">
      <alignment horizontal="center" vertical="center"/>
    </xf>
    <xf numFmtId="0" fontId="12" fillId="4" borderId="36" xfId="0" applyFont="1" applyFill="1" applyBorder="1" applyAlignment="1">
      <alignment horizontal="center" vertical="center"/>
    </xf>
    <xf numFmtId="0" fontId="12" fillId="5" borderId="31" xfId="0" applyFont="1" applyFill="1" applyBorder="1" applyAlignment="1">
      <alignment horizontal="center"/>
    </xf>
  </cellXfs>
  <cellStyles count="6">
    <cellStyle name="Comma" xfId="1" builtinId="3"/>
    <cellStyle name="Normal" xfId="0" builtinId="0"/>
    <cellStyle name="Normal 2" xfId="3"/>
    <cellStyle name="Normal 3" xfId="5"/>
    <cellStyle name="Percent" xfId="2" builtinId="5"/>
    <cellStyle name="Percent 2" xfId="4"/>
  </cellStyles>
  <dxfs count="20">
    <dxf>
      <fill>
        <patternFill>
          <bgColor theme="5"/>
        </patternFill>
      </fill>
    </dxf>
    <dxf>
      <fill>
        <patternFill>
          <bgColor theme="5" tint="0.59996337778862885"/>
        </patternFill>
      </fill>
    </dxf>
    <dxf>
      <fill>
        <patternFill>
          <bgColor theme="5" tint="0.59996337778862885"/>
        </patternFill>
      </fill>
    </dxf>
    <dxf>
      <fill>
        <patternFill>
          <bgColor theme="6"/>
        </patternFill>
      </fill>
    </dxf>
    <dxf>
      <fill>
        <patternFill>
          <bgColor rgb="FFFFFF00"/>
        </patternFill>
      </fill>
    </dxf>
    <dxf>
      <fill>
        <patternFill>
          <bgColor rgb="FFFFFF00"/>
        </patternFill>
      </fill>
    </dxf>
    <dxf>
      <fill>
        <patternFill>
          <bgColor rgb="FFFFFF00"/>
        </patternFill>
      </fill>
    </dxf>
    <dxf>
      <fill>
        <patternFill>
          <bgColor theme="5" tint="0.39994506668294322"/>
        </patternFill>
      </fill>
    </dxf>
    <dxf>
      <fill>
        <patternFill patternType="none">
          <bgColor auto="1"/>
        </patternFill>
      </fill>
    </dxf>
    <dxf>
      <fill>
        <patternFill>
          <bgColor theme="6"/>
        </patternFill>
      </fill>
    </dxf>
    <dxf>
      <fill>
        <patternFill>
          <bgColor rgb="FFFFFF00"/>
        </patternFill>
      </fill>
    </dxf>
    <dxf>
      <fill>
        <patternFill>
          <bgColor theme="5" tint="0.59996337778862885"/>
        </patternFill>
      </fill>
    </dxf>
    <dxf>
      <fill>
        <patternFill>
          <bgColor theme="5" tint="0.59996337778862885"/>
        </patternFill>
      </fill>
    </dxf>
    <dxf>
      <fill>
        <patternFill>
          <bgColor theme="5" tint="0.39994506668294322"/>
        </patternFill>
      </fill>
    </dxf>
    <dxf>
      <fill>
        <patternFill>
          <bgColor theme="6" tint="0.39994506668294322"/>
        </patternFill>
      </fill>
    </dxf>
    <dxf>
      <fill>
        <patternFill>
          <bgColor theme="5" tint="0.39994506668294322"/>
        </patternFill>
      </fill>
    </dxf>
    <dxf>
      <fill>
        <patternFill patternType="none">
          <bgColor auto="1"/>
        </patternFill>
      </fill>
    </dxf>
    <dxf>
      <fill>
        <patternFill>
          <bgColor theme="6"/>
        </patternFill>
      </fill>
    </dxf>
    <dxf>
      <fill>
        <patternFill>
          <bgColor theme="5" tint="0.39994506668294322"/>
        </patternFill>
      </fill>
    </dxf>
    <dxf>
      <fill>
        <patternFill>
          <bgColor theme="6" tint="0.3999450666829432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Spin" dx="16" fmlaLink="$U$2" max="100" page="10" val="25"/>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1</xdr:rowOff>
    </xdr:from>
    <xdr:to>
      <xdr:col>8</xdr:col>
      <xdr:colOff>542925</xdr:colOff>
      <xdr:row>7</xdr:row>
      <xdr:rowOff>47626</xdr:rowOff>
    </xdr:to>
    <xdr:sp macro="" textlink="">
      <xdr:nvSpPr>
        <xdr:cNvPr id="2" name="Text Box 1"/>
        <xdr:cNvSpPr txBox="1">
          <a:spLocks noChangeArrowheads="1"/>
        </xdr:cNvSpPr>
      </xdr:nvSpPr>
      <xdr:spPr bwMode="auto">
        <a:xfrm>
          <a:off x="19050" y="1"/>
          <a:ext cx="5400675" cy="1181100"/>
        </a:xfrm>
        <a:prstGeom prst="rect">
          <a:avLst/>
        </a:prstGeom>
        <a:solidFill>
          <a:srgbClr val="FFFFFF"/>
        </a:solidFill>
        <a:ln w="9525">
          <a:solidFill>
            <a:srgbClr val="000000"/>
          </a:solidFill>
          <a:miter lim="800000"/>
          <a:headEnd/>
          <a:tailEnd/>
        </a:ln>
        <a:effectLst/>
      </xdr:spPr>
      <xdr:txBody>
        <a:bodyPr vertOverflow="clip" wrap="square" lIns="36576" tIns="27432" rIns="36576" bIns="0" anchor="t" upright="1"/>
        <a:lstStyle/>
        <a:p>
          <a:pPr algn="ctr" rtl="0">
            <a:defRPr sz="1000"/>
          </a:pPr>
          <a:r>
            <a:rPr lang="en-US" sz="1200" b="1" i="0" u="none" strike="noStrike" baseline="0">
              <a:solidFill>
                <a:srgbClr val="000000"/>
              </a:solidFill>
              <a:latin typeface="Arial"/>
              <a:cs typeface="Arial"/>
            </a:rPr>
            <a:t> </a:t>
          </a:r>
        </a:p>
        <a:p>
          <a:pPr algn="ctr" rtl="0">
            <a:defRPr sz="1000"/>
          </a:pPr>
          <a:r>
            <a:rPr lang="en-US" sz="1200" b="1" i="0" u="none" strike="noStrike" baseline="0">
              <a:solidFill>
                <a:srgbClr val="000000"/>
              </a:solidFill>
              <a:latin typeface="Arial"/>
              <a:cs typeface="Arial"/>
            </a:rPr>
            <a:t>NJGWS DGS14-1 </a:t>
          </a:r>
        </a:p>
        <a:p>
          <a:pPr algn="ctr" rtl="0">
            <a:defRPr sz="1000"/>
          </a:pPr>
          <a:r>
            <a:rPr lang="en-US" sz="1200" b="1" i="0" u="none" strike="noStrike" baseline="0">
              <a:solidFill>
                <a:srgbClr val="000000"/>
              </a:solidFill>
              <a:latin typeface="Arial"/>
              <a:cs typeface="Arial"/>
            </a:rPr>
            <a:t>Computer Workbook Investigating Water</a:t>
          </a:r>
        </a:p>
        <a:p>
          <a:pPr algn="ctr" rtl="0">
            <a:defRPr sz="1000"/>
          </a:pPr>
          <a:r>
            <a:rPr lang="en-US" sz="1200" b="1" i="0" u="none" strike="noStrike" baseline="0">
              <a:solidFill>
                <a:srgbClr val="000000"/>
              </a:solidFill>
              <a:latin typeface="Arial"/>
              <a:cs typeface="Arial"/>
            </a:rPr>
            <a:t> Availability in New Jersey on a Watershed Management Area Basis</a:t>
          </a:r>
        </a:p>
        <a:p>
          <a:pPr algn="ctr" rtl="0">
            <a:defRPr sz="1000"/>
          </a:pPr>
          <a:endParaRPr lang="en-US" sz="1200" b="1" i="0" u="none" strike="noStrike" baseline="0">
            <a:solidFill>
              <a:srgbClr val="000000"/>
            </a:solidFill>
            <a:latin typeface="Arial"/>
            <a:cs typeface="Arial"/>
          </a:endParaRPr>
        </a:p>
        <a:p>
          <a:pPr algn="ctr" rtl="0">
            <a:defRPr sz="1000"/>
          </a:pPr>
          <a:r>
            <a:rPr lang="en-US" sz="1200" b="1" i="0" u="none" strike="noStrike" baseline="0">
              <a:solidFill>
                <a:srgbClr val="000000"/>
              </a:solidFill>
              <a:latin typeface="Arial"/>
              <a:cs typeface="Arial"/>
            </a:rPr>
            <a:t>Users Guide </a:t>
          </a:r>
        </a:p>
      </xdr:txBody>
    </xdr:sp>
    <xdr:clientData/>
  </xdr:twoCellAnchor>
  <xdr:oneCellAnchor>
    <xdr:from>
      <xdr:col>0</xdr:col>
      <xdr:colOff>9526</xdr:colOff>
      <xdr:row>9</xdr:row>
      <xdr:rowOff>57151</xdr:rowOff>
    </xdr:from>
    <xdr:ext cx="5372099" cy="77409674"/>
    <xdr:sp macro="" textlink="">
      <xdr:nvSpPr>
        <xdr:cNvPr id="3" name="TextBox 2"/>
        <xdr:cNvSpPr txBox="1"/>
      </xdr:nvSpPr>
      <xdr:spPr>
        <a:xfrm>
          <a:off x="9526" y="1514476"/>
          <a:ext cx="5372099" cy="77409674"/>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a:solidFill>
                <a:schemeClr val="tx1"/>
              </a:solidFill>
              <a:effectLst/>
              <a:latin typeface="+mn-lt"/>
              <a:ea typeface="+mn-ea"/>
              <a:cs typeface="+mn-cs"/>
            </a:rPr>
            <a:t>1. IDENTIFICATION INFORMATION  </a:t>
          </a:r>
        </a:p>
        <a:p>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1.1.  CITATION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Snook, I.P., Domber, S.D., and Hoffman, J.L., 2014, Computer workbook investigating  unconfined groundwater and stream baseflow water availability in New Jersey on a HUC 11  basis: New Jersey Geological and Water Survey Digital Geological Data Series DGS 14-1, Trenton, NJ.</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1.2.  DESCRIPTION </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1.2.1.  ABSTRACT </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This product is a Microsoft Excel 2010™ workbook which estimates potential water availability for HUC11s in a user-selected watershed management area (WMA) in New Jersey. This approach depends on the user-specified percentage of the low flow margin (LFM) that is available for depletive and consumptive loss from the unconfined aquifer and stream baseflow sources in the WMA.</a:t>
          </a:r>
          <a:r>
            <a:rPr lang="en-US" sz="1100" baseline="0">
              <a:solidFill>
                <a:schemeClr val="tx1"/>
              </a:solidFill>
              <a:effectLst/>
              <a:latin typeface="+mn-lt"/>
              <a:ea typeface="+mn-ea"/>
              <a:cs typeface="+mn-cs"/>
            </a:rPr>
            <a:t> This analysis </a:t>
          </a:r>
          <a:r>
            <a:rPr lang="en-US" sz="1100">
              <a:solidFill>
                <a:schemeClr val="tx1"/>
              </a:solidFill>
              <a:effectLst/>
              <a:latin typeface="+mn-lt"/>
              <a:ea typeface="+mn-ea"/>
              <a:cs typeface="+mn-cs"/>
            </a:rPr>
            <a:t>does not quantify any confined-aquifer or safe-yield-based availability that may be present in the WMA. </a:t>
          </a:r>
        </a:p>
        <a:p>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1.2.2. Procedure</a:t>
          </a:r>
        </a:p>
        <a:p>
          <a:r>
            <a:rPr lang="en-US" sz="1100">
              <a:solidFill>
                <a:schemeClr val="tx1"/>
              </a:solidFill>
              <a:effectLst/>
              <a:latin typeface="+mn-lt"/>
              <a:ea typeface="+mn-ea"/>
              <a:cs typeface="+mn-cs"/>
            </a:rPr>
            <a:t>New Jersey consists of 20 WMAs (Cohen, 1997).  Each WMA consists of several 11-digit hydrologic units, commonly</a:t>
          </a:r>
          <a:r>
            <a:rPr lang="en-US" sz="1100" baseline="0">
              <a:solidFill>
                <a:schemeClr val="tx1"/>
              </a:solidFill>
              <a:effectLst/>
              <a:latin typeface="+mn-lt"/>
              <a:ea typeface="+mn-ea"/>
              <a:cs typeface="+mn-cs"/>
            </a:rPr>
            <a:t> called </a:t>
          </a:r>
          <a:r>
            <a:rPr lang="en-US" sz="1100">
              <a:solidFill>
                <a:schemeClr val="tx1"/>
              </a:solidFill>
              <a:effectLst/>
              <a:latin typeface="+mn-lt"/>
              <a:ea typeface="+mn-ea"/>
              <a:cs typeface="+mn-cs"/>
            </a:rPr>
            <a:t> HUC11s. HUC11s are drainage areas that are grouped together in a logical fashion and were defined by the U.S. Geological Survey (Ellis and Price, 1995).</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Unconfined aquifer and stream baseflow water availability in a HUC11 has several</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 components: estimates</a:t>
          </a:r>
          <a:r>
            <a:rPr lang="en-US" sz="1100" baseline="0">
              <a:solidFill>
                <a:schemeClr val="tx1"/>
              </a:solidFill>
              <a:effectLst/>
              <a:latin typeface="+mn-lt"/>
              <a:ea typeface="+mn-ea"/>
              <a:cs typeface="+mn-cs"/>
            </a:rPr>
            <a:t> of streamflow, how much water </a:t>
          </a:r>
          <a:r>
            <a:rPr lang="en-US" sz="1100">
              <a:solidFill>
                <a:schemeClr val="tx1"/>
              </a:solidFill>
              <a:effectLst/>
              <a:latin typeface="+mn-lt"/>
              <a:ea typeface="+mn-ea"/>
              <a:cs typeface="+mn-cs"/>
            </a:rPr>
            <a:t>is used depletively and consumptively, and the volume that remains and is available. Depletive uses are those where the water is returned after use to a different basin where it is available for use again. Consumptive uses are those where the water is lost to evapo-transpiration and no longer available for use. Total water use can be greater than depletive and consumptive use depending on where and how water is withdrawn, transferred, used, and returned.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The net amount of water currently used is calculated from the amount of water lost from each HUC11 by consumptive and depletive use. This procedure is detailed in Domber and others (2013).  The underlying data are reported in New</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Jersey Geological Survey (2010). A HUC11 summary of depletive and consumptive loss is in Snook and others (2013).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This workbook shows</a:t>
          </a:r>
          <a:r>
            <a:rPr lang="en-US" sz="1100" baseline="0">
              <a:solidFill>
                <a:schemeClr val="tx1"/>
              </a:solidFill>
              <a:effectLst/>
              <a:latin typeface="+mn-lt"/>
              <a:ea typeface="+mn-ea"/>
              <a:cs typeface="+mn-cs"/>
            </a:rPr>
            <a:t> estimated </a:t>
          </a:r>
          <a:r>
            <a:rPr lang="en-US" sz="1100">
              <a:solidFill>
                <a:schemeClr val="tx1"/>
              </a:solidFill>
              <a:effectLst/>
              <a:latin typeface="+mn-lt"/>
              <a:ea typeface="+mn-ea"/>
              <a:cs typeface="+mn-cs"/>
            </a:rPr>
            <a:t>depletive and consumptive water loss in the most stressful year for each HUC11 for the period 2000-2009. The workbook also shows depletive and consumptive water loss associated with full allocation withdrawals. This is the amount of water that each purveyor may withdraw under their current water allocation permit issued by the New Jersey Department of Environmental Protection.</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The amount of water available is based on the LFM</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approach. This assumes that the amount of water that the combined surface water-unconfined aquifer system can lose to depletive and consumptive water use without experiencing unacceptable ecological impacts is a percentage of the difference between the annual </a:t>
          </a:r>
          <a:r>
            <a:rPr lang="en-US" sz="1100" baseline="0">
              <a:solidFill>
                <a:schemeClr val="tx1"/>
              </a:solidFill>
              <a:effectLst/>
              <a:latin typeface="+mn-lt"/>
              <a:ea typeface="+mn-ea"/>
              <a:cs typeface="+mn-cs"/>
            </a:rPr>
            <a:t>7-day stream low flow that has a 10% chance of occurring each year (7Q10) </a:t>
          </a:r>
          <a:r>
            <a:rPr lang="en-US" sz="1100">
              <a:solidFill>
                <a:schemeClr val="tx1"/>
              </a:solidFill>
              <a:effectLst/>
              <a:latin typeface="+mn-lt"/>
              <a:ea typeface="+mn-ea"/>
              <a:cs typeface="+mn-cs"/>
            </a:rPr>
            <a:t>and the September median stream flow at the HUC11 outlet. This approach is fully explained by Domber and others (2013). The low flow margin approach is an outgrowth of work by Hoffman and Rancan (2009) on the</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hydroecological integrity assessment process.</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The workbook highlights HUC11s in which existing depletive and consumptive losses are already greater than the user-selected percentage of low flow margin.  These are termed 'stressed' HUC11s and are a function of total loss, the streamflow statistics, and the user-selected percentage.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This workbook allows the user to change the percentage of the low flow margin lost to depletive and consumptive water losses. As the percentage of low flow margin available for loss decreases more HUC11s are shown to be stressed.</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It is important to recognize that simply because the analysis </a:t>
          </a:r>
          <a:r>
            <a:rPr lang="en-US" sz="1100" baseline="0">
              <a:solidFill>
                <a:schemeClr val="tx1"/>
              </a:solidFill>
              <a:effectLst/>
              <a:latin typeface="+mn-lt"/>
              <a:ea typeface="+mn-ea"/>
              <a:cs typeface="+mn-cs"/>
            </a:rPr>
            <a:t>may</a:t>
          </a:r>
          <a:r>
            <a:rPr lang="en-US" sz="1100">
              <a:solidFill>
                <a:schemeClr val="tx1"/>
              </a:solidFill>
              <a:effectLst/>
              <a:latin typeface="+mn-lt"/>
              <a:ea typeface="+mn-ea"/>
              <a:cs typeface="+mn-cs"/>
            </a:rPr>
            <a:t> indicate that a HUC11 is ‘stressed’ this does not mean that water is not available in that HUC11. Confined aquifers, potable water supply infrastructure, waste water for beneficial reuse, or saline water for desalination may be present as alternatives. The specifics of water use in a HUC11 need to be evaluated on a case-by-case basis.</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The analysis of the withdrawal data and the depletive and consumptive analysis are based on a number of assumptions. These are fully explained in Domber and others (2013).</a:t>
          </a:r>
        </a:p>
        <a:p>
          <a:r>
            <a:rPr lang="en-US" sz="1100" i="1">
              <a:solidFill>
                <a:schemeClr val="tx1"/>
              </a:solidFill>
              <a:effectLst/>
              <a:latin typeface="+mn-lt"/>
              <a:ea typeface="+mn-ea"/>
              <a:cs typeface="+mn-cs"/>
            </a:rPr>
            <a:t> </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r>
            <a:rPr lang="en-US" sz="1100" b="1">
              <a:solidFill>
                <a:schemeClr val="tx1"/>
              </a:solidFill>
              <a:effectLst/>
              <a:latin typeface="+mn-lt"/>
              <a:ea typeface="+mn-ea"/>
              <a:cs typeface="+mn-cs"/>
            </a:rPr>
            <a:t>1.2.3.  LIST OF TABLES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Four tables Located on the 'WMA Summary' worksheet summarize the results. </a:t>
          </a:r>
        </a:p>
        <a:p>
          <a:r>
            <a:rPr lang="en-US" sz="1100" u="sng">
              <a:solidFill>
                <a:schemeClr val="tx1"/>
              </a:solidFill>
              <a:effectLst/>
              <a:latin typeface="+mn-lt"/>
              <a:ea typeface="+mn-ea"/>
              <a:cs typeface="+mn-cs"/>
            </a:rPr>
            <a:t>Table 1.</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HUC11 Area, Low Flow Margin, Potential Limiting Factors, and other Potential Sources of Water.</a:t>
          </a:r>
        </a:p>
        <a:p>
          <a:r>
            <a:rPr lang="en-US" sz="1100" u="sng">
              <a:solidFill>
                <a:schemeClr val="tx1"/>
              </a:solidFill>
              <a:effectLst/>
              <a:latin typeface="+mn-lt"/>
              <a:ea typeface="+mn-ea"/>
              <a:cs typeface="+mn-cs"/>
            </a:rPr>
            <a:t>Table 2.</a:t>
          </a:r>
          <a:r>
            <a:rPr lang="en-US" sz="1100">
              <a:solidFill>
                <a:schemeClr val="tx1"/>
              </a:solidFill>
              <a:effectLst/>
              <a:latin typeface="+mn-lt"/>
              <a:ea typeface="+mn-ea"/>
              <a:cs typeface="+mn-cs"/>
            </a:rPr>
            <a:t>  Remaining Water at Current Use (max during 2000-2009) and Full Allocation.</a:t>
          </a:r>
        </a:p>
        <a:p>
          <a:r>
            <a:rPr lang="en-US" sz="1100" u="sng">
              <a:solidFill>
                <a:schemeClr val="tx1"/>
              </a:solidFill>
              <a:effectLst/>
              <a:latin typeface="+mn-lt"/>
              <a:ea typeface="+mn-ea"/>
              <a:cs typeface="+mn-cs"/>
            </a:rPr>
            <a:t>Table 3.</a:t>
          </a:r>
          <a:r>
            <a:rPr lang="en-US" sz="1100">
              <a:solidFill>
                <a:schemeClr val="tx1"/>
              </a:solidFill>
              <a:effectLst/>
              <a:latin typeface="+mn-lt"/>
              <a:ea typeface="+mn-ea"/>
              <a:cs typeface="+mn-cs"/>
            </a:rPr>
            <a:t> Summary of HUC11 Withdrawals in millions of gallons per day (mgd).</a:t>
          </a:r>
        </a:p>
        <a:p>
          <a:r>
            <a:rPr lang="en-US" sz="1100" u="sng">
              <a:solidFill>
                <a:schemeClr val="tx1"/>
              </a:solidFill>
              <a:effectLst/>
              <a:latin typeface="+mn-lt"/>
              <a:ea typeface="+mn-ea"/>
              <a:cs typeface="+mn-cs"/>
            </a:rPr>
            <a:t>Table 4.</a:t>
          </a:r>
          <a:r>
            <a:rPr lang="en-US" sz="1100">
              <a:solidFill>
                <a:schemeClr val="tx1"/>
              </a:solidFill>
              <a:effectLst/>
              <a:latin typeface="+mn-lt"/>
              <a:ea typeface="+mn-ea"/>
              <a:cs typeface="+mn-cs"/>
            </a:rPr>
            <a:t> Summary of HUC11 Discharges and Returns in millions of gallons per day (mgd).</a:t>
          </a:r>
        </a:p>
        <a:p>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1.2.4. List of Worksheets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There are 6 worksheets in this file. They are:</a:t>
          </a:r>
        </a:p>
        <a:p>
          <a:r>
            <a:rPr lang="en-US" sz="1100" u="sng">
              <a:solidFill>
                <a:schemeClr val="tx1"/>
              </a:solidFill>
              <a:effectLst/>
              <a:latin typeface="+mn-lt"/>
              <a:ea typeface="+mn-ea"/>
              <a:cs typeface="+mn-cs"/>
            </a:rPr>
            <a:t>Users Guide</a:t>
          </a:r>
          <a:r>
            <a:rPr lang="en-US" sz="1100">
              <a:solidFill>
                <a:schemeClr val="tx1"/>
              </a:solidFill>
              <a:effectLst/>
              <a:latin typeface="+mn-lt"/>
              <a:ea typeface="+mn-ea"/>
              <a:cs typeface="+mn-cs"/>
            </a:rPr>
            <a:t> - This tab. A description of this product for the user.</a:t>
          </a:r>
        </a:p>
        <a:p>
          <a:r>
            <a:rPr lang="en-US" sz="1100" u="sng">
              <a:solidFill>
                <a:schemeClr val="tx1"/>
              </a:solidFill>
              <a:effectLst/>
              <a:latin typeface="+mn-lt"/>
              <a:ea typeface="+mn-ea"/>
              <a:cs typeface="+mn-cs"/>
            </a:rPr>
            <a:t>WMA Summary</a:t>
          </a:r>
          <a:r>
            <a:rPr lang="en-US" sz="1100">
              <a:solidFill>
                <a:schemeClr val="tx1"/>
              </a:solidFill>
              <a:effectLst/>
              <a:latin typeface="+mn-lt"/>
              <a:ea typeface="+mn-ea"/>
              <a:cs typeface="+mn-cs"/>
            </a:rPr>
            <a:t> - The tables which present the results.</a:t>
          </a:r>
        </a:p>
        <a:p>
          <a:r>
            <a:rPr lang="en-US" sz="1100" u="sng">
              <a:solidFill>
                <a:schemeClr val="tx1"/>
              </a:solidFill>
              <a:effectLst/>
              <a:latin typeface="+mn-lt"/>
              <a:ea typeface="+mn-ea"/>
              <a:cs typeface="+mn-cs"/>
            </a:rPr>
            <a:t>HUC11 data</a:t>
          </a:r>
          <a:r>
            <a:rPr lang="en-US" sz="1100">
              <a:solidFill>
                <a:schemeClr val="tx1"/>
              </a:solidFill>
              <a:effectLst/>
              <a:latin typeface="+mn-lt"/>
              <a:ea typeface="+mn-ea"/>
              <a:cs typeface="+mn-cs"/>
            </a:rPr>
            <a:t> - A lookup table which contains physical information for each HUC11.</a:t>
          </a:r>
        </a:p>
        <a:p>
          <a:r>
            <a:rPr lang="en-US" sz="1100" u="sng">
              <a:solidFill>
                <a:schemeClr val="tx1"/>
              </a:solidFill>
              <a:effectLst/>
              <a:latin typeface="+mn-lt"/>
              <a:ea typeface="+mn-ea"/>
              <a:cs typeface="+mn-cs"/>
            </a:rPr>
            <a:t>LookUp</a:t>
          </a:r>
          <a:r>
            <a:rPr lang="en-US" sz="1100">
              <a:solidFill>
                <a:schemeClr val="tx1"/>
              </a:solidFill>
              <a:effectLst/>
              <a:latin typeface="+mn-lt"/>
              <a:ea typeface="+mn-ea"/>
              <a:cs typeface="+mn-cs"/>
            </a:rPr>
            <a:t> -  A lookup table to assist in retrieving data from the other tabs.</a:t>
          </a:r>
        </a:p>
        <a:p>
          <a:r>
            <a:rPr lang="en-US" sz="1100" u="sng">
              <a:solidFill>
                <a:schemeClr val="tx1"/>
              </a:solidFill>
              <a:effectLst/>
              <a:latin typeface="+mn-lt"/>
              <a:ea typeface="+mn-ea"/>
              <a:cs typeface="+mn-cs"/>
            </a:rPr>
            <a:t>Current Withdrawals</a:t>
          </a:r>
          <a:r>
            <a:rPr lang="en-US" sz="1100">
              <a:solidFill>
                <a:schemeClr val="tx1"/>
              </a:solidFill>
              <a:effectLst/>
              <a:latin typeface="+mn-lt"/>
              <a:ea typeface="+mn-ea"/>
              <a:cs typeface="+mn-cs"/>
            </a:rPr>
            <a:t> - Information on withdrawals and discharges in the peak year.</a:t>
          </a:r>
        </a:p>
        <a:p>
          <a:r>
            <a:rPr lang="en-US" sz="1100" u="sng">
              <a:solidFill>
                <a:schemeClr val="tx1"/>
              </a:solidFill>
              <a:effectLst/>
              <a:latin typeface="+mn-lt"/>
              <a:ea typeface="+mn-ea"/>
              <a:cs typeface="+mn-cs"/>
            </a:rPr>
            <a:t>Full Allocation</a:t>
          </a:r>
          <a:r>
            <a:rPr lang="en-US" sz="1100">
              <a:solidFill>
                <a:schemeClr val="tx1"/>
              </a:solidFill>
              <a:effectLst/>
              <a:latin typeface="+mn-lt"/>
              <a:ea typeface="+mn-ea"/>
              <a:cs typeface="+mn-cs"/>
            </a:rPr>
            <a:t> - Information on net impact at full allocation.</a:t>
          </a:r>
        </a:p>
        <a:p>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1.2.5.  LIST OF KEYWORDS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New Jersey water use, water use, New Jersey water withdrawals, water withdrawals, fresh water, discharges, wastewater, New Jersey, low flow margin, consumptive water use, non-consumptive water use, consumptive, non-consumptive, transfers, water transfers, hydrologic unit code,  HUC11,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1.3.  GEOGRAPHIC EXTENT</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State of New Jersey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1.4.  CONTACT INFORMATION </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Ian P. Snook, Environmental Specialist 3</a:t>
          </a:r>
        </a:p>
        <a:p>
          <a:r>
            <a:rPr lang="en-US" sz="1100">
              <a:solidFill>
                <a:schemeClr val="tx1"/>
              </a:solidFill>
              <a:effectLst/>
              <a:latin typeface="+mn-lt"/>
              <a:ea typeface="+mn-ea"/>
              <a:cs typeface="+mn-cs"/>
            </a:rPr>
            <a:t>Steven E. Domber, Environmental Specialist 4</a:t>
          </a:r>
        </a:p>
        <a:p>
          <a:r>
            <a:rPr lang="en-US" sz="1100">
              <a:solidFill>
                <a:schemeClr val="tx1"/>
              </a:solidFill>
              <a:effectLst/>
              <a:latin typeface="+mn-lt"/>
              <a:ea typeface="+mn-ea"/>
              <a:cs typeface="+mn-cs"/>
            </a:rPr>
            <a:t>Jeffrey L. Hoffman, Research Scientist I</a:t>
          </a:r>
        </a:p>
        <a:p>
          <a:r>
            <a:rPr lang="en-US" sz="1100">
              <a:solidFill>
                <a:schemeClr val="tx1"/>
              </a:solidFill>
              <a:effectLst/>
              <a:latin typeface="+mn-lt"/>
              <a:ea typeface="+mn-ea"/>
              <a:cs typeface="+mn-cs"/>
            </a:rPr>
            <a:t>New Jersey Geological &amp; Water Survey</a:t>
          </a:r>
        </a:p>
        <a:p>
          <a:r>
            <a:rPr lang="en-US" sz="1100">
              <a:solidFill>
                <a:schemeClr val="tx1"/>
              </a:solidFill>
              <a:effectLst/>
              <a:latin typeface="+mn-lt"/>
              <a:ea typeface="+mn-ea"/>
              <a:cs typeface="+mn-cs"/>
            </a:rPr>
            <a:t>Division of Water Supply &amp; Geoscience</a:t>
          </a:r>
        </a:p>
        <a:p>
          <a:r>
            <a:rPr lang="en-US" sz="1100">
              <a:solidFill>
                <a:schemeClr val="tx1"/>
              </a:solidFill>
              <a:effectLst/>
              <a:latin typeface="+mn-lt"/>
              <a:ea typeface="+mn-ea"/>
              <a:cs typeface="+mn-cs"/>
            </a:rPr>
            <a:t>New Jersey Department of Environmental Protection </a:t>
          </a:r>
        </a:p>
        <a:p>
          <a:r>
            <a:rPr lang="en-US" sz="1100">
              <a:solidFill>
                <a:schemeClr val="tx1"/>
              </a:solidFill>
              <a:effectLst/>
              <a:latin typeface="+mn-lt"/>
              <a:ea typeface="+mn-ea"/>
              <a:cs typeface="+mn-cs"/>
            </a:rPr>
            <a:t>PO Box 420, Mail Code 29-01</a:t>
          </a:r>
        </a:p>
        <a:p>
          <a:r>
            <a:rPr lang="en-US" sz="1100">
              <a:solidFill>
                <a:schemeClr val="tx1"/>
              </a:solidFill>
              <a:effectLst/>
              <a:latin typeface="+mn-lt"/>
              <a:ea typeface="+mn-ea"/>
              <a:cs typeface="+mn-cs"/>
            </a:rPr>
            <a:t>Trenton, NJ  08625 </a:t>
          </a:r>
        </a:p>
        <a:p>
          <a:r>
            <a:rPr lang="en-US" sz="1100">
              <a:solidFill>
                <a:schemeClr val="tx1"/>
              </a:solidFill>
              <a:effectLst/>
              <a:latin typeface="+mn-lt"/>
              <a:ea typeface="+mn-ea"/>
              <a:cs typeface="+mn-cs"/>
            </a:rPr>
            <a:t>phone: (609) 984-6587 </a:t>
          </a:r>
        </a:p>
        <a:p>
          <a:r>
            <a:rPr lang="en-US" sz="1100">
              <a:solidFill>
                <a:schemeClr val="tx1"/>
              </a:solidFill>
              <a:effectLst/>
              <a:latin typeface="+mn-lt"/>
              <a:ea typeface="+mn-ea"/>
              <a:cs typeface="+mn-cs"/>
            </a:rPr>
            <a:t>email:   Ian.Snook@dep.state.nj.us</a:t>
          </a:r>
        </a:p>
        <a:p>
          <a:r>
            <a:rPr lang="en-US" sz="1100">
              <a:solidFill>
                <a:schemeClr val="tx1"/>
              </a:solidFill>
              <a:effectLst/>
              <a:latin typeface="+mn-lt"/>
              <a:ea typeface="+mn-ea"/>
              <a:cs typeface="+mn-cs"/>
            </a:rPr>
            <a:t>              Steven.Domber@dep.state.nj.us</a:t>
          </a:r>
        </a:p>
        <a:p>
          <a:r>
            <a:rPr lang="en-US" sz="1100">
              <a:solidFill>
                <a:schemeClr val="tx1"/>
              </a:solidFill>
              <a:effectLst/>
              <a:latin typeface="+mn-lt"/>
              <a:ea typeface="+mn-ea"/>
              <a:cs typeface="+mn-cs"/>
            </a:rPr>
            <a:t>              Jeffrey.L.Hoffman@dep.state.nj.us         </a:t>
          </a:r>
        </a:p>
        <a:p>
          <a:r>
            <a:rPr lang="en-US" sz="1100">
              <a:solidFill>
                <a:schemeClr val="tx1"/>
              </a:solidFill>
              <a:effectLst/>
              <a:latin typeface="+mn-lt"/>
              <a:ea typeface="+mn-ea"/>
              <a:cs typeface="+mn-cs"/>
            </a:rPr>
            <a:t>          </a:t>
          </a:r>
        </a:p>
        <a:p>
          <a:r>
            <a:rPr lang="en-US" sz="1100" u="none">
              <a:solidFill>
                <a:schemeClr val="tx1"/>
              </a:solidFill>
              <a:effectLst/>
              <a:latin typeface="+mn-lt"/>
              <a:ea typeface="+mn-ea"/>
              <a:cs typeface="+mn-cs"/>
            </a:rPr>
            <a:t>www.njgeology.org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1.5.  PRINTING SUGGESTIONS</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This product is designed to be displayed on a computer screen.</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The user can copy and paste appropriate tables into a word processor for printing. Scaling the display to print onto a single sheet of paper may</a:t>
          </a:r>
          <a:r>
            <a:rPr lang="en-US" sz="1100" baseline="0">
              <a:solidFill>
                <a:schemeClr val="tx1"/>
              </a:solidFill>
              <a:effectLst/>
              <a:latin typeface="+mn-lt"/>
              <a:ea typeface="+mn-ea"/>
              <a:cs typeface="+mn-cs"/>
            </a:rPr>
            <a:t> result in a very small font size.</a:t>
          </a:r>
          <a:endParaRPr lang="en-US" sz="1100">
            <a:solidFill>
              <a:schemeClr val="tx1"/>
            </a:solidFill>
            <a:effectLst/>
            <a:latin typeface="+mn-lt"/>
            <a:ea typeface="+mn-ea"/>
            <a:cs typeface="+mn-cs"/>
          </a:endParaRPr>
        </a:p>
        <a:p>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1.6.  OPERATION OF WMA SUMMARY WORKSHEET</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The user selects a Watershed Management Area (WMA) using a drop down box at the top of the 'WMA Summary' workbook tab. This then updates all four tables with the HUC11s in that WMA and the withdrawal, transfer, depletive and consumptive use and available water for each HUC11. </a:t>
          </a:r>
        </a:p>
        <a:p>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2.  DATA SOURCES</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2.1.   </a:t>
          </a:r>
          <a:r>
            <a:rPr lang="en-US" sz="1100">
              <a:solidFill>
                <a:schemeClr val="tx1"/>
              </a:solidFill>
              <a:effectLst/>
              <a:latin typeface="+mn-lt"/>
              <a:ea typeface="+mn-ea"/>
              <a:cs typeface="+mn-cs"/>
            </a:rPr>
            <a:t> </a:t>
          </a:r>
          <a:r>
            <a:rPr lang="en-US" sz="1100" b="1">
              <a:solidFill>
                <a:schemeClr val="tx1"/>
              </a:solidFill>
              <a:effectLst/>
              <a:latin typeface="+mn-lt"/>
              <a:ea typeface="+mn-ea"/>
              <a:cs typeface="+mn-cs"/>
            </a:rPr>
            <a:t>WITHDRAWALS AND DISCHARGES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All withdrawal and discharge values are from data stored in the New Jersey Water Transfer (NJWaTr) database (NJGS, 2010). Snook and others (2013) provide a detailed discussion how these data are gathered and stored and a discussion of their accuracy.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r>
            <a:rPr lang="en-US" sz="1100" b="1">
              <a:solidFill>
                <a:schemeClr val="tx1"/>
              </a:solidFill>
              <a:effectLst/>
              <a:latin typeface="+mn-lt"/>
              <a:ea typeface="+mn-ea"/>
              <a:cs typeface="+mn-cs"/>
            </a:rPr>
            <a:t>2.2.  WATERSHED DEFINITIONS </a:t>
          </a:r>
        </a:p>
        <a:p>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2.2.1.  HYDROLOGIC UNIT CODES (HUCS)</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The United States Geologic Survey divided the United States into 21 regional watersheds (Seaber and others, 1987). Each regional watershed is given a 2-digit hydrologic unit code (HUC2). Each regional watershed is then subdivided into sub-regional watersheds. Each sub-region watershed is coded by adding as a suffix an additional 2-digit code to the original 2 digits resulting in a 4-digit code. This is explained in more detail on the U.S. Geological Survey's ‘Hydrologic Unit Maps' web site:  </a:t>
          </a:r>
        </a:p>
        <a:p>
          <a:r>
            <a:rPr lang="en-US" sz="1100" u="none">
              <a:solidFill>
                <a:schemeClr val="tx1"/>
              </a:solidFill>
              <a:effectLst/>
              <a:latin typeface="+mn-lt"/>
              <a:ea typeface="+mn-ea"/>
              <a:cs typeface="+mn-cs"/>
            </a:rPr>
            <a:t>http://water.usgs.gov/GIS/huc.html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Each subdivision is in turn subdivided into smaller areas generally based on natural drainage divides. This leads to accounting units, cataloging units, watersheds and subwatersheds. At each subdivision additional numbers are added onto the end of the code, leading to 6 digits (for accounting unit watersheds), 8 digits (for cataloging unit watersheds), 11 digits (for watersheds) or 14 digits (for subwatersheds). As an informal practice the various levels of nested drainage</a:t>
          </a:r>
          <a:r>
            <a:rPr lang="en-US" sz="1100" baseline="0">
              <a:solidFill>
                <a:schemeClr val="tx1"/>
              </a:solidFill>
              <a:effectLst/>
              <a:latin typeface="+mn-lt"/>
              <a:ea typeface="+mn-ea"/>
              <a:cs typeface="+mn-cs"/>
            </a:rPr>
            <a:t> units</a:t>
          </a:r>
          <a:r>
            <a:rPr lang="en-US" sz="1100">
              <a:solidFill>
                <a:schemeClr val="tx1"/>
              </a:solidFill>
              <a:effectLst/>
              <a:latin typeface="+mn-lt"/>
              <a:ea typeface="+mn-ea"/>
              <a:cs typeface="+mn-cs"/>
            </a:rPr>
            <a:t> are called simply HUC2, HUC4, HUC6, HUC8, HUC11 or HUC14 watersheds.</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The HUC2, HUC4, HUC6 and HUC8 watershed are defined on a national basis (Seaber and others, 1987). The HUC11 and HUC14 watersheds are defined on a local basis and have been done so in New Jersey by Ellis and Price (1995). The HUC11s and HUC14s were reevaluated in 2000 and some slight modifications were made (Bob Schopp, U.S. Geological Survey, oral communication, 2002).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Digital coverages of HUC11 and HUC14 watersheds in New Jersey are available from the </a:t>
          </a:r>
        </a:p>
        <a:p>
          <a:r>
            <a:rPr lang="en-US" sz="1100">
              <a:solidFill>
                <a:schemeClr val="tx1"/>
              </a:solidFill>
              <a:effectLst/>
              <a:latin typeface="+mn-lt"/>
              <a:ea typeface="+mn-ea"/>
              <a:cs typeface="+mn-cs"/>
            </a:rPr>
            <a:t>Geographic Information System webpage of the New Jersey Department of Environmental Protection:</a:t>
          </a:r>
        </a:p>
        <a:p>
          <a:r>
            <a:rPr lang="en-US" sz="1100" u="none">
              <a:solidFill>
                <a:schemeClr val="tx1"/>
              </a:solidFill>
              <a:effectLst/>
              <a:latin typeface="+mn-lt"/>
              <a:ea typeface="+mn-ea"/>
              <a:cs typeface="+mn-cs"/>
            </a:rPr>
            <a:t>http://www.nj.gov/dep/gis/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2.2.2.  WATERSHED MANAGEMENT AREAS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The 150 HUC11 watersheds in New Jersey are grouped into 20 watershed management areas  (Cohen, 1997).  This process groups HUC11s with similar characteristics and/or discharge locations.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3. DESCRIPTION OF TABLES AND FIGURES </a:t>
          </a:r>
        </a:p>
        <a:p>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3.1. Table 1.  HUC11 Area, Low Flow Margin and Potential Limiting Factors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Table 1 shows a summary of physical characteristics of all HUC11s in the user-selected WMA.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Columns in this table are:</a:t>
          </a:r>
        </a:p>
        <a:p>
          <a:r>
            <a:rPr lang="en-US" sz="1100" u="sng">
              <a:solidFill>
                <a:schemeClr val="tx1"/>
              </a:solidFill>
              <a:effectLst/>
              <a:latin typeface="+mn-lt"/>
              <a:ea typeface="+mn-ea"/>
              <a:cs typeface="+mn-cs"/>
            </a:rPr>
            <a:t>Row: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row number.</a:t>
          </a:r>
        </a:p>
        <a:p>
          <a:r>
            <a:rPr lang="en-US" sz="1100" u="sng">
              <a:solidFill>
                <a:schemeClr val="tx1"/>
              </a:solidFill>
              <a:effectLst/>
              <a:latin typeface="+mn-lt"/>
              <a:ea typeface="+mn-ea"/>
              <a:cs typeface="+mn-cs"/>
            </a:rPr>
            <a:t>HUC11:</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11-digit number of each HUC11 in the user-selected WMA.</a:t>
          </a:r>
        </a:p>
        <a:p>
          <a:r>
            <a:rPr lang="en-US" sz="1100" u="sng">
              <a:solidFill>
                <a:schemeClr val="tx1"/>
              </a:solidFill>
              <a:effectLst/>
              <a:latin typeface="+mn-lt"/>
              <a:ea typeface="+mn-ea"/>
              <a:cs typeface="+mn-cs"/>
            </a:rPr>
            <a:t>HUC11 name:</a:t>
          </a:r>
          <a:r>
            <a:rPr lang="en-US" sz="1100" u="none">
              <a:solidFill>
                <a:schemeClr val="tx1"/>
              </a:solidFill>
              <a:effectLst/>
              <a:latin typeface="+mn-lt"/>
              <a:ea typeface="+mn-ea"/>
              <a:cs typeface="+mn-cs"/>
            </a:rPr>
            <a:t> T</a:t>
          </a:r>
          <a:r>
            <a:rPr lang="en-US" sz="1100">
              <a:solidFill>
                <a:schemeClr val="tx1"/>
              </a:solidFill>
              <a:effectLst/>
              <a:latin typeface="+mn-lt"/>
              <a:ea typeface="+mn-ea"/>
              <a:cs typeface="+mn-cs"/>
            </a:rPr>
            <a:t>he name of the HUC11.</a:t>
          </a:r>
        </a:p>
        <a:p>
          <a:r>
            <a:rPr lang="en-US" sz="1100" u="sng">
              <a:solidFill>
                <a:schemeClr val="tx1"/>
              </a:solidFill>
              <a:effectLst/>
              <a:latin typeface="+mn-lt"/>
              <a:ea typeface="+mn-ea"/>
              <a:cs typeface="+mn-cs"/>
            </a:rPr>
            <a:t>HUC11 Area:</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size of the HUC11 (in square miles).</a:t>
          </a:r>
        </a:p>
        <a:p>
          <a:r>
            <a:rPr lang="en-US" sz="1100" u="sng">
              <a:solidFill>
                <a:schemeClr val="tx1"/>
              </a:solidFill>
              <a:effectLst/>
              <a:latin typeface="+mn-lt"/>
              <a:ea typeface="+mn-ea"/>
              <a:cs typeface="+mn-cs"/>
            </a:rPr>
            <a:t>Watershed Area:</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total drainage area above the HUC11's pour point (in square miles).</a:t>
          </a:r>
        </a:p>
        <a:p>
          <a:r>
            <a:rPr lang="en-US" sz="1100" u="sng">
              <a:solidFill>
                <a:schemeClr val="tx1"/>
              </a:solidFill>
              <a:effectLst/>
              <a:latin typeface="+mn-lt"/>
              <a:ea typeface="+mn-ea"/>
              <a:cs typeface="+mn-cs"/>
            </a:rPr>
            <a:t>September Median Flow: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estimated median daily flow in September (in mgd). From Domber and others (2013).</a:t>
          </a:r>
        </a:p>
        <a:p>
          <a:r>
            <a:rPr lang="en-US" sz="1100" u="sng">
              <a:solidFill>
                <a:schemeClr val="tx1"/>
              </a:solidFill>
              <a:effectLst/>
              <a:latin typeface="+mn-lt"/>
              <a:ea typeface="+mn-ea"/>
              <a:cs typeface="+mn-cs"/>
            </a:rPr>
            <a:t>7Q10:</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estimated 7-day low flow (in mgd) which is expected to occur on average once every 10 years.  From Domber and others (2013).</a:t>
          </a:r>
        </a:p>
        <a:p>
          <a:r>
            <a:rPr lang="en-US" sz="1100" u="sng">
              <a:solidFill>
                <a:schemeClr val="tx1"/>
              </a:solidFill>
              <a:effectLst/>
              <a:latin typeface="+mn-lt"/>
              <a:ea typeface="+mn-ea"/>
              <a:cs typeface="+mn-cs"/>
            </a:rPr>
            <a:t>LFM: </a:t>
          </a:r>
          <a:r>
            <a:rPr lang="en-US" sz="1100">
              <a:solidFill>
                <a:schemeClr val="tx1"/>
              </a:solidFill>
              <a:effectLst/>
              <a:latin typeface="+mn-lt"/>
              <a:ea typeface="+mn-ea"/>
              <a:cs typeface="+mn-cs"/>
            </a:rPr>
            <a:t>The difference between the September median flow and the 7Q10 flow (in mgd). See Domber and others (2013) for a description.</a:t>
          </a:r>
        </a:p>
        <a:p>
          <a:r>
            <a:rPr lang="en-US" sz="1100" u="sng">
              <a:solidFill>
                <a:schemeClr val="tx1"/>
              </a:solidFill>
              <a:effectLst/>
              <a:latin typeface="+mn-lt"/>
              <a:ea typeface="+mn-ea"/>
              <a:cs typeface="+mn-cs"/>
            </a:rPr>
            <a:t>NJ Highlands:</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This column indicates if the HUC11 is partially or entirely in the New Jersey Highlands. See Highlands Council (2008) for a description of the New Jersey Highlands. Hoffman and Domber (2004) provide an overview of the importance of the Highlands to water supply in New Jersey. Additional withdrawals in the Highlands require approval from the Highlands Council. The cell is highlighted yellow if the HUC11 is entirely or partially in the NJ Highlands.</a:t>
          </a:r>
        </a:p>
        <a:p>
          <a:r>
            <a:rPr lang="en-US" sz="1100" u="sng">
              <a:solidFill>
                <a:schemeClr val="tx1"/>
              </a:solidFill>
              <a:effectLst/>
              <a:latin typeface="+mn-lt"/>
              <a:ea typeface="+mn-ea"/>
              <a:cs typeface="+mn-cs"/>
            </a:rPr>
            <a:t>Pinelands:</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This column indicates if the HUC11 is partially or entirely in the New Jersey Pinelands management area.   See Pinelands Commission (2012) for more information. The cell is highlighted yellow if the HUC11 is entirely or partially in the Pinelands.</a:t>
          </a:r>
        </a:p>
        <a:p>
          <a:r>
            <a:rPr lang="en-US" sz="1100" u="sng">
              <a:solidFill>
                <a:schemeClr val="tx1"/>
              </a:solidFill>
              <a:effectLst/>
              <a:latin typeface="+mn-lt"/>
              <a:ea typeface="+mn-ea"/>
              <a:cs typeface="+mn-cs"/>
            </a:rPr>
            <a:t>Critical Area 1 or 2:</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This column indicates if the HUC11 is partially or entirely overlies either Water Supply Critical Area #1 in central New Jersey or Water Supply Critical Area #2 in southern New Jersey. See Hoffman and Lieberman (2000) for a description of the water supply critical area program.  The cell is highlighted yellow if the HUC11 is entirely or partially in one of the Water Supply Critical Areas. </a:t>
          </a:r>
        </a:p>
        <a:p>
          <a:r>
            <a:rPr lang="en-US" sz="1100" u="sng">
              <a:solidFill>
                <a:schemeClr val="tx1"/>
              </a:solidFill>
              <a:effectLst/>
              <a:latin typeface="+mn-lt"/>
              <a:ea typeface="+mn-ea"/>
              <a:cs typeface="+mn-cs"/>
            </a:rPr>
            <a:t>Major SW Potable Supply:</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This columns indicates if the HUC11 contains a major surface water potable supply intake or reservoir with a safe yield. Withdrawals upstream of these locations must evaluate the potential impact on that safe yield. The cell is highlighted yellow if the HUC11 contains such a water supply.</a:t>
          </a:r>
        </a:p>
        <a:p>
          <a:r>
            <a:rPr lang="en-US" sz="1100" u="sng">
              <a:solidFill>
                <a:schemeClr val="tx1"/>
              </a:solidFill>
              <a:effectLst/>
              <a:latin typeface="+mn-lt"/>
              <a:ea typeface="+mn-ea"/>
              <a:cs typeface="+mn-cs"/>
            </a:rPr>
            <a:t>Potentially 7Q10 Limited:</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This column indicates if the estimated low flow margin is greater than the half of the 7Q10 flow. In such cases withdrawing a large percentage of the LFM  may lower streamflows below the 7Q10 flow. Additional availability analysis is required in these HUC11s. The cell is highlighted yellow if the HUC11 is potentially 7Q10 limited.</a:t>
          </a:r>
          <a:r>
            <a:rPr lang="en-US" sz="1100" u="sng">
              <a:solidFill>
                <a:schemeClr val="tx1"/>
              </a:solidFill>
              <a:effectLst/>
              <a:latin typeface="+mn-lt"/>
              <a:ea typeface="+mn-ea"/>
              <a:cs typeface="+mn-cs"/>
            </a:rPr>
            <a:t>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3.2. Table 2.  Remaining Water at Current Use (max during 1990-2007) and Full Allocation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Table 2  has three components: </a:t>
          </a:r>
        </a:p>
        <a:p>
          <a:r>
            <a:rPr lang="en-US" sz="1100">
              <a:solidFill>
                <a:schemeClr val="tx1"/>
              </a:solidFill>
              <a:effectLst/>
              <a:latin typeface="+mn-lt"/>
              <a:ea typeface="+mn-ea"/>
              <a:cs typeface="+mn-cs"/>
            </a:rPr>
            <a:t>     (1) An estimate of how much water is available from the HUC11 as a user-specified percentage of the low flow margin.</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To the right of this table are up and down arrows which allow the user to specify what percentage of the low flow margin may be lost.  </a:t>
          </a:r>
        </a:p>
        <a:p>
          <a:r>
            <a:rPr lang="en-US" sz="1100">
              <a:solidFill>
                <a:schemeClr val="tx1"/>
              </a:solidFill>
              <a:effectLst/>
              <a:latin typeface="+mn-lt"/>
              <a:ea typeface="+mn-ea"/>
              <a:cs typeface="+mn-cs"/>
            </a:rPr>
            <a:t>     (2)  An analysis of the estimated annual maximum and depletive water loss from each HUC11 in the user-selected WMA compared to the available water.  </a:t>
          </a:r>
        </a:p>
        <a:p>
          <a:r>
            <a:rPr lang="en-US" sz="1100">
              <a:solidFill>
                <a:schemeClr val="tx1"/>
              </a:solidFill>
              <a:effectLst/>
              <a:latin typeface="+mn-lt"/>
              <a:ea typeface="+mn-ea"/>
              <a:cs typeface="+mn-cs"/>
            </a:rPr>
            <a:t>     (3)  A analysis of how much water would be lost from the HUC11 at full allocation withdrawals compared to the low flow margin.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Columns in this table are:</a:t>
          </a:r>
        </a:p>
        <a:p>
          <a:r>
            <a:rPr lang="en-US" sz="1100" u="sng">
              <a:solidFill>
                <a:schemeClr val="tx1"/>
              </a:solidFill>
              <a:effectLst/>
              <a:latin typeface="+mn-lt"/>
              <a:ea typeface="+mn-ea"/>
              <a:cs typeface="+mn-cs"/>
            </a:rPr>
            <a:t>Row: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row number.</a:t>
          </a:r>
        </a:p>
        <a:p>
          <a:r>
            <a:rPr lang="en-US" sz="1100" u="sng">
              <a:solidFill>
                <a:schemeClr val="tx1"/>
              </a:solidFill>
              <a:effectLst/>
              <a:latin typeface="+mn-lt"/>
              <a:ea typeface="+mn-ea"/>
              <a:cs typeface="+mn-cs"/>
            </a:rPr>
            <a:t>HUC11:</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11-digit number of each HUC11 in the user-selected WMA.</a:t>
          </a:r>
        </a:p>
        <a:p>
          <a:r>
            <a:rPr lang="en-US" sz="1100" u="sng">
              <a:solidFill>
                <a:schemeClr val="tx1"/>
              </a:solidFill>
              <a:effectLst/>
              <a:latin typeface="+mn-lt"/>
              <a:ea typeface="+mn-ea"/>
              <a:cs typeface="+mn-cs"/>
            </a:rPr>
            <a:t>HUC11 name:</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name of the HUC11.</a:t>
          </a:r>
        </a:p>
        <a:p>
          <a:r>
            <a:rPr lang="en-US" sz="1100" u="sng">
              <a:solidFill>
                <a:schemeClr val="tx1"/>
              </a:solidFill>
              <a:effectLst/>
              <a:latin typeface="+mn-lt"/>
              <a:ea typeface="+mn-ea"/>
              <a:cs typeface="+mn-cs"/>
            </a:rPr>
            <a:t>Available water:</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estimated available water (in mgd). This is the product of the low flow margin and the user-specified percent of that margin available for loss. </a:t>
          </a:r>
        </a:p>
        <a:p>
          <a:r>
            <a:rPr lang="en-US" sz="1100" u="sng">
              <a:solidFill>
                <a:schemeClr val="tx1"/>
              </a:solidFill>
              <a:effectLst/>
              <a:latin typeface="+mn-lt"/>
              <a:ea typeface="+mn-ea"/>
              <a:cs typeface="+mn-cs"/>
            </a:rPr>
            <a:t>Peak Year Withdrawals:</a:t>
          </a:r>
          <a:r>
            <a:rPr lang="en-US" sz="1100" u="none" baseline="0">
              <a:solidFill>
                <a:schemeClr val="tx1"/>
              </a:solidFill>
              <a:effectLst/>
              <a:latin typeface="+mn-lt"/>
              <a:ea typeface="+mn-ea"/>
              <a:cs typeface="+mn-cs"/>
            </a:rPr>
            <a:t> </a:t>
          </a:r>
          <a:r>
            <a:rPr lang="en-US" sz="1100">
              <a:solidFill>
                <a:schemeClr val="tx1"/>
              </a:solidFill>
              <a:effectLst/>
              <a:latin typeface="+mn-lt"/>
              <a:ea typeface="+mn-ea"/>
              <a:cs typeface="+mn-cs"/>
            </a:rPr>
            <a:t>This is the year in the period 2000-2009 that had the most depletive and consumptive water loss. The procedure for calculating this value is given in Domber and others (2013). </a:t>
          </a:r>
        </a:p>
        <a:p>
          <a:r>
            <a:rPr lang="en-US" sz="1100" u="sng">
              <a:solidFill>
                <a:schemeClr val="tx1"/>
              </a:solidFill>
              <a:effectLst/>
              <a:latin typeface="+mn-lt"/>
              <a:ea typeface="+mn-ea"/>
              <a:cs typeface="+mn-cs"/>
            </a:rPr>
            <a:t>Current Net D/C:</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estimated net depletive and consumptive water loss (in mgd) during the peak year.</a:t>
          </a:r>
        </a:p>
        <a:p>
          <a:r>
            <a:rPr lang="en-US" sz="1100" u="sng">
              <a:solidFill>
                <a:schemeClr val="tx1"/>
              </a:solidFill>
              <a:effectLst/>
              <a:latin typeface="+mn-lt"/>
              <a:ea typeface="+mn-ea"/>
              <a:cs typeface="+mn-cs"/>
            </a:rPr>
            <a:t>Current % Available Used:</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current net D/C as a percentage of the low flow margin.</a:t>
          </a:r>
        </a:p>
        <a:p>
          <a:r>
            <a:rPr lang="en-US" sz="1100" u="sng">
              <a:solidFill>
                <a:schemeClr val="tx1"/>
              </a:solidFill>
              <a:effectLst/>
              <a:latin typeface="+mn-lt"/>
              <a:ea typeface="+mn-ea"/>
              <a:cs typeface="+mn-cs"/>
            </a:rPr>
            <a:t>Current Remaining Available Water:</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Available water minus the current net D/C (in mgd). If this number is less than zero it is set to zero and the cell shaded red.</a:t>
          </a:r>
        </a:p>
        <a:p>
          <a:r>
            <a:rPr lang="en-US" sz="1100" u="sng">
              <a:solidFill>
                <a:schemeClr val="tx1"/>
              </a:solidFill>
              <a:effectLst/>
              <a:latin typeface="+mn-lt"/>
              <a:ea typeface="+mn-ea"/>
              <a:cs typeface="+mn-cs"/>
            </a:rPr>
            <a:t>Largest D/C Loss Current:</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specific water use which contributed most to the D/C water loss in the peak year.</a:t>
          </a:r>
        </a:p>
        <a:p>
          <a:r>
            <a:rPr lang="en-US" sz="1100" u="sng">
              <a:solidFill>
                <a:schemeClr val="tx1"/>
              </a:solidFill>
              <a:effectLst/>
              <a:latin typeface="+mn-lt"/>
              <a:ea typeface="+mn-ea"/>
              <a:cs typeface="+mn-cs"/>
            </a:rPr>
            <a:t>Full Allocation Net D/C:</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estimated depletive and consumptive water loss (in mgd) if all allocated withdrawals in the HUC11 were to withdrawal the greatest permitted volume of water. </a:t>
          </a:r>
        </a:p>
        <a:p>
          <a:r>
            <a:rPr lang="en-US" sz="1100" u="sng">
              <a:solidFill>
                <a:schemeClr val="tx1"/>
              </a:solidFill>
              <a:effectLst/>
              <a:latin typeface="+mn-lt"/>
              <a:ea typeface="+mn-ea"/>
              <a:cs typeface="+mn-cs"/>
            </a:rPr>
            <a:t>Full Allocation % Available Used:</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full allocation D/C as a percentage of the low flow margin.</a:t>
          </a:r>
        </a:p>
        <a:p>
          <a:r>
            <a:rPr lang="en-US" sz="1100" u="sng">
              <a:solidFill>
                <a:schemeClr val="tx1"/>
              </a:solidFill>
              <a:effectLst/>
              <a:latin typeface="+mn-lt"/>
              <a:ea typeface="+mn-ea"/>
              <a:cs typeface="+mn-cs"/>
            </a:rPr>
            <a:t>Full Allocation Remaining Available Water:</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Available water minus the full allocation D/C (in mgd). If this number is less than zero it is set to zero and the cell shaded red. </a:t>
          </a:r>
        </a:p>
        <a:p>
          <a:r>
            <a:rPr lang="en-US" sz="1100" u="sng">
              <a:solidFill>
                <a:schemeClr val="tx1"/>
              </a:solidFill>
              <a:effectLst/>
              <a:latin typeface="+mn-lt"/>
              <a:ea typeface="+mn-ea"/>
              <a:cs typeface="+mn-cs"/>
            </a:rPr>
            <a:t>Largest D/C Full All:</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specific water use which contributed most to the D/C water loss under full allocation conditions.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3.3. Table 3. Summary of HUC11 Withdrawals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Table 3 shows an estimate of withdrawals from all HUC11s in the user-specified WMA in the peak year over the time period 1990-2007.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Columns in this table are:</a:t>
          </a:r>
        </a:p>
        <a:p>
          <a:r>
            <a:rPr lang="en-US" sz="1100" u="sng">
              <a:solidFill>
                <a:schemeClr val="tx1"/>
              </a:solidFill>
              <a:effectLst/>
              <a:latin typeface="+mn-lt"/>
              <a:ea typeface="+mn-ea"/>
              <a:cs typeface="+mn-cs"/>
            </a:rPr>
            <a:t>Row: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row number. </a:t>
          </a:r>
        </a:p>
        <a:p>
          <a:r>
            <a:rPr lang="en-US" sz="1100" u="sng">
              <a:solidFill>
                <a:schemeClr val="tx1"/>
              </a:solidFill>
              <a:effectLst/>
              <a:latin typeface="+mn-lt"/>
              <a:ea typeface="+mn-ea"/>
              <a:cs typeface="+mn-cs"/>
            </a:rPr>
            <a:t>HUC11:</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11-digit number of each HUC11 in the user-selected WMA.</a:t>
          </a:r>
        </a:p>
        <a:p>
          <a:r>
            <a:rPr lang="en-US" sz="1100" u="sng">
              <a:solidFill>
                <a:schemeClr val="tx1"/>
              </a:solidFill>
              <a:effectLst/>
              <a:latin typeface="+mn-lt"/>
              <a:ea typeface="+mn-ea"/>
              <a:cs typeface="+mn-cs"/>
            </a:rPr>
            <a:t>HUC11 name:</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name of the HUC11.</a:t>
          </a:r>
        </a:p>
        <a:p>
          <a:r>
            <a:rPr lang="en-US" sz="1100" u="sng">
              <a:solidFill>
                <a:schemeClr val="tx1"/>
              </a:solidFill>
              <a:effectLst/>
              <a:latin typeface="+mn-lt"/>
              <a:ea typeface="+mn-ea"/>
              <a:cs typeface="+mn-cs"/>
            </a:rPr>
            <a:t>Public Supply UnGW: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Withdrawals for public supply from unconfined groundwater aquifers (in mgd).</a:t>
          </a:r>
        </a:p>
        <a:p>
          <a:r>
            <a:rPr lang="en-US" sz="1100" u="sng">
              <a:solidFill>
                <a:schemeClr val="tx1"/>
              </a:solidFill>
              <a:effectLst/>
              <a:latin typeface="+mn-lt"/>
              <a:ea typeface="+mn-ea"/>
              <a:cs typeface="+mn-cs"/>
            </a:rPr>
            <a:t>Public Supply SW: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Withdrawals for public supply from surface water (in mgd). This does not include withdrawals from reservoirs and major intakes which have an assigned safe yield. </a:t>
          </a:r>
        </a:p>
        <a:p>
          <a:r>
            <a:rPr lang="en-US" sz="1100" u="sng">
              <a:solidFill>
                <a:schemeClr val="tx1"/>
              </a:solidFill>
              <a:effectLst/>
              <a:latin typeface="+mn-lt"/>
              <a:ea typeface="+mn-ea"/>
              <a:cs typeface="+mn-cs"/>
            </a:rPr>
            <a:t>Domestic UnGW: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Withdrawals for domestic use from unconfined groundwater aquifers (in mgd).</a:t>
          </a:r>
        </a:p>
        <a:p>
          <a:r>
            <a:rPr lang="en-US" sz="1100" u="sng">
              <a:solidFill>
                <a:schemeClr val="tx1"/>
              </a:solidFill>
              <a:effectLst/>
              <a:latin typeface="+mn-lt"/>
              <a:ea typeface="+mn-ea"/>
              <a:cs typeface="+mn-cs"/>
            </a:rPr>
            <a:t>Ind-Com-Min UnGw: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Withdrawals for industrial, commercial and mining uses from unconfined groundwater aquifers (in mgd).</a:t>
          </a:r>
        </a:p>
        <a:p>
          <a:r>
            <a:rPr lang="en-US" sz="1100" u="sng">
              <a:solidFill>
                <a:schemeClr val="tx1"/>
              </a:solidFill>
              <a:effectLst/>
              <a:latin typeface="+mn-lt"/>
              <a:ea typeface="+mn-ea"/>
              <a:cs typeface="+mn-cs"/>
            </a:rPr>
            <a:t>Ind-Com-Min SW: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Withdrawals for industrial, commercial and mining uses from surface water (in mgd).</a:t>
          </a:r>
        </a:p>
        <a:p>
          <a:r>
            <a:rPr lang="en-US" sz="1100" u="sng">
              <a:solidFill>
                <a:schemeClr val="tx1"/>
              </a:solidFill>
              <a:effectLst/>
              <a:latin typeface="+mn-lt"/>
              <a:ea typeface="+mn-ea"/>
              <a:cs typeface="+mn-cs"/>
            </a:rPr>
            <a:t>Ag Irrigation UnGW: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Withdrawals for agricultural irrigation uses from unconfined groundwater aquifers (in mgd). </a:t>
          </a:r>
        </a:p>
        <a:p>
          <a:r>
            <a:rPr lang="en-US" sz="1100" u="sng">
              <a:solidFill>
                <a:schemeClr val="tx1"/>
              </a:solidFill>
              <a:effectLst/>
              <a:latin typeface="+mn-lt"/>
              <a:ea typeface="+mn-ea"/>
              <a:cs typeface="+mn-cs"/>
            </a:rPr>
            <a:t>Ag Irrigation SW: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Withdrawals  for agricultural irrigation uses from surface water (in mgd). </a:t>
          </a:r>
        </a:p>
        <a:p>
          <a:r>
            <a:rPr lang="en-US" sz="1100" u="sng">
              <a:solidFill>
                <a:schemeClr val="tx1"/>
              </a:solidFill>
              <a:effectLst/>
              <a:latin typeface="+mn-lt"/>
              <a:ea typeface="+mn-ea"/>
              <a:cs typeface="+mn-cs"/>
            </a:rPr>
            <a:t>Non-Ag Ag Irrigation UnGW: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Withdrawals for non-agricultural irrigation uses from unconfined groundwater aquifers (in mgd). </a:t>
          </a:r>
        </a:p>
        <a:p>
          <a:r>
            <a:rPr lang="en-US" sz="1100" u="sng">
              <a:solidFill>
                <a:schemeClr val="tx1"/>
              </a:solidFill>
              <a:effectLst/>
              <a:latin typeface="+mn-lt"/>
              <a:ea typeface="+mn-ea"/>
              <a:cs typeface="+mn-cs"/>
            </a:rPr>
            <a:t>Ag Irrigation SW: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Withdrawals for non-agricultural irrigation uses from surface water (in mgd).</a:t>
          </a:r>
        </a:p>
        <a:p>
          <a:r>
            <a:rPr lang="en-US" sz="1100" u="sng">
              <a:solidFill>
                <a:schemeClr val="tx1"/>
              </a:solidFill>
              <a:effectLst/>
              <a:latin typeface="+mn-lt"/>
              <a:ea typeface="+mn-ea"/>
              <a:cs typeface="+mn-cs"/>
            </a:rPr>
            <a:t>Power Generation UnGW: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Withdrawals for power generation uses from unconfined groundwater aquifers (in mgd). </a:t>
          </a:r>
        </a:p>
        <a:p>
          <a:r>
            <a:rPr lang="en-US" sz="1100" u="sng">
              <a:solidFill>
                <a:schemeClr val="tx1"/>
              </a:solidFill>
              <a:effectLst/>
              <a:latin typeface="+mn-lt"/>
              <a:ea typeface="+mn-ea"/>
              <a:cs typeface="+mn-cs"/>
            </a:rPr>
            <a:t>Power Generation SW: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Withdrawals for power generation</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uses from surface water (in mgd).</a:t>
          </a:r>
        </a:p>
        <a:p>
          <a:r>
            <a:rPr lang="en-US" sz="1100" u="sng">
              <a:solidFill>
                <a:schemeClr val="tx1"/>
              </a:solidFill>
              <a:effectLst/>
              <a:latin typeface="+mn-lt"/>
              <a:ea typeface="+mn-ea"/>
              <a:cs typeface="+mn-cs"/>
            </a:rPr>
            <a:t>Combined SFD ADJ UnGW: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Estimated total withdrawals from unconfined groundwater aquifers</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in mgd). This is adjusted by the estimated impact of such withdrawals on streamflow. See Domber and others (2013) for more information on this adjustment.</a:t>
          </a:r>
        </a:p>
        <a:p>
          <a:r>
            <a:rPr lang="en-US" sz="1100" u="sng">
              <a:solidFill>
                <a:schemeClr val="tx1"/>
              </a:solidFill>
              <a:effectLst/>
              <a:latin typeface="+mn-lt"/>
              <a:ea typeface="+mn-ea"/>
              <a:cs typeface="+mn-cs"/>
            </a:rPr>
            <a:t>Combined SW: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Estimated total withdrawals from surface water (in mgd). This does not include withdrawals from reservoirs and major intakes which have an assigned safe yield. </a:t>
          </a:r>
        </a:p>
        <a:p>
          <a:r>
            <a:rPr lang="en-US" sz="1100" u="sng">
              <a:solidFill>
                <a:schemeClr val="tx1"/>
              </a:solidFill>
              <a:effectLst/>
              <a:latin typeface="+mn-lt"/>
              <a:ea typeface="+mn-ea"/>
              <a:cs typeface="+mn-cs"/>
            </a:rPr>
            <a:t>Combined Leak to Con Aq.:</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Estimated downward leakage to confined aquifers (in mgd). From Domber and others (2013). </a:t>
          </a:r>
        </a:p>
        <a:p>
          <a:r>
            <a:rPr lang="en-US" sz="1100" u="sng">
              <a:solidFill>
                <a:schemeClr val="tx1"/>
              </a:solidFill>
              <a:effectLst/>
              <a:latin typeface="+mn-lt"/>
              <a:ea typeface="+mn-ea"/>
              <a:cs typeface="+mn-cs"/>
            </a:rPr>
            <a:t>Combined Total:</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sum of the previous three columns (in mgd).</a:t>
          </a:r>
        </a:p>
        <a:p>
          <a:r>
            <a:rPr lang="en-US" sz="1100" u="sng">
              <a:solidFill>
                <a:schemeClr val="tx1"/>
              </a:solidFill>
              <a:effectLst/>
              <a:latin typeface="+mn-lt"/>
              <a:ea typeface="+mn-ea"/>
              <a:cs typeface="+mn-cs"/>
            </a:rPr>
            <a:t>RSW Withdrawals:</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Surface water withdrawals from regulated reservoirs and intakes that have an assigned safe yield (in mgd). </a:t>
          </a:r>
        </a:p>
        <a:p>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3.4.  Table 4.  Summary of HUC11 Discharges and Returns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Table 4 shows an estimate of how much water was returned to the surface water-confined aquifer system in the peak year by the various pathways.</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Columns in this table are: </a:t>
          </a:r>
        </a:p>
        <a:p>
          <a:r>
            <a:rPr lang="en-US" sz="1100" u="sng">
              <a:solidFill>
                <a:schemeClr val="tx1"/>
              </a:solidFill>
              <a:effectLst/>
              <a:latin typeface="+mn-lt"/>
              <a:ea typeface="+mn-ea"/>
              <a:cs typeface="+mn-cs"/>
            </a:rPr>
            <a:t>Row: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row number.</a:t>
          </a:r>
        </a:p>
        <a:p>
          <a:r>
            <a:rPr lang="en-US" sz="1100" u="sng">
              <a:solidFill>
                <a:schemeClr val="tx1"/>
              </a:solidFill>
              <a:effectLst/>
              <a:latin typeface="+mn-lt"/>
              <a:ea typeface="+mn-ea"/>
              <a:cs typeface="+mn-cs"/>
            </a:rPr>
            <a:t>HUC11:</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11-digit number of each HUC11 in the user-selected WMA. </a:t>
          </a:r>
        </a:p>
        <a:p>
          <a:r>
            <a:rPr lang="en-US" sz="1100" u="sng">
              <a:solidFill>
                <a:schemeClr val="tx1"/>
              </a:solidFill>
              <a:effectLst/>
              <a:latin typeface="+mn-lt"/>
              <a:ea typeface="+mn-ea"/>
              <a:cs typeface="+mn-cs"/>
            </a:rPr>
            <a:t>HUC11 name:</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name of the HUC11. </a:t>
          </a:r>
        </a:p>
        <a:p>
          <a:r>
            <a:rPr lang="en-US" sz="1100" u="sng">
              <a:solidFill>
                <a:schemeClr val="tx1"/>
              </a:solidFill>
              <a:effectLst/>
              <a:latin typeface="+mn-lt"/>
              <a:ea typeface="+mn-ea"/>
              <a:cs typeface="+mn-cs"/>
            </a:rPr>
            <a:t>Sanitary Sewer UnGw: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volume of water returned to unconfined groundwater aquifers by permitted sanitary sewer treatment plants (in mgd).</a:t>
          </a:r>
        </a:p>
        <a:p>
          <a:r>
            <a:rPr lang="en-US" sz="1100" u="sng">
              <a:solidFill>
                <a:schemeClr val="tx1"/>
              </a:solidFill>
              <a:effectLst/>
              <a:latin typeface="+mn-lt"/>
              <a:ea typeface="+mn-ea"/>
              <a:cs typeface="+mn-cs"/>
            </a:rPr>
            <a:t>Sanitary Sewer SW Fresh:</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volume of water returned to fresh surface water by permitted sanitary sewer treatment plants (in mgd).</a:t>
          </a:r>
        </a:p>
        <a:p>
          <a:r>
            <a:rPr lang="en-US" sz="1100" u="sng">
              <a:solidFill>
                <a:schemeClr val="tx1"/>
              </a:solidFill>
              <a:effectLst/>
              <a:latin typeface="+mn-lt"/>
              <a:ea typeface="+mn-ea"/>
              <a:cs typeface="+mn-cs"/>
            </a:rPr>
            <a:t>Sanitary Sewer SW Saline:</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volume of water returned to saline surface water by permitted sanitary sewer treatment plants (in mgd).</a:t>
          </a:r>
        </a:p>
        <a:p>
          <a:r>
            <a:rPr lang="en-US" sz="1100" u="sng">
              <a:solidFill>
                <a:schemeClr val="tx1"/>
              </a:solidFill>
              <a:effectLst/>
              <a:latin typeface="+mn-lt"/>
              <a:ea typeface="+mn-ea"/>
              <a:cs typeface="+mn-cs"/>
            </a:rPr>
            <a:t>Domestic Septic:</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volume of water returned to unconfined groundwater aquifers by septic tanks (in mgd). </a:t>
          </a:r>
        </a:p>
        <a:p>
          <a:r>
            <a:rPr lang="en-US" sz="1100" u="sng">
              <a:solidFill>
                <a:schemeClr val="tx1"/>
              </a:solidFill>
              <a:effectLst/>
              <a:latin typeface="+mn-lt"/>
              <a:ea typeface="+mn-ea"/>
              <a:cs typeface="+mn-cs"/>
            </a:rPr>
            <a:t>Ind-Com-Min UnGw: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volume of water returned to unconfined groundwater aquifers after industrial, commercial and mining uses (in mgd). </a:t>
          </a:r>
        </a:p>
        <a:p>
          <a:r>
            <a:rPr lang="en-US" sz="1100" u="sng">
              <a:solidFill>
                <a:schemeClr val="tx1"/>
              </a:solidFill>
              <a:effectLst/>
              <a:latin typeface="+mn-lt"/>
              <a:ea typeface="+mn-ea"/>
              <a:cs typeface="+mn-cs"/>
            </a:rPr>
            <a:t>Ind-Com-Min SW: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volume of water returned to  surface water after industrial, commercial and mining uses (in mgd).</a:t>
          </a:r>
        </a:p>
        <a:p>
          <a:r>
            <a:rPr lang="en-US" sz="1100" u="sng">
              <a:solidFill>
                <a:schemeClr val="tx1"/>
              </a:solidFill>
              <a:effectLst/>
              <a:latin typeface="+mn-lt"/>
              <a:ea typeface="+mn-ea"/>
              <a:cs typeface="+mn-cs"/>
            </a:rPr>
            <a:t>Ag Irrigation</a:t>
          </a:r>
          <a:r>
            <a:rPr lang="en-US" sz="1100" u="sng" baseline="0">
              <a:solidFill>
                <a:schemeClr val="tx1"/>
              </a:solidFill>
              <a:effectLst/>
              <a:latin typeface="+mn-lt"/>
              <a:ea typeface="+mn-ea"/>
              <a:cs typeface="+mn-cs"/>
            </a:rPr>
            <a:t> </a:t>
          </a:r>
          <a:r>
            <a:rPr lang="en-US" sz="1100" u="sng">
              <a:solidFill>
                <a:schemeClr val="tx1"/>
              </a:solidFill>
              <a:effectLst/>
              <a:latin typeface="+mn-lt"/>
              <a:ea typeface="+mn-ea"/>
              <a:cs typeface="+mn-cs"/>
            </a:rPr>
            <a:t>UnGW: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volume of water returned to unconfined groundwater aquifers after agricultural irrigation (in mgd). </a:t>
          </a:r>
        </a:p>
        <a:p>
          <a:r>
            <a:rPr lang="en-US" sz="1100" u="sng">
              <a:solidFill>
                <a:schemeClr val="tx1"/>
              </a:solidFill>
              <a:effectLst/>
              <a:latin typeface="+mn-lt"/>
              <a:ea typeface="+mn-ea"/>
              <a:cs typeface="+mn-cs"/>
            </a:rPr>
            <a:t>Ag Irrigation SW: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volume of water returned to surface water after agricultural irrigation (in mgd). </a:t>
          </a:r>
        </a:p>
        <a:p>
          <a:r>
            <a:rPr lang="en-US" sz="1100" u="sng">
              <a:solidFill>
                <a:schemeClr val="tx1"/>
              </a:solidFill>
              <a:effectLst/>
              <a:latin typeface="+mn-lt"/>
              <a:ea typeface="+mn-ea"/>
              <a:cs typeface="+mn-cs"/>
            </a:rPr>
            <a:t>Non-Ag Irrigation UnGW: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volume of water returned to unconfined groundwater aquifers after non-agricultural irrigation (in mgd). </a:t>
          </a:r>
        </a:p>
        <a:p>
          <a:r>
            <a:rPr lang="en-US" sz="1100" u="sng">
              <a:solidFill>
                <a:schemeClr val="tx1"/>
              </a:solidFill>
              <a:effectLst/>
              <a:latin typeface="+mn-lt"/>
              <a:ea typeface="+mn-ea"/>
              <a:cs typeface="+mn-cs"/>
            </a:rPr>
            <a:t>Non-Ag Irrigation SW: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volume of water returned to surface water after non-agricultural irrigation (in mgd).</a:t>
          </a:r>
        </a:p>
        <a:p>
          <a:r>
            <a:rPr lang="en-US" sz="1100" u="sng">
              <a:solidFill>
                <a:schemeClr val="tx1"/>
              </a:solidFill>
              <a:effectLst/>
              <a:latin typeface="+mn-lt"/>
              <a:ea typeface="+mn-ea"/>
              <a:cs typeface="+mn-cs"/>
            </a:rPr>
            <a:t>Power Generation UnGw: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volume of water returned to unconfined groundwater aquifers after power generation uses (in mgd). </a:t>
          </a:r>
        </a:p>
        <a:p>
          <a:r>
            <a:rPr lang="en-US" sz="1100" u="sng">
              <a:solidFill>
                <a:schemeClr val="tx1"/>
              </a:solidFill>
              <a:effectLst/>
              <a:latin typeface="+mn-lt"/>
              <a:ea typeface="+mn-ea"/>
              <a:cs typeface="+mn-cs"/>
            </a:rPr>
            <a:t>Power Generation SW: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The  volume of water returned to  surface water after power generation  uses (in mgd).</a:t>
          </a:r>
        </a:p>
        <a:p>
          <a:r>
            <a:rPr lang="en-US" sz="1100" u="sng">
              <a:solidFill>
                <a:schemeClr val="tx1"/>
              </a:solidFill>
              <a:effectLst/>
              <a:latin typeface="+mn-lt"/>
              <a:ea typeface="+mn-ea"/>
              <a:cs typeface="+mn-cs"/>
            </a:rPr>
            <a:t>Combined UnGw: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Total volume returned to unconfined groundwater aquifers (in mgd). </a:t>
          </a:r>
        </a:p>
        <a:p>
          <a:r>
            <a:rPr lang="en-US" sz="1100" u="sng">
              <a:solidFill>
                <a:schemeClr val="tx1"/>
              </a:solidFill>
              <a:effectLst/>
              <a:latin typeface="+mn-lt"/>
              <a:ea typeface="+mn-ea"/>
              <a:cs typeface="+mn-cs"/>
            </a:rPr>
            <a:t>Combined SW:</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Total volume returned to surface waters (in mgd).</a:t>
          </a:r>
        </a:p>
        <a:p>
          <a:r>
            <a:rPr lang="en-US" sz="1100" u="sng">
              <a:solidFill>
                <a:schemeClr val="tx1"/>
              </a:solidFill>
              <a:effectLst/>
              <a:latin typeface="+mn-lt"/>
              <a:ea typeface="+mn-ea"/>
              <a:cs typeface="+mn-cs"/>
            </a:rPr>
            <a:t>Combined Total:</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Total volume returned (in mgd).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4.  DISTRIBUTION INFORMATION </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This file consists of one Microsoft Excel 2010™ spreadsheet. This product may be distributed with proper attribution and if it is unchanged.</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5.  METADATA REFERENCE INFORMATION  </a:t>
          </a:r>
        </a:p>
        <a:p>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5.1.  PUBLICATION DATE </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July 2014</a:t>
          </a:r>
        </a:p>
        <a:p>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5.2.  AUTHORS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Ian P. Snook, Steven E. Domber, and Jeffrey L. Hoffman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6.  AUTHOR NOTES  </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Please report any errors in this workbook to the authors.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Check the NJGWS website for possible additional information:</a:t>
          </a:r>
        </a:p>
        <a:p>
          <a:r>
            <a:rPr lang="en-US" sz="1100">
              <a:solidFill>
                <a:schemeClr val="tx1"/>
              </a:solidFill>
              <a:effectLst/>
              <a:latin typeface="+mn-lt"/>
              <a:ea typeface="+mn-ea"/>
              <a:cs typeface="+mn-cs"/>
            </a:rPr>
            <a:t>      http://www.njgeology.org/index.html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Use of brand, commercial, or trade names is for identification purposes only and does not constitute endorsement by the New Jersey Geological and Water Survey or New Jersey Department of Environmental Protection.</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7.  ABBREVIATIONS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Abbreviations used, with reference where appropriate.</a:t>
          </a:r>
        </a:p>
        <a:p>
          <a:r>
            <a:rPr lang="en-US" sz="1100">
              <a:solidFill>
                <a:schemeClr val="tx1"/>
              </a:solidFill>
              <a:effectLst/>
              <a:latin typeface="+mn-lt"/>
              <a:ea typeface="+mn-ea"/>
              <a:cs typeface="+mn-cs"/>
            </a:rPr>
            <a:t>7Q10 - the 7-day low streamflow which has a 10% chance</a:t>
          </a:r>
          <a:r>
            <a:rPr lang="en-US" sz="1100" baseline="0">
              <a:solidFill>
                <a:schemeClr val="tx1"/>
              </a:solidFill>
              <a:effectLst/>
              <a:latin typeface="+mn-lt"/>
              <a:ea typeface="+mn-ea"/>
              <a:cs typeface="+mn-cs"/>
            </a:rPr>
            <a:t> of occuring in a given year</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BSDW - Bureau of Safe Drinking Water, NJDEP</a:t>
          </a:r>
        </a:p>
        <a:p>
          <a:r>
            <a:rPr lang="en-US" sz="1100">
              <a:solidFill>
                <a:schemeClr val="tx1"/>
              </a:solidFill>
              <a:effectLst/>
              <a:latin typeface="+mn-lt"/>
              <a:ea typeface="+mn-ea"/>
              <a:cs typeface="+mn-cs"/>
            </a:rPr>
            <a:t>BWAWP - Bureau of Water Allocation and Well Permitting, NJDEP</a:t>
          </a:r>
        </a:p>
        <a:p>
          <a:r>
            <a:rPr lang="en-US" sz="1100">
              <a:solidFill>
                <a:schemeClr val="tx1"/>
              </a:solidFill>
              <a:effectLst/>
              <a:latin typeface="+mn-lt"/>
              <a:ea typeface="+mn-ea"/>
              <a:cs typeface="+mn-cs"/>
            </a:rPr>
            <a:t>D/C - depletive and consumptive water loss</a:t>
          </a:r>
        </a:p>
        <a:p>
          <a:r>
            <a:rPr lang="en-US" sz="1100">
              <a:solidFill>
                <a:schemeClr val="tx1"/>
              </a:solidFill>
              <a:effectLst/>
              <a:latin typeface="+mn-lt"/>
              <a:ea typeface="+mn-ea"/>
              <a:cs typeface="+mn-cs"/>
            </a:rPr>
            <a:t>DSRT - Division of Science, Research and Technology, NJDEP</a:t>
          </a:r>
        </a:p>
        <a:p>
          <a:r>
            <a:rPr lang="en-US" sz="1100">
              <a:solidFill>
                <a:schemeClr val="tx1"/>
              </a:solidFill>
              <a:effectLst/>
              <a:latin typeface="+mn-lt"/>
              <a:ea typeface="+mn-ea"/>
              <a:cs typeface="+mn-cs"/>
            </a:rPr>
            <a:t>DWM - Division of Watershed Management, NJDEP</a:t>
          </a:r>
        </a:p>
        <a:p>
          <a:r>
            <a:rPr lang="en-US" sz="1100">
              <a:solidFill>
                <a:schemeClr val="tx1"/>
              </a:solidFill>
              <a:effectLst/>
              <a:latin typeface="+mn-lt"/>
              <a:ea typeface="+mn-ea"/>
              <a:cs typeface="+mn-cs"/>
            </a:rPr>
            <a:t>DWQ – Division of Water Quality, NJDEP</a:t>
          </a:r>
        </a:p>
        <a:p>
          <a:r>
            <a:rPr lang="en-US" sz="1100">
              <a:solidFill>
                <a:schemeClr val="tx1"/>
              </a:solidFill>
              <a:effectLst/>
              <a:latin typeface="+mn-lt"/>
              <a:ea typeface="+mn-ea"/>
              <a:cs typeface="+mn-cs"/>
            </a:rPr>
            <a:t>DWSG - Division of Water Supply and Geosciences, NJDEP</a:t>
          </a:r>
        </a:p>
        <a:p>
          <a:r>
            <a:rPr lang="en-US" sz="1100">
              <a:solidFill>
                <a:schemeClr val="tx1"/>
              </a:solidFill>
              <a:effectLst/>
              <a:latin typeface="+mn-lt"/>
              <a:ea typeface="+mn-ea"/>
              <a:cs typeface="+mn-cs"/>
            </a:rPr>
            <a:t>GIS - geographic information system</a:t>
          </a:r>
        </a:p>
        <a:p>
          <a:r>
            <a:rPr lang="en-US" sz="1100">
              <a:solidFill>
                <a:schemeClr val="tx1"/>
              </a:solidFill>
              <a:effectLst/>
              <a:latin typeface="+mn-lt"/>
              <a:ea typeface="+mn-ea"/>
              <a:cs typeface="+mn-cs"/>
            </a:rPr>
            <a:t>GPS - global positioning system</a:t>
          </a:r>
        </a:p>
        <a:p>
          <a:r>
            <a:rPr lang="en-US" sz="1100">
              <a:solidFill>
                <a:schemeClr val="tx1"/>
              </a:solidFill>
              <a:effectLst/>
              <a:latin typeface="+mn-lt"/>
              <a:ea typeface="+mn-ea"/>
              <a:cs typeface="+mn-cs"/>
            </a:rPr>
            <a:t>HUC - hydrologic unit code (HUC14, HU11) (see Ellis and Price, 1995)</a:t>
          </a:r>
        </a:p>
        <a:p>
          <a:r>
            <a:rPr lang="en-US" sz="1100">
              <a:solidFill>
                <a:schemeClr val="tx1"/>
              </a:solidFill>
              <a:effectLst/>
              <a:latin typeface="+mn-lt"/>
              <a:ea typeface="+mn-ea"/>
              <a:cs typeface="+mn-cs"/>
            </a:rPr>
            <a:t>LFM-</a:t>
          </a:r>
          <a:r>
            <a:rPr lang="en-US" sz="1100" baseline="0">
              <a:solidFill>
                <a:schemeClr val="tx1"/>
              </a:solidFill>
              <a:effectLst/>
              <a:latin typeface="+mn-lt"/>
              <a:ea typeface="+mn-ea"/>
              <a:cs typeface="+mn-cs"/>
            </a:rPr>
            <a:t> low flow margin  (see Domber and others, 2013)</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mgd - million gallons per day</a:t>
          </a:r>
        </a:p>
        <a:p>
          <a:r>
            <a:rPr lang="en-US" sz="1100">
              <a:solidFill>
                <a:schemeClr val="tx1"/>
              </a:solidFill>
              <a:effectLst/>
              <a:latin typeface="+mn-lt"/>
              <a:ea typeface="+mn-ea"/>
              <a:cs typeface="+mn-cs"/>
            </a:rPr>
            <a:t>N.J.A.C. - New Jersey Administrative Code</a:t>
          </a:r>
        </a:p>
        <a:p>
          <a:r>
            <a:rPr lang="en-US" sz="1100">
              <a:solidFill>
                <a:schemeClr val="tx1"/>
              </a:solidFill>
              <a:effectLst/>
              <a:latin typeface="+mn-lt"/>
              <a:ea typeface="+mn-ea"/>
              <a:cs typeface="+mn-cs"/>
            </a:rPr>
            <a:t>NJDEP - New Jersey Department of Environmental Protection</a:t>
          </a:r>
        </a:p>
        <a:p>
          <a:r>
            <a:rPr lang="en-US" sz="1100">
              <a:solidFill>
                <a:schemeClr val="tx1"/>
              </a:solidFill>
              <a:effectLst/>
              <a:latin typeface="+mn-lt"/>
              <a:ea typeface="+mn-ea"/>
              <a:cs typeface="+mn-cs"/>
            </a:rPr>
            <a:t>NJEMS - New Jersey Environmental Management System</a:t>
          </a:r>
        </a:p>
        <a:p>
          <a:r>
            <a:rPr lang="en-US" sz="1100">
              <a:solidFill>
                <a:schemeClr val="tx1"/>
              </a:solidFill>
              <a:effectLst/>
              <a:latin typeface="+mn-lt"/>
              <a:ea typeface="+mn-ea"/>
              <a:cs typeface="+mn-cs"/>
            </a:rPr>
            <a:t>NJGS - New Jersey Geological Survey, NJDEP </a:t>
          </a:r>
        </a:p>
        <a:p>
          <a:r>
            <a:rPr lang="en-US" sz="1100">
              <a:solidFill>
                <a:schemeClr val="tx1"/>
              </a:solidFill>
              <a:effectLst/>
              <a:latin typeface="+mn-lt"/>
              <a:ea typeface="+mn-ea"/>
              <a:cs typeface="+mn-cs"/>
            </a:rPr>
            <a:t>NJGWS - New Jersey Geological and Water Survey, NJDEP</a:t>
          </a:r>
        </a:p>
        <a:p>
          <a:r>
            <a:rPr lang="en-US" sz="1100">
              <a:solidFill>
                <a:schemeClr val="tx1"/>
              </a:solidFill>
              <a:effectLst/>
              <a:latin typeface="+mn-lt"/>
              <a:ea typeface="+mn-ea"/>
              <a:cs typeface="+mn-cs"/>
            </a:rPr>
            <a:t>NJPDES - New Jersey Pollution Discharge Elimination System, NJDEP </a:t>
          </a:r>
        </a:p>
        <a:p>
          <a:r>
            <a:rPr lang="en-US" sz="1100">
              <a:solidFill>
                <a:schemeClr val="tx1"/>
              </a:solidFill>
              <a:effectLst/>
              <a:latin typeface="+mn-lt"/>
              <a:ea typeface="+mn-ea"/>
              <a:cs typeface="+mn-cs"/>
            </a:rPr>
            <a:t>NJWaTr - New Jersey Water Tracking Data System (see Tessler, 2004)</a:t>
          </a:r>
        </a:p>
        <a:p>
          <a:r>
            <a:rPr lang="en-US" sz="1100">
              <a:solidFill>
                <a:schemeClr val="tx1"/>
              </a:solidFill>
              <a:effectLst/>
              <a:latin typeface="+mn-lt"/>
              <a:ea typeface="+mn-ea"/>
              <a:cs typeface="+mn-cs"/>
            </a:rPr>
            <a:t>STP - sewage treatment plant</a:t>
          </a:r>
        </a:p>
        <a:p>
          <a:r>
            <a:rPr lang="en-US" sz="1100">
              <a:solidFill>
                <a:schemeClr val="tx1"/>
              </a:solidFill>
              <a:effectLst/>
              <a:latin typeface="+mn-lt"/>
              <a:ea typeface="+mn-ea"/>
              <a:cs typeface="+mn-cs"/>
            </a:rPr>
            <a:t>USGS - United States Geological Survey</a:t>
          </a:r>
        </a:p>
        <a:p>
          <a:r>
            <a:rPr lang="en-US" sz="1100">
              <a:solidFill>
                <a:schemeClr val="tx1"/>
              </a:solidFill>
              <a:effectLst/>
              <a:latin typeface="+mn-lt"/>
              <a:ea typeface="+mn-ea"/>
              <a:cs typeface="+mn-cs"/>
            </a:rPr>
            <a:t>WMA - watershed management area (see Cohen, 1997)</a:t>
          </a:r>
        </a:p>
        <a:p>
          <a:r>
            <a:rPr lang="en-US" sz="1100">
              <a:solidFill>
                <a:schemeClr val="tx1"/>
              </a:solidFill>
              <a:effectLst/>
              <a:latin typeface="+mn-lt"/>
              <a:ea typeface="+mn-ea"/>
              <a:cs typeface="+mn-cs"/>
            </a:rPr>
            <a:t>WR - water region (see Cohen, 1997)</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8.  REFERENCES</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Coast Survey Ltd., 1986, NJDEP head of tide points for watercourses of New Jersey: spatial data set on file with the NJDEP Geographic Information System's web page, http://www.nj.gov/dep/gis/.</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Cohen, S. , 1997, Draft statewide watershed management framework document for the State of New Jersey: N.J. Department of Environmental Protection, Office of Environmental Planning, Trenton, N.J., 78 p., available at http://www.nj.gov/dep/watershedrestoration/publications.html.</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Domber, S.E., Snook, I.P., and Hoffman, J.L, 2013, Using the stream stream low flow margin method to assess water availability in New Jersey’s water-table aquifer systems: N.J. Geological and Water Survey Technical Memorandum 13-3, 76 p., available at: </a:t>
          </a:r>
        </a:p>
        <a:p>
          <a:r>
            <a:rPr lang="en-US" sz="1100">
              <a:solidFill>
                <a:schemeClr val="tx1"/>
              </a:solidFill>
              <a:effectLst/>
              <a:latin typeface="+mn-lt"/>
              <a:ea typeface="+mn-ea"/>
              <a:cs typeface="+mn-cs"/>
            </a:rPr>
            <a:t>http://www.njgeology.org/pricelst/tmemo/tm13-3.pdf</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Ellis, W.H. and Price, C.V., 1995, Development of a 14-digit hydrologic coding scheme and boundary data set for New Jersey: U.S. Geological Survey Water-Resource Investigations Report 95-4134, 1 plate, scale 1:250,000, available at </a:t>
          </a:r>
          <a:r>
            <a:rPr lang="en-US" sz="1100" u="none">
              <a:solidFill>
                <a:schemeClr val="tx1"/>
              </a:solidFill>
              <a:effectLst/>
              <a:latin typeface="+mn-lt"/>
              <a:ea typeface="+mn-ea"/>
              <a:cs typeface="+mn-cs"/>
            </a:rPr>
            <a:t>http://pubs.er.usgs.gov/publication/wri954134.</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Highlands Council, 2008, Highlands regional master plan: New Jersey Highlands Water Protection and Planning Council, Chester, NJ, 490 p., available at http://www.highlands.state.nj.us/njhighlands/master/index.html.</a:t>
          </a:r>
          <a:r>
            <a:rPr lang="en-US" sz="1100" u="sng">
              <a:solidFill>
                <a:schemeClr val="tx1"/>
              </a:solidFill>
              <a:effectLst/>
              <a:latin typeface="+mn-lt"/>
              <a:ea typeface="+mn-ea"/>
              <a:cs typeface="+mn-cs"/>
            </a:rPr>
            <a:t>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Hoffman, J.L and Domber, S.E., 2004, Potable water supplied in 1999 by New Jersey's Highlands: N.J. Geological Survey technical report, 8 p., available at http://www.njgeology.org/enviroed/freedwn/highpotwater.pdf.</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Hoffman, J.L. and Lieberman, S.E., 2000, New Jersey water withdrawals 1990-1996: N.J. Geological Survey Open-File Report OFR 00-1, 123 p., available at http://www.state.nj.us/dep/njgs/pricelst/ofreport/ofr00-1.pdf.</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Hoffman, J.L. and Rancan, R., 2009, The hydroecological integrity assessment process in New Jersey:  N.J. Geological Survey Technical Memorandum 09-3, 61 p., available at http://www.njgeology.org/pricelst/tmemo/tm09-3.pdf.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New Jersey Department of Environmental Protection, 1996, New Jersey coastline shapefile: spatial data set on file with the NJDEP Geographic Information Systems' web page, </a:t>
          </a:r>
          <a:r>
            <a:rPr lang="en-US" sz="1100" u="none">
              <a:solidFill>
                <a:schemeClr val="tx1"/>
              </a:solidFill>
              <a:effectLst/>
              <a:latin typeface="+mn-lt"/>
              <a:ea typeface="+mn-ea"/>
              <a:cs typeface="+mn-cs"/>
            </a:rPr>
            <a:t>http://www.nj.gov/dep/gis/.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Nawyn, J.P. and Clawges, R.M., 1995, Withdrawals of  ground water and surface water in New Jersey, 1989-90:  U.S. Geological Survey Open-File Report 95-324, West Trenton, NJ, 52 p., available at http://pubs.er.usgs.gov/publication/ofr95324.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New Jersey Geological Survey, 2010, New Jersey water transfer model withdrawal, use, and return data summaries: N.J. Geological Survey Digital Geodata Series DGS 10-3, set of five Microsoft Access 2000 databases, available at:  http://www.njgeology.org/geodata/dgs10-3.htm.</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Pinelands Commission, 2012, Pinelands comprehensive management plan: State of New Jersey, Pinelands commission, New Lisbon, NJ,  269 p., available at  http://www.state.nj.us/pinelands/cmp/CMP.pdf.</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Seaber, P.R., Kapinos, F.P., and Knapp, G.L., 1987, Hydrologic unit maps: U.S. Geological Survey Water-Supply Paper 2294, 63 p., available at http://pubs.usgs.gov/wsp/wsp2294/.</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Snook, I.P., Domber, S.D. , and Hoffman, J.L., 2013, Computer workbook summarizing New Jersey withdrawals and discharges on a HUC11 basis, 1990-2009: New Jersey Geological and Water Survey Digital Geological Data Series DGS 13-1, Trenton, NJ, available at</a:t>
          </a:r>
        </a:p>
        <a:p>
          <a:r>
            <a:rPr lang="en-US" sz="1100">
              <a:solidFill>
                <a:schemeClr val="tx1"/>
              </a:solidFill>
              <a:effectLst/>
              <a:latin typeface="+mn-lt"/>
              <a:ea typeface="+mn-ea"/>
              <a:cs typeface="+mn-cs"/>
            </a:rPr>
            <a:t>http://www.njgeology.org/geodata/dgs13-1.htm.</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Tessler, Steven, 2004, Data model and relational database design for the New Jersey water-transfer data system (NJWaTr): U.S. Geological Survey Open-File Report 03-0197, one CD-ROM, available online at http://pubs.usgs.gov/of/2003/ofr03197/.</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U.S. Geological Survey and U.S. Department of Agriculture, Natural Resources Conservation Service, 2013, Federal Standards and Procedures for the National Watershed Boundary Dataset (WBD) (4</a:t>
          </a:r>
          <a:r>
            <a:rPr lang="en-US" sz="1100" baseline="30000">
              <a:solidFill>
                <a:schemeClr val="tx1"/>
              </a:solidFill>
              <a:effectLst/>
              <a:latin typeface="+mn-lt"/>
              <a:ea typeface="+mn-ea"/>
              <a:cs typeface="+mn-cs"/>
            </a:rPr>
            <a:t>th</a:t>
          </a:r>
          <a:r>
            <a:rPr lang="en-US" sz="1100">
              <a:solidFill>
                <a:schemeClr val="tx1"/>
              </a:solidFill>
              <a:effectLst/>
              <a:latin typeface="+mn-lt"/>
              <a:ea typeface="+mn-ea"/>
              <a:cs typeface="+mn-cs"/>
            </a:rPr>
            <a:t> ed.): Techniques and Methods 11–A3, 63 p., available at http://pubs.usgs.gov/tm/11/a3/.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note: all links active </a:t>
          </a:r>
          <a:r>
            <a:rPr lang="en-US" sz="1100" baseline="0">
              <a:solidFill>
                <a:schemeClr val="tx1"/>
              </a:solidFill>
              <a:effectLst/>
              <a:latin typeface="+mn-lt"/>
              <a:ea typeface="+mn-ea"/>
              <a:cs typeface="+mn-cs"/>
            </a:rPr>
            <a:t> March 2014</a:t>
          </a:r>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 </a:t>
          </a:r>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9.  EPIGRAM</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Civilization has been a permanent dialogue between human beings and water. </a:t>
          </a:r>
        </a:p>
        <a:p>
          <a:r>
            <a:rPr lang="en-US" sz="1100" b="1" i="1">
              <a:solidFill>
                <a:schemeClr val="tx1"/>
              </a:solidFill>
              <a:effectLst/>
              <a:latin typeface="+mn-lt"/>
              <a:ea typeface="+mn-ea"/>
              <a:cs typeface="+mn-cs"/>
            </a:rPr>
            <a:t> </a:t>
          </a:r>
          <a:r>
            <a:rPr lang="en-US" sz="1100" i="1">
              <a:solidFill>
                <a:schemeClr val="tx1"/>
              </a:solidFill>
              <a:effectLst/>
              <a:latin typeface="+mn-lt"/>
              <a:ea typeface="+mn-ea"/>
              <a:cs typeface="+mn-cs"/>
            </a:rPr>
            <a:t>- </a:t>
          </a:r>
          <a:r>
            <a:rPr lang="en-US" sz="1100">
              <a:solidFill>
                <a:schemeClr val="tx1"/>
              </a:solidFill>
              <a:effectLst/>
              <a:latin typeface="+mn-lt"/>
              <a:ea typeface="+mn-ea"/>
              <a:cs typeface="+mn-cs"/>
            </a:rPr>
            <a:t>Paolo Lugari</a:t>
          </a:r>
        </a:p>
        <a:p>
          <a:endParaRPr lang="en-US" sz="1100">
            <a:solidFill>
              <a:schemeClr val="tx1"/>
            </a:solidFill>
            <a:effectLst/>
            <a:latin typeface="+mn-lt"/>
            <a:ea typeface="+mn-ea"/>
            <a:cs typeface="+mn-cs"/>
          </a:endParaRPr>
        </a:p>
        <a:p>
          <a:endParaRPr lang="en-US" sz="1100"/>
        </a:p>
      </xdr:txBody>
    </xdr:sp>
    <xdr:clientData/>
  </xdr:oneCellAnchor>
  <xdr:twoCellAnchor editAs="oneCell">
    <xdr:from>
      <xdr:col>0</xdr:col>
      <xdr:colOff>114300</xdr:colOff>
      <xdr:row>486</xdr:row>
      <xdr:rowOff>114300</xdr:rowOff>
    </xdr:from>
    <xdr:to>
      <xdr:col>4</xdr:col>
      <xdr:colOff>196687</xdr:colOff>
      <xdr:row>504</xdr:row>
      <xdr:rowOff>34290</xdr:rowOff>
    </xdr:to>
    <xdr:pic>
      <xdr:nvPicPr>
        <xdr:cNvPr id="10" name="Picture 3" descr="DEP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79381350"/>
          <a:ext cx="2520787" cy="2834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438150</xdr:colOff>
      <xdr:row>488</xdr:row>
      <xdr:rowOff>57150</xdr:rowOff>
    </xdr:from>
    <xdr:to>
      <xdr:col>8</xdr:col>
      <xdr:colOff>196523</xdr:colOff>
      <xdr:row>501</xdr:row>
      <xdr:rowOff>133350</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76550" y="79648050"/>
          <a:ext cx="2196773" cy="21812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22</xdr:col>
      <xdr:colOff>342900</xdr:colOff>
      <xdr:row>69</xdr:row>
      <xdr:rowOff>187332</xdr:rowOff>
    </xdr:from>
    <xdr:to>
      <xdr:col>24</xdr:col>
      <xdr:colOff>758825</xdr:colOff>
      <xdr:row>82</xdr:row>
      <xdr:rowOff>79376</xdr:rowOff>
    </xdr:to>
    <xdr:pic>
      <xdr:nvPicPr>
        <xdr:cNvPr id="1027" name="Picture 3" descr="DEP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793200" y="16506832"/>
          <a:ext cx="2422525" cy="27241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15</xdr:col>
          <xdr:colOff>390525</xdr:colOff>
          <xdr:row>34</xdr:row>
          <xdr:rowOff>66675</xdr:rowOff>
        </xdr:from>
        <xdr:to>
          <xdr:col>16</xdr:col>
          <xdr:colOff>504825</xdr:colOff>
          <xdr:row>48</xdr:row>
          <xdr:rowOff>28575</xdr:rowOff>
        </xdr:to>
        <xdr:sp macro="" textlink="">
          <xdr:nvSpPr>
            <xdr:cNvPr id="1035" name="Spinner 11" hidden="1">
              <a:extLst>
                <a:ext uri="{63B3BB69-23CF-44E3-9099-C40C66FF867C}">
                  <a14:compatExt spid="_x0000_s1035"/>
                </a:ext>
              </a:extLst>
            </xdr:cNvPr>
            <xdr:cNvSpPr/>
          </xdr:nvSpPr>
          <xdr:spPr>
            <a:xfrm>
              <a:off x="0" y="0"/>
              <a:ext cx="0" cy="0"/>
            </a:xfrm>
            <a:prstGeom prst="rect">
              <a:avLst/>
            </a:prstGeom>
          </xdr:spPr>
        </xdr:sp>
        <xdr:clientData/>
      </xdr:twoCellAnchor>
    </mc:Choice>
    <mc:Fallback/>
  </mc:AlternateContent>
  <xdr:twoCellAnchor>
    <xdr:from>
      <xdr:col>15</xdr:col>
      <xdr:colOff>190500</xdr:colOff>
      <xdr:row>26</xdr:row>
      <xdr:rowOff>165100</xdr:rowOff>
    </xdr:from>
    <xdr:to>
      <xdr:col>20</xdr:col>
      <xdr:colOff>444500</xdr:colOff>
      <xdr:row>31</xdr:row>
      <xdr:rowOff>38100</xdr:rowOff>
    </xdr:to>
    <xdr:sp macro="" textlink="">
      <xdr:nvSpPr>
        <xdr:cNvPr id="3" name="TextBox 2"/>
        <xdr:cNvSpPr txBox="1"/>
      </xdr:nvSpPr>
      <xdr:spPr>
        <a:xfrm>
          <a:off x="15113000" y="6083300"/>
          <a:ext cx="4724400" cy="160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600">
              <a:latin typeface="Arial" pitchFamily="34" charset="0"/>
              <a:cs typeface="Arial" pitchFamily="34" charset="0"/>
            </a:rPr>
            <a:t>Use the button</a:t>
          </a:r>
          <a:r>
            <a:rPr lang="en-US" sz="1600" baseline="0">
              <a:latin typeface="Arial" pitchFamily="34" charset="0"/>
              <a:cs typeface="Arial" pitchFamily="34" charset="0"/>
            </a:rPr>
            <a:t> below to raise or lower the percentage of the Low Flow Margin (LFM) allowed to be lost to depletive and conspumptive uses.</a:t>
          </a:r>
        </a:p>
        <a:p>
          <a:pPr algn="l"/>
          <a:r>
            <a:rPr lang="en-US" sz="1600" baseline="0">
              <a:latin typeface="Arial" pitchFamily="34" charset="0"/>
              <a:cs typeface="Arial" pitchFamily="34" charset="0"/>
            </a:rPr>
            <a:t>As more of the LFM is allowed to be lost the more water is available in each HUC11 to support current and future water uses. </a:t>
          </a:r>
          <a:endParaRPr lang="en-US" sz="1600">
            <a:latin typeface="Arial" pitchFamily="34" charset="0"/>
            <a:cs typeface="Arial" pitchFamily="34" charset="0"/>
          </a:endParaRPr>
        </a:p>
      </xdr:txBody>
    </xdr:sp>
    <xdr:clientData/>
  </xdr:twoCellAnchor>
  <xdr:twoCellAnchor>
    <xdr:from>
      <xdr:col>15</xdr:col>
      <xdr:colOff>127000</xdr:colOff>
      <xdr:row>1</xdr:row>
      <xdr:rowOff>114300</xdr:rowOff>
    </xdr:from>
    <xdr:to>
      <xdr:col>17</xdr:col>
      <xdr:colOff>101600</xdr:colOff>
      <xdr:row>4</xdr:row>
      <xdr:rowOff>266700</xdr:rowOff>
    </xdr:to>
    <xdr:sp macro="" textlink="">
      <xdr:nvSpPr>
        <xdr:cNvPr id="5" name="TextBox 4"/>
        <xdr:cNvSpPr txBox="1"/>
      </xdr:nvSpPr>
      <xdr:spPr>
        <a:xfrm>
          <a:off x="15240000" y="215900"/>
          <a:ext cx="1790700" cy="1028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i="1">
              <a:latin typeface="Arial" pitchFamily="34" charset="0"/>
              <a:cs typeface="Arial" pitchFamily="34" charset="0"/>
            </a:rPr>
            <a:t>Click this box and select the WMA of interest.</a:t>
          </a:r>
        </a:p>
      </xdr:txBody>
    </xdr:sp>
    <xdr:clientData/>
  </xdr:twoCellAnchor>
  <xdr:twoCellAnchor>
    <xdr:from>
      <xdr:col>14</xdr:col>
      <xdr:colOff>63500</xdr:colOff>
      <xdr:row>2</xdr:row>
      <xdr:rowOff>127000</xdr:rowOff>
    </xdr:from>
    <xdr:to>
      <xdr:col>15</xdr:col>
      <xdr:colOff>114300</xdr:colOff>
      <xdr:row>2</xdr:row>
      <xdr:rowOff>139700</xdr:rowOff>
    </xdr:to>
    <xdr:cxnSp macro="">
      <xdr:nvCxnSpPr>
        <xdr:cNvPr id="7" name="Straight Arrow Connector 6"/>
        <xdr:cNvCxnSpPr/>
      </xdr:nvCxnSpPr>
      <xdr:spPr>
        <a:xfrm flipH="1">
          <a:off x="14312900" y="558800"/>
          <a:ext cx="914400" cy="12700"/>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571500</xdr:colOff>
      <xdr:row>31</xdr:row>
      <xdr:rowOff>47625</xdr:rowOff>
    </xdr:from>
    <xdr:to>
      <xdr:col>17</xdr:col>
      <xdr:colOff>412751</xdr:colOff>
      <xdr:row>34</xdr:row>
      <xdr:rowOff>28575</xdr:rowOff>
    </xdr:to>
    <xdr:cxnSp macro="">
      <xdr:nvCxnSpPr>
        <xdr:cNvPr id="9" name="Straight Arrow Connector 8"/>
        <xdr:cNvCxnSpPr/>
      </xdr:nvCxnSpPr>
      <xdr:spPr>
        <a:xfrm flipH="1">
          <a:off x="16754475" y="7439025"/>
          <a:ext cx="850901" cy="581025"/>
        </a:xfrm>
        <a:prstGeom prst="straightConnector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22</xdr:col>
      <xdr:colOff>520701</xdr:colOff>
      <xdr:row>83</xdr:row>
      <xdr:rowOff>14742</xdr:rowOff>
    </xdr:from>
    <xdr:to>
      <xdr:col>24</xdr:col>
      <xdr:colOff>596900</xdr:colOff>
      <xdr:row>93</xdr:row>
      <xdr:rowOff>50800</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237701" y="18632942"/>
          <a:ext cx="2082799" cy="206805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7:AF272"/>
  <sheetViews>
    <sheetView tabSelected="1" topLeftCell="A9" zoomScaleNormal="100" workbookViewId="0">
      <selection activeCell="B9" sqref="B9"/>
    </sheetView>
  </sheetViews>
  <sheetFormatPr defaultRowHeight="12.75" x14ac:dyDescent="0.2"/>
  <cols>
    <col min="1" max="16384" width="9.140625" style="217"/>
  </cols>
  <sheetData>
    <row r="7" spans="13:13" x14ac:dyDescent="0.2">
      <c r="M7" s="226"/>
    </row>
    <row r="67" spans="11:11" ht="15" x14ac:dyDescent="0.25">
      <c r="K67" s="216"/>
    </row>
    <row r="68" spans="11:11" ht="15" x14ac:dyDescent="0.25">
      <c r="K68" s="216"/>
    </row>
    <row r="69" spans="11:11" ht="15" x14ac:dyDescent="0.25">
      <c r="K69" s="216"/>
    </row>
    <row r="70" spans="11:11" ht="15" x14ac:dyDescent="0.25">
      <c r="K70" s="216"/>
    </row>
    <row r="71" spans="11:11" x14ac:dyDescent="0.2">
      <c r="K71" s="218"/>
    </row>
    <row r="72" spans="11:11" x14ac:dyDescent="0.2">
      <c r="K72" s="218"/>
    </row>
    <row r="73" spans="11:11" x14ac:dyDescent="0.2">
      <c r="K73" s="219"/>
    </row>
    <row r="246" spans="14:32" ht="15" x14ac:dyDescent="0.25">
      <c r="N246" s="220"/>
    </row>
    <row r="247" spans="14:32" ht="15" x14ac:dyDescent="0.25">
      <c r="O247" s="220"/>
    </row>
    <row r="248" spans="14:32" ht="15" x14ac:dyDescent="0.25">
      <c r="O248" s="220"/>
      <c r="P248" s="220"/>
    </row>
    <row r="249" spans="14:32" ht="15" x14ac:dyDescent="0.25">
      <c r="O249" s="220"/>
    </row>
    <row r="250" spans="14:32" ht="15" x14ac:dyDescent="0.25">
      <c r="O250" s="220"/>
      <c r="P250" s="220"/>
      <c r="Q250" s="220"/>
      <c r="R250" s="220"/>
      <c r="S250" s="220"/>
      <c r="T250" s="220"/>
      <c r="U250" s="220"/>
      <c r="V250" s="220"/>
      <c r="W250" s="220"/>
      <c r="X250" s="220"/>
      <c r="Y250" s="220"/>
      <c r="Z250" s="220"/>
      <c r="AA250" s="220"/>
      <c r="AB250" s="220"/>
      <c r="AC250" s="220"/>
      <c r="AD250" s="220"/>
      <c r="AE250" s="220"/>
      <c r="AF250" s="220"/>
    </row>
    <row r="251" spans="14:32" ht="15" x14ac:dyDescent="0.25">
      <c r="O251" s="220"/>
    </row>
    <row r="252" spans="14:32" ht="15" x14ac:dyDescent="0.25">
      <c r="O252" s="220"/>
    </row>
    <row r="253" spans="14:32" ht="15" x14ac:dyDescent="0.25">
      <c r="O253" s="220"/>
    </row>
    <row r="254" spans="14:32" ht="15" x14ac:dyDescent="0.25">
      <c r="O254" s="220"/>
      <c r="P254" s="220"/>
    </row>
    <row r="255" spans="14:32" ht="15" x14ac:dyDescent="0.25">
      <c r="O255" s="220"/>
    </row>
    <row r="256" spans="14:32" ht="15" x14ac:dyDescent="0.25">
      <c r="O256" s="220"/>
    </row>
    <row r="257" spans="11:27" ht="15" x14ac:dyDescent="0.25">
      <c r="O257" s="220"/>
      <c r="P257" s="220"/>
    </row>
    <row r="266" spans="11:27" ht="15" x14ac:dyDescent="0.25">
      <c r="K266" s="216"/>
      <c r="M266" s="221"/>
      <c r="N266" s="221"/>
      <c r="O266" s="221"/>
      <c r="P266" s="221"/>
      <c r="Q266" s="221"/>
      <c r="R266" s="221"/>
      <c r="S266" s="221"/>
      <c r="T266" s="221"/>
      <c r="U266" s="221"/>
      <c r="V266" s="221"/>
      <c r="W266" s="221"/>
      <c r="X266" s="221"/>
      <c r="Y266" s="221"/>
      <c r="Z266" s="221"/>
      <c r="AA266" s="221"/>
    </row>
    <row r="267" spans="11:27" ht="15" x14ac:dyDescent="0.25">
      <c r="K267" s="216"/>
      <c r="M267" s="222"/>
      <c r="N267" s="223"/>
      <c r="O267" s="223"/>
      <c r="P267" s="223"/>
      <c r="Q267" s="223"/>
      <c r="R267" s="223"/>
      <c r="S267" s="223"/>
      <c r="T267" s="223"/>
      <c r="U267" s="223"/>
      <c r="V267" s="223"/>
      <c r="W267" s="223"/>
      <c r="X267" s="223"/>
      <c r="Y267" s="223"/>
      <c r="Z267" s="224"/>
    </row>
    <row r="268" spans="11:27" ht="15" x14ac:dyDescent="0.25">
      <c r="K268" s="216"/>
      <c r="M268" s="223"/>
      <c r="N268" s="223"/>
      <c r="O268" s="223"/>
      <c r="P268" s="223"/>
      <c r="Q268" s="223"/>
      <c r="R268" s="223"/>
      <c r="S268" s="223"/>
      <c r="T268" s="223"/>
      <c r="U268" s="223"/>
      <c r="V268" s="223"/>
      <c r="W268" s="223"/>
      <c r="X268" s="223"/>
      <c r="Y268" s="223"/>
      <c r="Z268" s="223"/>
      <c r="AA268" s="223"/>
    </row>
    <row r="269" spans="11:27" ht="15" x14ac:dyDescent="0.25">
      <c r="K269" s="216"/>
      <c r="L269" s="225"/>
    </row>
    <row r="270" spans="11:27" x14ac:dyDescent="0.2">
      <c r="K270" s="218"/>
    </row>
    <row r="271" spans="11:27" x14ac:dyDescent="0.2">
      <c r="K271" s="218"/>
    </row>
    <row r="272" spans="11:27" x14ac:dyDescent="0.2">
      <c r="K272" s="219"/>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AP131"/>
  <sheetViews>
    <sheetView zoomScale="75" zoomScaleNormal="75" workbookViewId="0">
      <selection activeCell="F3" sqref="F3"/>
    </sheetView>
  </sheetViews>
  <sheetFormatPr defaultRowHeight="15" x14ac:dyDescent="0.2"/>
  <cols>
    <col min="1" max="1" width="1.5703125" style="1" customWidth="1"/>
    <col min="2" max="2" width="6.7109375" style="1" customWidth="1"/>
    <col min="3" max="3" width="6.85546875" style="1" customWidth="1"/>
    <col min="4" max="4" width="17.42578125" style="1" customWidth="1"/>
    <col min="5" max="5" width="51.28515625" style="1" customWidth="1"/>
    <col min="6" max="6" width="13.140625" style="1" customWidth="1"/>
    <col min="7" max="7" width="15.28515625" style="1" customWidth="1"/>
    <col min="8" max="8" width="16.140625" style="1" customWidth="1"/>
    <col min="9" max="9" width="12" style="1" customWidth="1"/>
    <col min="10" max="10" width="16.28515625" style="1" customWidth="1"/>
    <col min="11" max="11" width="11.42578125" style="1" customWidth="1"/>
    <col min="12" max="12" width="11.85546875" style="1" customWidth="1"/>
    <col min="13" max="13" width="17.7109375" style="1" customWidth="1"/>
    <col min="14" max="14" width="16" style="1" customWidth="1"/>
    <col min="15" max="15" width="17" style="1" customWidth="1"/>
    <col min="16" max="16" width="12" style="1" customWidth="1"/>
    <col min="17" max="17" width="15.140625" style="1" customWidth="1"/>
    <col min="18" max="18" width="13.7109375" style="1" customWidth="1"/>
    <col min="19" max="19" width="11.85546875" style="1" customWidth="1"/>
    <col min="20" max="20" width="14.28515625" style="1" customWidth="1"/>
    <col min="21" max="21" width="15.140625" style="1" customWidth="1"/>
    <col min="22" max="22" width="12.7109375" style="1" customWidth="1"/>
    <col min="23" max="23" width="15.28515625" style="1" customWidth="1"/>
    <col min="24" max="24" width="14.85546875" style="1" customWidth="1"/>
    <col min="25" max="25" width="14.85546875" style="2" customWidth="1"/>
    <col min="26" max="26" width="3.85546875" style="2" customWidth="1"/>
    <col min="27" max="27" width="2.5703125" style="2" customWidth="1"/>
    <col min="28" max="28" width="8.28515625" style="2" customWidth="1"/>
    <col min="29" max="29" width="2.7109375" style="1" customWidth="1"/>
    <col min="30" max="30" width="2.42578125" style="2" customWidth="1"/>
    <col min="31" max="34" width="6.7109375" style="2" customWidth="1"/>
    <col min="35" max="35" width="1.140625" style="2" customWidth="1"/>
    <col min="36" max="36" width="1.85546875" style="2" customWidth="1"/>
    <col min="37" max="37" width="9.140625" style="2"/>
    <col min="38" max="16384" width="9.140625" style="1"/>
  </cols>
  <sheetData>
    <row r="1" spans="2:42" ht="7.5" customHeight="1" thickBot="1" x14ac:dyDescent="0.25">
      <c r="W1" s="2"/>
      <c r="X1" s="2"/>
    </row>
    <row r="2" spans="2:42" ht="26.25" customHeight="1" thickTop="1" thickBot="1" x14ac:dyDescent="0.35">
      <c r="B2" s="3"/>
      <c r="C2" s="4" t="str">
        <f>LookUp!B1</f>
        <v xml:space="preserve">HUC11 Water Availability Summary for WMA 1 </v>
      </c>
      <c r="D2" s="5"/>
      <c r="E2" s="5"/>
      <c r="F2" s="5"/>
      <c r="G2" s="5"/>
      <c r="H2" s="5"/>
      <c r="I2" s="5"/>
      <c r="J2" s="5"/>
      <c r="K2" s="5"/>
      <c r="L2" s="5"/>
      <c r="M2" s="5"/>
      <c r="N2" s="5"/>
      <c r="O2" s="5"/>
      <c r="P2" s="5"/>
      <c r="Q2" s="5"/>
      <c r="R2" s="5"/>
      <c r="S2" s="106"/>
      <c r="T2" s="167">
        <f>+U2/100</f>
        <v>0.25</v>
      </c>
      <c r="U2" s="168">
        <v>25</v>
      </c>
      <c r="V2" s="6"/>
      <c r="W2" s="6"/>
      <c r="X2" s="6"/>
      <c r="Y2" s="6"/>
      <c r="Z2" s="7"/>
      <c r="AA2" s="8"/>
      <c r="AB2" s="8"/>
      <c r="AC2" s="8"/>
    </row>
    <row r="3" spans="2:42" ht="26.25" customHeight="1" thickBot="1" x14ac:dyDescent="0.35">
      <c r="B3" s="9"/>
      <c r="C3" s="210"/>
      <c r="D3" s="214" t="str">
        <f>VLOOKUP(+LookUp!B5,LookUp!C5:D24,2,FALSE)</f>
        <v>Upper Delaware</v>
      </c>
      <c r="E3" s="2"/>
      <c r="F3" s="2"/>
      <c r="G3" s="2"/>
      <c r="H3" s="2"/>
      <c r="I3" s="340" t="s">
        <v>571</v>
      </c>
      <c r="J3" s="341"/>
      <c r="K3" s="341"/>
      <c r="L3" s="341"/>
      <c r="M3" s="341"/>
      <c r="N3" s="342"/>
      <c r="O3" s="2"/>
      <c r="P3" s="2"/>
      <c r="Q3" s="2"/>
      <c r="R3" s="2"/>
      <c r="S3" s="211"/>
      <c r="T3" s="212"/>
      <c r="U3" s="213"/>
      <c r="V3" s="8"/>
      <c r="W3" s="8"/>
      <c r="X3" s="8"/>
      <c r="Y3" s="8"/>
      <c r="Z3" s="27"/>
      <c r="AA3" s="8"/>
      <c r="AB3" s="8"/>
      <c r="AC3" s="8"/>
    </row>
    <row r="4" spans="2:42" ht="16.5" thickBot="1" x14ac:dyDescent="0.3">
      <c r="B4" s="9"/>
      <c r="C4" s="10" t="s">
        <v>565</v>
      </c>
      <c r="D4" s="2"/>
      <c r="E4" s="2"/>
      <c r="F4" s="2"/>
      <c r="G4" s="2"/>
      <c r="H4" s="2"/>
      <c r="I4" s="2"/>
      <c r="J4" s="2"/>
      <c r="K4" s="2"/>
      <c r="L4" s="2"/>
      <c r="M4" s="2"/>
      <c r="N4" s="2"/>
      <c r="O4" s="2"/>
      <c r="P4" s="2"/>
      <c r="Q4" s="2"/>
      <c r="R4" s="2"/>
      <c r="S4" s="2"/>
      <c r="T4" s="2"/>
      <c r="U4" s="2"/>
      <c r="V4" s="11"/>
      <c r="W4" s="11"/>
      <c r="X4" s="11"/>
      <c r="Y4" s="11"/>
      <c r="Z4" s="12"/>
      <c r="AA4" s="11"/>
      <c r="AB4" s="11"/>
      <c r="AC4" s="11"/>
      <c r="AE4" s="13"/>
      <c r="AF4" s="13"/>
      <c r="AG4" s="13"/>
      <c r="AH4" s="13"/>
      <c r="AI4" s="14"/>
    </row>
    <row r="5" spans="2:42" ht="48" thickBot="1" x14ac:dyDescent="0.3">
      <c r="B5" s="9"/>
      <c r="C5" s="204" t="s">
        <v>0</v>
      </c>
      <c r="D5" s="301" t="s">
        <v>1</v>
      </c>
      <c r="E5" s="302" t="s">
        <v>2</v>
      </c>
      <c r="F5" s="170" t="s">
        <v>3</v>
      </c>
      <c r="G5" s="303" t="s">
        <v>4</v>
      </c>
      <c r="H5" s="170" t="s">
        <v>5</v>
      </c>
      <c r="I5" s="170" t="s">
        <v>6</v>
      </c>
      <c r="J5" s="303" t="s">
        <v>7</v>
      </c>
      <c r="K5" s="170" t="s">
        <v>593</v>
      </c>
      <c r="L5" s="171" t="s">
        <v>557</v>
      </c>
      <c r="M5" s="171" t="s">
        <v>563</v>
      </c>
      <c r="N5" s="170" t="s">
        <v>591</v>
      </c>
      <c r="O5" s="170" t="s">
        <v>592</v>
      </c>
      <c r="P5" s="161"/>
      <c r="Q5" s="160"/>
      <c r="R5" s="162"/>
      <c r="S5" s="160"/>
      <c r="T5" s="160"/>
      <c r="U5" s="173"/>
      <c r="V5" s="173"/>
      <c r="W5" s="160"/>
      <c r="X5" s="339"/>
      <c r="Y5" s="339"/>
      <c r="Z5" s="15"/>
      <c r="AB5" s="11"/>
      <c r="AC5" s="11"/>
      <c r="AD5" s="11"/>
      <c r="AE5" s="11"/>
      <c r="AF5" s="11"/>
      <c r="AG5" s="11"/>
      <c r="AI5" s="13"/>
      <c r="AJ5" s="13"/>
      <c r="AK5" s="13"/>
      <c r="AL5" s="13"/>
      <c r="AM5" s="14"/>
      <c r="AN5" s="2"/>
      <c r="AO5" s="2"/>
    </row>
    <row r="6" spans="2:42" ht="15.75" customHeight="1" x14ac:dyDescent="0.2">
      <c r="B6" s="9"/>
      <c r="C6" s="26">
        <v>1</v>
      </c>
      <c r="D6" s="243" t="str">
        <f>INDEX(LookUp!$S$5:$AL$23,$C6,LookUp!$B$5)</f>
        <v>02040104090</v>
      </c>
      <c r="E6" s="244" t="str">
        <f>IF(D6="","",VLOOKUP(D6,LookUp!$M$5:$N$155,2,FALSE))</f>
        <v>Shimers Brook / Clove Brook</v>
      </c>
      <c r="F6" s="88">
        <f>IF($D6="","",VLOOKUP($D6,'HUC11 data'!$E$6:$K$156,3,FALSE))</f>
        <v>22.1494</v>
      </c>
      <c r="G6" s="127">
        <f>IF($D6="","",VLOOKUP($D6,'HUC11 data'!$E$6:$K$156,4,FALSE))</f>
        <v>22.14</v>
      </c>
      <c r="H6" s="88">
        <f>IF($D6="","",VLOOKUP($D6,'HUC11 data'!$E$6:$K$156,5,FALSE))</f>
        <v>5.52</v>
      </c>
      <c r="I6" s="88">
        <f>IF($D6="","",VLOOKUP($D6,'HUC11 data'!$E$6:$K$156,6,FALSE))</f>
        <v>1.7</v>
      </c>
      <c r="J6" s="127">
        <f>IF($D6="","",VLOOKUP($D6,'HUC11 data'!$E$6:$K$156,7,FALSE))</f>
        <v>3.82</v>
      </c>
      <c r="K6" s="231" t="str">
        <f>IF($D6="","",VLOOKUP($D6,'HUC11 data'!$E$6:$S$156,11,FALSE))</f>
        <v/>
      </c>
      <c r="L6" s="231" t="str">
        <f>IF($D6="","",VLOOKUP($D6,'HUC11 data'!$E$6:$S$156,12,FALSE))</f>
        <v/>
      </c>
      <c r="M6" s="231" t="str">
        <f>IF($D6="","",VLOOKUP($D6,'HUC11 data'!$E$6:$S$156,13,FALSE))</f>
        <v/>
      </c>
      <c r="N6" s="88" t="str">
        <f>IF($D6="","",VLOOKUP($D6,'HUC11 data'!$E$6:$S$156,14,FALSE))</f>
        <v/>
      </c>
      <c r="O6" s="88" t="str">
        <f>IF($D6="","",VLOOKUP($D6,'HUC11 data'!$E$6:$S$156,15,FALSE))</f>
        <v>Yes</v>
      </c>
      <c r="P6" s="151"/>
      <c r="Q6" s="156"/>
      <c r="R6" s="156"/>
      <c r="S6" s="130"/>
      <c r="T6" s="158"/>
      <c r="U6" s="166"/>
      <c r="V6" s="39"/>
      <c r="W6" s="154"/>
      <c r="X6" s="26"/>
      <c r="Y6" s="26"/>
      <c r="Z6" s="18"/>
      <c r="AB6" s="19"/>
      <c r="AC6" s="19"/>
      <c r="AD6" s="19"/>
      <c r="AE6" s="19"/>
      <c r="AF6" s="19"/>
      <c r="AG6" s="19"/>
      <c r="AI6" s="16"/>
      <c r="AJ6" s="16"/>
      <c r="AK6" s="16"/>
      <c r="AL6" s="20"/>
      <c r="AM6" s="20"/>
      <c r="AN6" s="2"/>
      <c r="AO6" s="2"/>
    </row>
    <row r="7" spans="2:42" ht="15.75" customHeight="1" x14ac:dyDescent="0.2">
      <c r="B7" s="9"/>
      <c r="C7" s="228">
        <v>2</v>
      </c>
      <c r="D7" s="245" t="str">
        <f>INDEX(LookUp!$S$5:$AL$23,$C7,LookUp!$B$5)</f>
        <v>02040104110</v>
      </c>
      <c r="E7" s="246" t="str">
        <f>IF(D7="","",VLOOKUP(D7,LookUp!$M$5:$N$155,2,FALSE))</f>
        <v>Walpack Bend / Montague Riverfront</v>
      </c>
      <c r="F7" s="117">
        <f>IF($D7="","",VLOOKUP($D7,'HUC11 data'!$E$6:$K$156,3,FALSE))</f>
        <v>16.070499999999999</v>
      </c>
      <c r="G7" s="128">
        <f>IF($D7="","",VLOOKUP($D7,'HUC11 data'!$E$6:$K$156,4,FALSE))</f>
        <v>16.07</v>
      </c>
      <c r="H7" s="117">
        <f>IF($D7="","",VLOOKUP($D7,'HUC11 data'!$E$6:$K$156,5,FALSE))</f>
        <v>2.96</v>
      </c>
      <c r="I7" s="117">
        <f>IF($D7="","",VLOOKUP($D7,'HUC11 data'!$E$6:$K$156,6,FALSE))</f>
        <v>0.77</v>
      </c>
      <c r="J7" s="128">
        <f>IF($D7="","",VLOOKUP($D7,'HUC11 data'!$E$6:$K$156,7,FALSE))</f>
        <v>2.19</v>
      </c>
      <c r="K7" s="117" t="str">
        <f>IF($D7="","",VLOOKUP($D7,'HUC11 data'!$E$6:$S$156,11,FALSE))</f>
        <v/>
      </c>
      <c r="L7" s="233" t="str">
        <f>IF($D7="","",VLOOKUP($D7,'HUC11 data'!$E$6:$S$156,12,FALSE))</f>
        <v/>
      </c>
      <c r="M7" s="233" t="str">
        <f>IF($D7="","",VLOOKUP($D7,'HUC11 data'!$E$6:$S$156,13,FALSE))</f>
        <v/>
      </c>
      <c r="N7" s="117" t="str">
        <f>IF($D7="","",VLOOKUP($D7,'HUC11 data'!$E$6:$S$156,14,FALSE))</f>
        <v/>
      </c>
      <c r="O7" s="117" t="str">
        <f>IF($D7="","",VLOOKUP($D7,'HUC11 data'!$E$6:$S$156,15,FALSE))</f>
        <v>Yes</v>
      </c>
      <c r="P7" s="151"/>
      <c r="Q7" s="156"/>
      <c r="R7" s="156"/>
      <c r="S7" s="130"/>
      <c r="T7" s="158"/>
      <c r="U7" s="166"/>
      <c r="V7" s="39"/>
      <c r="W7" s="154"/>
      <c r="X7" s="26"/>
      <c r="Y7" s="26"/>
      <c r="Z7" s="21"/>
      <c r="AB7" s="19"/>
      <c r="AC7" s="19"/>
      <c r="AD7" s="19"/>
      <c r="AE7" s="22"/>
      <c r="AF7" s="19"/>
      <c r="AG7" s="22"/>
      <c r="AI7" s="16"/>
      <c r="AJ7" s="16"/>
      <c r="AK7" s="16"/>
      <c r="AL7" s="20"/>
      <c r="AM7" s="20"/>
      <c r="AN7" s="2"/>
      <c r="AO7" s="2"/>
    </row>
    <row r="8" spans="2:42" ht="15.75" customHeight="1" x14ac:dyDescent="0.3">
      <c r="B8" s="9"/>
      <c r="C8" s="26">
        <v>3</v>
      </c>
      <c r="D8" s="243" t="str">
        <f>INDEX(LookUp!$S$5:$AL$23,$C8,LookUp!$B$5)</f>
        <v>02040104130</v>
      </c>
      <c r="E8" s="247" t="str">
        <f>IF(D8="","",VLOOKUP(D8,LookUp!$M$5:$N$155,2,FALSE))</f>
        <v>Little Flat Brook</v>
      </c>
      <c r="F8" s="88">
        <f>IF($D8="","",VLOOKUP($D8,'HUC11 data'!$E$6:$K$156,3,FALSE))</f>
        <v>16.768000000000001</v>
      </c>
      <c r="G8" s="127">
        <f>IF($D8="","",VLOOKUP($D8,'HUC11 data'!$E$6:$K$156,4,FALSE))</f>
        <v>16.760000000000002</v>
      </c>
      <c r="H8" s="88">
        <f>IF($D8="","",VLOOKUP($D8,'HUC11 data'!$E$6:$K$156,5,FALSE))</f>
        <v>3.09</v>
      </c>
      <c r="I8" s="88">
        <f>IF($D8="","",VLOOKUP($D8,'HUC11 data'!$E$6:$K$156,6,FALSE))</f>
        <v>0.8</v>
      </c>
      <c r="J8" s="127">
        <f>IF($D8="","",VLOOKUP($D8,'HUC11 data'!$E$6:$K$156,7,FALSE))</f>
        <v>2.29</v>
      </c>
      <c r="K8" s="88" t="str">
        <f>IF($D8="","",VLOOKUP($D8,'HUC11 data'!$E$6:$S$156,11,FALSE))</f>
        <v/>
      </c>
      <c r="L8" s="231" t="str">
        <f>IF($D8="","",VLOOKUP($D8,'HUC11 data'!$E$6:$S$156,12,FALSE))</f>
        <v/>
      </c>
      <c r="M8" s="231" t="str">
        <f>IF($D8="","",VLOOKUP($D8,'HUC11 data'!$E$6:$S$156,13,FALSE))</f>
        <v/>
      </c>
      <c r="N8" s="88" t="str">
        <f>IF($D8="","",VLOOKUP($D8,'HUC11 data'!$E$6:$S$156,14,FALSE))</f>
        <v/>
      </c>
      <c r="O8" s="88" t="str">
        <f>IF($D8="","",VLOOKUP($D8,'HUC11 data'!$E$6:$S$156,15,FALSE))</f>
        <v>Yes</v>
      </c>
      <c r="P8" s="151"/>
      <c r="Q8" s="156"/>
      <c r="R8" s="156"/>
      <c r="S8" s="209"/>
      <c r="T8" s="158"/>
      <c r="U8" s="166"/>
      <c r="V8" s="39"/>
      <c r="W8" s="154"/>
      <c r="X8" s="26"/>
      <c r="Y8" s="26"/>
      <c r="Z8" s="23"/>
      <c r="AB8" s="19"/>
      <c r="AC8" s="19"/>
      <c r="AD8" s="19"/>
      <c r="AE8" s="22"/>
      <c r="AF8" s="19"/>
      <c r="AG8" s="22"/>
      <c r="AI8" s="16"/>
      <c r="AJ8" s="16"/>
      <c r="AK8" s="16"/>
      <c r="AL8" s="20"/>
      <c r="AM8" s="20"/>
      <c r="AN8" s="2"/>
      <c r="AO8" s="2"/>
    </row>
    <row r="9" spans="2:42" ht="15.75" customHeight="1" x14ac:dyDescent="0.2">
      <c r="B9" s="9"/>
      <c r="C9" s="228">
        <v>4</v>
      </c>
      <c r="D9" s="245" t="str">
        <f>INDEX(LookUp!$S$5:$AL$23,$C9,LookUp!$B$5)</f>
        <v>02040104140</v>
      </c>
      <c r="E9" s="246" t="str">
        <f>IF(D9="","",VLOOKUP(D9,LookUp!$M$5:$N$155,2,FALSE))</f>
        <v>Big Flat Brook</v>
      </c>
      <c r="F9" s="117">
        <f>IF($D9="","",VLOOKUP($D9,'HUC11 data'!$E$6:$K$156,3,FALSE))</f>
        <v>32.557600000000001</v>
      </c>
      <c r="G9" s="128">
        <f>IF($D9="","",VLOOKUP($D9,'HUC11 data'!$E$6:$K$156,4,FALSE))</f>
        <v>32.549999999999997</v>
      </c>
      <c r="H9" s="117">
        <f>IF($D9="","",VLOOKUP($D9,'HUC11 data'!$E$6:$K$156,5,FALSE))</f>
        <v>5.85</v>
      </c>
      <c r="I9" s="117">
        <f>IF($D9="","",VLOOKUP($D9,'HUC11 data'!$E$6:$K$156,6,FALSE))</f>
        <v>1.57</v>
      </c>
      <c r="J9" s="128">
        <f>IF($D9="","",VLOOKUP($D9,'HUC11 data'!$E$6:$K$156,7,FALSE))</f>
        <v>4.28</v>
      </c>
      <c r="K9" s="117" t="str">
        <f>IF($D9="","",VLOOKUP($D9,'HUC11 data'!$E$6:$S$156,11,FALSE))</f>
        <v/>
      </c>
      <c r="L9" s="233" t="str">
        <f>IF($D9="","",VLOOKUP($D9,'HUC11 data'!$E$6:$S$156,12,FALSE))</f>
        <v/>
      </c>
      <c r="M9" s="233" t="str">
        <f>IF($D9="","",VLOOKUP($D9,'HUC11 data'!$E$6:$S$156,13,FALSE))</f>
        <v/>
      </c>
      <c r="N9" s="117" t="str">
        <f>IF($D9="","",VLOOKUP($D9,'HUC11 data'!$E$6:$S$156,14,FALSE))</f>
        <v/>
      </c>
      <c r="O9" s="117" t="str">
        <f>IF($D9="","",VLOOKUP($D9,'HUC11 data'!$E$6:$S$156,15,FALSE))</f>
        <v>Yes</v>
      </c>
      <c r="P9" s="151"/>
      <c r="Q9" s="156"/>
      <c r="R9" s="156"/>
      <c r="S9" s="130"/>
      <c r="T9" s="158"/>
      <c r="U9" s="166"/>
      <c r="V9" s="39"/>
      <c r="W9" s="154"/>
      <c r="X9" s="26"/>
      <c r="Y9" s="26"/>
      <c r="Z9" s="23"/>
      <c r="AB9" s="19"/>
      <c r="AC9" s="19"/>
      <c r="AD9" s="19"/>
      <c r="AE9" s="22"/>
      <c r="AF9" s="19"/>
      <c r="AG9" s="22"/>
      <c r="AI9" s="16"/>
      <c r="AJ9" s="16"/>
      <c r="AK9" s="16"/>
      <c r="AL9" s="20"/>
      <c r="AM9" s="20"/>
      <c r="AN9" s="2"/>
      <c r="AO9" s="2"/>
    </row>
    <row r="10" spans="2:42" ht="15.75" customHeight="1" x14ac:dyDescent="0.2">
      <c r="B10" s="9"/>
      <c r="C10" s="26">
        <v>5</v>
      </c>
      <c r="D10" s="243" t="str">
        <f>INDEX(LookUp!$S$5:$AL$23,$C10,LookUp!$B$5)</f>
        <v>02040104150</v>
      </c>
      <c r="E10" s="247" t="str">
        <f>IF(D10="","",VLOOKUP(D10,LookUp!$M$5:$N$155,2,FALSE))</f>
        <v>Flat Brook</v>
      </c>
      <c r="F10" s="88">
        <f>IF($D10="","",VLOOKUP($D10,'HUC11 data'!$E$6:$K$156,3,FALSE))</f>
        <v>16.860700000000001</v>
      </c>
      <c r="G10" s="127">
        <f>IF($D10="","",VLOOKUP($D10,'HUC11 data'!$E$6:$K$156,4,FALSE))</f>
        <v>66.17</v>
      </c>
      <c r="H10" s="88">
        <f>IF($D10="","",VLOOKUP($D10,'HUC11 data'!$E$6:$K$156,5,FALSE))</f>
        <v>4.87</v>
      </c>
      <c r="I10" s="88">
        <f>IF($D10="","",VLOOKUP($D10,'HUC11 data'!$E$6:$K$156,6,FALSE))</f>
        <v>2.4700000000000002</v>
      </c>
      <c r="J10" s="127">
        <f>IF($D10="","",VLOOKUP($D10,'HUC11 data'!$E$6:$K$156,7,FALSE))</f>
        <v>2.4</v>
      </c>
      <c r="K10" s="88" t="str">
        <f>IF($D10="","",VLOOKUP($D10,'HUC11 data'!$E$6:$S$156,11,FALSE))</f>
        <v/>
      </c>
      <c r="L10" s="231" t="str">
        <f>IF($D10="","",VLOOKUP($D10,'HUC11 data'!$E$6:$S$156,12,FALSE))</f>
        <v/>
      </c>
      <c r="M10" s="231" t="str">
        <f>IF($D10="","",VLOOKUP($D10,'HUC11 data'!$E$6:$S$156,13,FALSE))</f>
        <v/>
      </c>
      <c r="N10" s="88" t="str">
        <f>IF($D10="","",VLOOKUP($D10,'HUC11 data'!$E$6:$S$156,14,FALSE))</f>
        <v/>
      </c>
      <c r="O10" s="88" t="str">
        <f>IF($D10="","",VLOOKUP($D10,'HUC11 data'!$E$6:$S$156,15,FALSE))</f>
        <v/>
      </c>
      <c r="P10" s="151"/>
      <c r="Q10" s="156"/>
      <c r="R10" s="156"/>
      <c r="S10" s="130"/>
      <c r="T10" s="158"/>
      <c r="U10" s="166"/>
      <c r="V10" s="39"/>
      <c r="W10" s="154"/>
      <c r="X10" s="26"/>
      <c r="Y10" s="26"/>
      <c r="Z10" s="23"/>
      <c r="AB10" s="19"/>
      <c r="AC10" s="19"/>
      <c r="AD10" s="19"/>
      <c r="AE10" s="22"/>
      <c r="AF10" s="19"/>
      <c r="AG10" s="22"/>
      <c r="AI10" s="16"/>
      <c r="AJ10" s="16"/>
      <c r="AK10" s="16"/>
      <c r="AL10" s="20"/>
      <c r="AM10" s="20"/>
      <c r="AN10" s="2"/>
      <c r="AO10" s="2"/>
      <c r="AP10" s="150"/>
    </row>
    <row r="11" spans="2:42" ht="15.75" customHeight="1" x14ac:dyDescent="0.2">
      <c r="B11" s="9"/>
      <c r="C11" s="228">
        <v>6</v>
      </c>
      <c r="D11" s="245" t="str">
        <f>INDEX(LookUp!$S$5:$AL$23,$C11,LookUp!$B$5)</f>
        <v>02040104240</v>
      </c>
      <c r="E11" s="246" t="str">
        <f>IF(D11="","",VLOOKUP(D11,LookUp!$M$5:$N$155,2,FALSE))</f>
        <v>Van Campens Brook / Dunnfield Creek</v>
      </c>
      <c r="F11" s="117">
        <f>IF($D11="","",VLOOKUP($D11,'HUC11 data'!$E$6:$K$156,3,FALSE))</f>
        <v>22.061499999999999</v>
      </c>
      <c r="G11" s="128">
        <f>IF($D11="","",VLOOKUP($D11,'HUC11 data'!$E$6:$K$156,4,FALSE))</f>
        <v>22.06</v>
      </c>
      <c r="H11" s="117">
        <f>IF($D11="","",VLOOKUP($D11,'HUC11 data'!$E$6:$K$156,5,FALSE))</f>
        <v>4.6100000000000003</v>
      </c>
      <c r="I11" s="117">
        <f>IF($D11="","",VLOOKUP($D11,'HUC11 data'!$E$6:$K$156,6,FALSE))</f>
        <v>1.17</v>
      </c>
      <c r="J11" s="128">
        <f>IF($D11="","",VLOOKUP($D11,'HUC11 data'!$E$6:$K$156,7,FALSE))</f>
        <v>3.44</v>
      </c>
      <c r="K11" s="117" t="str">
        <f>IF($D11="","",VLOOKUP($D11,'HUC11 data'!$E$6:$S$156,11,FALSE))</f>
        <v/>
      </c>
      <c r="L11" s="233" t="str">
        <f>IF($D11="","",VLOOKUP($D11,'HUC11 data'!$E$6:$S$156,12,FALSE))</f>
        <v/>
      </c>
      <c r="M11" s="233" t="str">
        <f>IF($D11="","",VLOOKUP($D11,'HUC11 data'!$E$6:$S$156,13,FALSE))</f>
        <v/>
      </c>
      <c r="N11" s="117" t="str">
        <f>IF($D11="","",VLOOKUP($D11,'HUC11 data'!$E$6:$S$156,14,FALSE))</f>
        <v/>
      </c>
      <c r="O11" s="117" t="str">
        <f>IF($D11="","",VLOOKUP($D11,'HUC11 data'!$E$6:$S$156,15,FALSE))</f>
        <v>Yes</v>
      </c>
      <c r="P11" s="151"/>
      <c r="Q11" s="156"/>
      <c r="R11" s="156"/>
      <c r="S11" s="130"/>
      <c r="T11" s="158"/>
      <c r="U11" s="166"/>
      <c r="V11" s="39"/>
      <c r="W11" s="154"/>
      <c r="X11" s="26"/>
      <c r="Y11" s="26"/>
      <c r="Z11" s="23"/>
      <c r="AB11" s="19"/>
      <c r="AC11" s="19"/>
      <c r="AD11" s="19"/>
      <c r="AE11" s="22"/>
      <c r="AF11" s="19"/>
      <c r="AG11" s="22"/>
      <c r="AI11" s="16"/>
      <c r="AJ11" s="16"/>
      <c r="AK11" s="16"/>
      <c r="AL11" s="20"/>
      <c r="AM11" s="20"/>
      <c r="AN11" s="2"/>
      <c r="AO11" s="2"/>
    </row>
    <row r="12" spans="2:42" ht="15.75" customHeight="1" x14ac:dyDescent="0.2">
      <c r="B12" s="9"/>
      <c r="C12" s="26">
        <v>7</v>
      </c>
      <c r="D12" s="243" t="str">
        <f>INDEX(LookUp!$S$5:$AL$23,$C12,LookUp!$B$5)</f>
        <v>02040105030</v>
      </c>
      <c r="E12" s="247" t="str">
        <f>IF(D12="","",VLOOKUP(D12,LookUp!$M$5:$N$155,2,FALSE))</f>
        <v>Trout Brook / Swartswood Lake</v>
      </c>
      <c r="F12" s="88">
        <f>IF($D12="","",VLOOKUP($D12,'HUC11 data'!$E$6:$K$156,3,FALSE))</f>
        <v>27.761299999999999</v>
      </c>
      <c r="G12" s="127">
        <f>IF($D12="","",VLOOKUP($D12,'HUC11 data'!$E$6:$K$156,4,FALSE))</f>
        <v>27.76</v>
      </c>
      <c r="H12" s="88">
        <f>IF($D12="","",VLOOKUP($D12,'HUC11 data'!$E$6:$K$156,5,FALSE))</f>
        <v>4.72</v>
      </c>
      <c r="I12" s="88">
        <f>IF($D12="","",VLOOKUP($D12,'HUC11 data'!$E$6:$K$156,6,FALSE))</f>
        <v>0.81</v>
      </c>
      <c r="J12" s="127">
        <f>IF($D12="","",VLOOKUP($D12,'HUC11 data'!$E$6:$K$156,7,FALSE))</f>
        <v>3.91</v>
      </c>
      <c r="K12" s="88" t="str">
        <f>IF($D12="","",VLOOKUP($D12,'HUC11 data'!$E$6:$S$156,11,FALSE))</f>
        <v/>
      </c>
      <c r="L12" s="231" t="str">
        <f>IF($D12="","",VLOOKUP($D12,'HUC11 data'!$E$6:$S$156,12,FALSE))</f>
        <v/>
      </c>
      <c r="M12" s="231" t="str">
        <f>IF($D12="","",VLOOKUP($D12,'HUC11 data'!$E$6:$S$156,13,FALSE))</f>
        <v/>
      </c>
      <c r="N12" s="88" t="str">
        <f>IF($D12="","",VLOOKUP($D12,'HUC11 data'!$E$6:$S$156,14,FALSE))</f>
        <v/>
      </c>
      <c r="O12" s="88" t="str">
        <f>IF($D12="","",VLOOKUP($D12,'HUC11 data'!$E$6:$S$156,15,FALSE))</f>
        <v>Yes</v>
      </c>
      <c r="P12" s="151"/>
      <c r="Q12" s="156"/>
      <c r="R12" s="156"/>
      <c r="S12" s="130"/>
      <c r="T12" s="158"/>
      <c r="U12" s="166"/>
      <c r="V12" s="39"/>
      <c r="W12" s="154"/>
      <c r="X12" s="26"/>
      <c r="Y12" s="26"/>
      <c r="Z12" s="23"/>
      <c r="AB12" s="19"/>
      <c r="AC12" s="19"/>
      <c r="AD12" s="19"/>
      <c r="AE12" s="22"/>
      <c r="AF12" s="19"/>
      <c r="AG12" s="22"/>
      <c r="AI12" s="16"/>
      <c r="AJ12" s="16"/>
      <c r="AK12" s="16"/>
      <c r="AL12" s="20"/>
      <c r="AM12" s="20"/>
      <c r="AN12" s="2"/>
      <c r="AO12" s="2"/>
      <c r="AP12" s="149"/>
    </row>
    <row r="13" spans="2:42" ht="15.75" customHeight="1" x14ac:dyDescent="0.2">
      <c r="B13" s="9"/>
      <c r="C13" s="228">
        <v>8</v>
      </c>
      <c r="D13" s="245" t="str">
        <f>INDEX(LookUp!$S$5:$AL$23,$C13,LookUp!$B$5)</f>
        <v>02040105040</v>
      </c>
      <c r="E13" s="246" t="str">
        <f>IF(D13="","",VLOOKUP(D13,LookUp!$M$5:$N$155,2,FALSE))</f>
        <v>Paulins Kill (above Stillwater Village)</v>
      </c>
      <c r="F13" s="117">
        <f>IF($D13="","",VLOOKUP($D13,'HUC11 data'!$E$6:$K$156,3,FALSE))</f>
        <v>79.306899999999999</v>
      </c>
      <c r="G13" s="128">
        <f>IF($D13="","",VLOOKUP($D13,'HUC11 data'!$E$6:$K$156,4,FALSE))</f>
        <v>107.06</v>
      </c>
      <c r="H13" s="117">
        <f>IF($D13="","",VLOOKUP($D13,'HUC11 data'!$E$6:$K$156,5,FALSE))</f>
        <v>23.55</v>
      </c>
      <c r="I13" s="117">
        <f>IF($D13="","",VLOOKUP($D13,'HUC11 data'!$E$6:$K$156,6,FALSE))</f>
        <v>8.32</v>
      </c>
      <c r="J13" s="128">
        <f>IF($D13="","",VLOOKUP($D13,'HUC11 data'!$E$6:$K$156,7,FALSE))</f>
        <v>15.23</v>
      </c>
      <c r="K13" s="117" t="str">
        <f>IF($D13="","",VLOOKUP($D13,'HUC11 data'!$E$6:$S$156,11,FALSE))</f>
        <v>Partial</v>
      </c>
      <c r="L13" s="233" t="str">
        <f>IF($D13="","",VLOOKUP($D13,'HUC11 data'!$E$6:$S$156,12,FALSE))</f>
        <v/>
      </c>
      <c r="M13" s="233" t="str">
        <f>IF($D13="","",VLOOKUP($D13,'HUC11 data'!$E$6:$S$156,13,FALSE))</f>
        <v/>
      </c>
      <c r="N13" s="117" t="str">
        <f>IF($D13="","",VLOOKUP($D13,'HUC11 data'!$E$6:$S$156,14,FALSE))</f>
        <v/>
      </c>
      <c r="O13" s="117" t="str">
        <f>IF($D13="","",VLOOKUP($D13,'HUC11 data'!$E$6:$S$156,15,FALSE))</f>
        <v/>
      </c>
      <c r="P13" s="151"/>
      <c r="Q13" s="156"/>
      <c r="R13" s="156"/>
      <c r="S13" s="130"/>
      <c r="T13" s="158"/>
      <c r="U13" s="166"/>
      <c r="V13" s="39"/>
      <c r="W13" s="154"/>
      <c r="X13" s="26"/>
      <c r="Y13" s="26"/>
      <c r="Z13" s="23"/>
      <c r="AB13" s="19"/>
      <c r="AC13" s="19"/>
      <c r="AD13" s="19"/>
      <c r="AE13" s="22"/>
      <c r="AF13" s="19"/>
      <c r="AG13" s="22"/>
      <c r="AI13" s="16"/>
      <c r="AJ13" s="16"/>
      <c r="AK13" s="16"/>
      <c r="AL13" s="20"/>
      <c r="AM13" s="20"/>
      <c r="AN13" s="2"/>
      <c r="AO13" s="2"/>
    </row>
    <row r="14" spans="2:42" ht="15.75" customHeight="1" x14ac:dyDescent="0.4">
      <c r="B14" s="9"/>
      <c r="C14" s="26">
        <v>9</v>
      </c>
      <c r="D14" s="243" t="str">
        <f>INDEX(LookUp!$S$5:$AL$23,$C14,LookUp!$B$5)</f>
        <v>02040105050</v>
      </c>
      <c r="E14" s="247" t="str">
        <f>IF(D14="","",VLOOKUP(D14,LookUp!$M$5:$N$155,2,FALSE))</f>
        <v>Paulins Kill (below Stillwater Village)</v>
      </c>
      <c r="F14" s="88">
        <f>IF($D14="","",VLOOKUP($D14,'HUC11 data'!$E$6:$K$156,3,FALSE))</f>
        <v>69.777799999999999</v>
      </c>
      <c r="G14" s="127">
        <f>IF($D14="","",VLOOKUP($D14,'HUC11 data'!$E$6:$K$156,4,FALSE))</f>
        <v>176.83</v>
      </c>
      <c r="H14" s="88">
        <f>IF($D14="","",VLOOKUP($D14,'HUC11 data'!$E$6:$K$156,5,FALSE))</f>
        <v>18.579999999999998</v>
      </c>
      <c r="I14" s="88">
        <f>IF($D14="","",VLOOKUP($D14,'HUC11 data'!$E$6:$K$156,6,FALSE))</f>
        <v>4.95</v>
      </c>
      <c r="J14" s="127">
        <f>IF($D14="","",VLOOKUP($D14,'HUC11 data'!$E$6:$K$156,7,FALSE))</f>
        <v>13.63</v>
      </c>
      <c r="K14" s="88" t="str">
        <f>IF($D14="","",VLOOKUP($D14,'HUC11 data'!$E$6:$S$156,11,FALSE))</f>
        <v>Partial</v>
      </c>
      <c r="L14" s="234" t="str">
        <f>IF($D14="","",VLOOKUP($D14,'HUC11 data'!$E$6:$S$156,12,FALSE))</f>
        <v/>
      </c>
      <c r="M14" s="234" t="str">
        <f>IF($D14="","",VLOOKUP($D14,'HUC11 data'!$E$6:$S$156,13,FALSE))</f>
        <v/>
      </c>
      <c r="N14" s="88" t="str">
        <f>IF($D14="","",VLOOKUP($D14,'HUC11 data'!$E$6:$S$156,14,FALSE))</f>
        <v/>
      </c>
      <c r="O14" s="88" t="str">
        <f>IF($D14="","",VLOOKUP($D14,'HUC11 data'!$E$6:$S$156,15,FALSE))</f>
        <v>Yes</v>
      </c>
      <c r="P14" s="151"/>
      <c r="Q14" s="156"/>
      <c r="R14" s="156"/>
      <c r="S14" s="130"/>
      <c r="T14" s="215"/>
      <c r="U14" s="166"/>
      <c r="V14" s="39"/>
      <c r="W14" s="154"/>
      <c r="X14" s="26"/>
      <c r="Y14" s="26"/>
      <c r="Z14" s="23"/>
      <c r="AB14" s="19"/>
      <c r="AC14" s="19"/>
      <c r="AD14" s="19"/>
      <c r="AE14" s="22"/>
      <c r="AF14" s="19"/>
      <c r="AG14" s="22"/>
      <c r="AI14" s="16"/>
      <c r="AJ14" s="16"/>
      <c r="AK14" s="16"/>
      <c r="AL14" s="20"/>
      <c r="AM14" s="20"/>
      <c r="AN14" s="2"/>
      <c r="AO14" s="2"/>
    </row>
    <row r="15" spans="2:42" ht="15.75" customHeight="1" x14ac:dyDescent="0.2">
      <c r="B15" s="9"/>
      <c r="C15" s="228">
        <v>10</v>
      </c>
      <c r="D15" s="245" t="str">
        <f>INDEX(LookUp!$S$5:$AL$23,$C15,LookUp!$B$5)</f>
        <v>02040105060</v>
      </c>
      <c r="E15" s="246" t="str">
        <f>IF(D15="","",VLOOKUP(D15,LookUp!$M$5:$N$155,2,FALSE))</f>
        <v>Stony Brook / Delawanna Creek</v>
      </c>
      <c r="F15" s="117">
        <f>IF($D15="","",VLOOKUP($D15,'HUC11 data'!$E$6:$K$156,3,FALSE))</f>
        <v>18.661999999999999</v>
      </c>
      <c r="G15" s="128">
        <f>IF($D15="","",VLOOKUP($D15,'HUC11 data'!$E$6:$K$156,4,FALSE))</f>
        <v>18.66</v>
      </c>
      <c r="H15" s="117">
        <f>IF($D15="","",VLOOKUP($D15,'HUC11 data'!$E$6:$K$156,5,FALSE))</f>
        <v>3.7458</v>
      </c>
      <c r="I15" s="117">
        <f>IF($D15="","",VLOOKUP($D15,'HUC11 data'!$E$6:$K$156,6,FALSE))</f>
        <v>0.94730000000000003</v>
      </c>
      <c r="J15" s="128">
        <f>IF($D15="","",VLOOKUP($D15,'HUC11 data'!$E$6:$K$156,7,FALSE))</f>
        <v>2.7985000000000002</v>
      </c>
      <c r="K15" s="117" t="str">
        <f>IF($D15="","",VLOOKUP($D15,'HUC11 data'!$E$6:$S$156,11,FALSE))</f>
        <v>Partial</v>
      </c>
      <c r="L15" s="233" t="str">
        <f>IF($D15="","",VLOOKUP($D15,'HUC11 data'!$E$6:$S$156,12,FALSE))</f>
        <v/>
      </c>
      <c r="M15" s="233" t="str">
        <f>IF($D15="","",VLOOKUP($D15,'HUC11 data'!$E$6:$S$156,13,FALSE))</f>
        <v/>
      </c>
      <c r="N15" s="117" t="str">
        <f>IF($D15="","",VLOOKUP($D15,'HUC11 data'!$E$6:$S$156,14,FALSE))</f>
        <v/>
      </c>
      <c r="O15" s="117" t="str">
        <f>IF($D15="","",VLOOKUP($D15,'HUC11 data'!$E$6:$S$156,15,FALSE))</f>
        <v>Yes</v>
      </c>
      <c r="P15" s="151"/>
      <c r="Q15" s="156"/>
      <c r="R15" s="156"/>
      <c r="S15" s="130"/>
      <c r="T15" s="158"/>
      <c r="U15" s="153"/>
      <c r="V15" s="39"/>
      <c r="W15" s="154"/>
      <c r="X15" s="26"/>
      <c r="Y15" s="26"/>
      <c r="Z15" s="23"/>
      <c r="AB15" s="19"/>
      <c r="AC15" s="19"/>
      <c r="AD15" s="19"/>
      <c r="AE15" s="22"/>
      <c r="AF15" s="19"/>
      <c r="AG15" s="22"/>
      <c r="AI15" s="16"/>
      <c r="AJ15" s="16"/>
      <c r="AK15" s="16"/>
      <c r="AL15" s="20"/>
      <c r="AM15" s="20"/>
      <c r="AN15" s="2"/>
      <c r="AO15" s="2"/>
    </row>
    <row r="16" spans="2:42" ht="15.75" customHeight="1" x14ac:dyDescent="0.2">
      <c r="B16" s="9"/>
      <c r="C16" s="26">
        <v>11</v>
      </c>
      <c r="D16" s="243" t="str">
        <f>INDEX(LookUp!$S$5:$AL$23,$C16,LookUp!$B$5)</f>
        <v>02040105070</v>
      </c>
      <c r="E16" s="247" t="str">
        <f>IF(D16="","",VLOOKUP(D16,LookUp!$M$5:$N$155,2,FALSE))</f>
        <v>Pequest River (above/incl Bear Swamp)</v>
      </c>
      <c r="F16" s="88">
        <f>IF($D16="","",VLOOKUP($D16,'HUC11 data'!$E$6:$K$156,3,FALSE))</f>
        <v>54.631599999999999</v>
      </c>
      <c r="G16" s="127">
        <f>IF($D16="","",VLOOKUP($D16,'HUC11 data'!$E$6:$K$156,4,FALSE))</f>
        <v>72.94</v>
      </c>
      <c r="H16" s="88">
        <f>IF($D16="","",VLOOKUP($D16,'HUC11 data'!$E$6:$K$156,5,FALSE))</f>
        <v>12.5954</v>
      </c>
      <c r="I16" s="88">
        <f>IF($D16="","",VLOOKUP($D16,'HUC11 data'!$E$6:$K$156,6,FALSE))</f>
        <v>2.7829000000000002</v>
      </c>
      <c r="J16" s="127">
        <f>IF($D16="","",VLOOKUP($D16,'HUC11 data'!$E$6:$K$156,7,FALSE))</f>
        <v>9.8125</v>
      </c>
      <c r="K16" s="88" t="str">
        <f>IF($D16="","",VLOOKUP($D16,'HUC11 data'!$E$6:$S$156,11,FALSE))</f>
        <v>Partial</v>
      </c>
      <c r="L16" s="234" t="str">
        <f>IF($D16="","",VLOOKUP($D16,'HUC11 data'!$E$6:$S$156,12,FALSE))</f>
        <v/>
      </c>
      <c r="M16" s="234" t="str">
        <f>IF($D16="","",VLOOKUP($D16,'HUC11 data'!$E$6:$S$156,13,FALSE))</f>
        <v/>
      </c>
      <c r="N16" s="88" t="str">
        <f>IF($D16="","",VLOOKUP($D16,'HUC11 data'!$E$6:$S$156,14,FALSE))</f>
        <v/>
      </c>
      <c r="O16" s="88" t="str">
        <f>IF($D16="","",VLOOKUP($D16,'HUC11 data'!$E$6:$S$156,15,FALSE))</f>
        <v>Yes</v>
      </c>
      <c r="P16" s="151"/>
      <c r="Q16" s="156"/>
      <c r="R16" s="156"/>
      <c r="S16" s="130"/>
      <c r="T16" s="158"/>
      <c r="U16" s="153"/>
      <c r="V16" s="39"/>
      <c r="W16" s="154"/>
      <c r="X16" s="26"/>
      <c r="Y16" s="26"/>
      <c r="Z16" s="23"/>
      <c r="AB16" s="19"/>
      <c r="AC16" s="19"/>
      <c r="AD16" s="19"/>
      <c r="AE16" s="22"/>
      <c r="AF16" s="19"/>
      <c r="AG16" s="22"/>
      <c r="AI16" s="16"/>
      <c r="AJ16" s="16"/>
      <c r="AK16" s="16"/>
      <c r="AL16" s="20"/>
      <c r="AM16" s="20"/>
      <c r="AN16" s="2"/>
      <c r="AO16" s="2"/>
    </row>
    <row r="17" spans="2:41" ht="15.75" customHeight="1" x14ac:dyDescent="0.2">
      <c r="B17" s="9"/>
      <c r="C17" s="228">
        <v>12</v>
      </c>
      <c r="D17" s="245" t="str">
        <f>INDEX(LookUp!$S$5:$AL$23,$C17,LookUp!$B$5)</f>
        <v>02040105080</v>
      </c>
      <c r="E17" s="246" t="str">
        <f>IF(D17="","",VLOOKUP(D17,LookUp!$M$5:$N$155,2,FALSE))</f>
        <v>Bear Creek</v>
      </c>
      <c r="F17" s="117">
        <f>IF($D17="","",VLOOKUP($D17,'HUC11 data'!$E$6:$K$156,3,FALSE))</f>
        <v>18.315000000000001</v>
      </c>
      <c r="G17" s="128">
        <f>IF($D17="","",VLOOKUP($D17,'HUC11 data'!$E$6:$K$156,4,FALSE))</f>
        <v>18.309999999999999</v>
      </c>
      <c r="H17" s="117">
        <f>IF($D17="","",VLOOKUP($D17,'HUC11 data'!$E$6:$K$156,5,FALSE))</f>
        <v>3.9679000000000002</v>
      </c>
      <c r="I17" s="117">
        <f>IF($D17="","",VLOOKUP($D17,'HUC11 data'!$E$6:$K$156,6,FALSE))</f>
        <v>1.0102</v>
      </c>
      <c r="J17" s="128">
        <f>IF($D17="","",VLOOKUP($D17,'HUC11 data'!$E$6:$K$156,7,FALSE))</f>
        <v>2.9577</v>
      </c>
      <c r="K17" s="117" t="str">
        <f>IF($D17="","",VLOOKUP($D17,'HUC11 data'!$E$6:$S$156,11,FALSE))</f>
        <v>Partial</v>
      </c>
      <c r="L17" s="233" t="str">
        <f>IF($D17="","",VLOOKUP($D17,'HUC11 data'!$E$6:$S$156,12,FALSE))</f>
        <v/>
      </c>
      <c r="M17" s="233" t="str">
        <f>IF($D17="","",VLOOKUP($D17,'HUC11 data'!$E$6:$S$156,13,FALSE))</f>
        <v/>
      </c>
      <c r="N17" s="117" t="str">
        <f>IF($D17="","",VLOOKUP($D17,'HUC11 data'!$E$6:$S$156,14,FALSE))</f>
        <v/>
      </c>
      <c r="O17" s="117" t="str">
        <f>IF($D17="","",VLOOKUP($D17,'HUC11 data'!$E$6:$S$156,15,FALSE))</f>
        <v>Yes</v>
      </c>
      <c r="P17" s="151"/>
      <c r="Q17" s="156"/>
      <c r="R17" s="156"/>
      <c r="S17" s="130"/>
      <c r="T17" s="158"/>
      <c r="U17" s="153"/>
      <c r="V17" s="39"/>
      <c r="W17" s="154"/>
      <c r="X17" s="26"/>
      <c r="Y17" s="26"/>
      <c r="Z17" s="23"/>
      <c r="AB17" s="19"/>
      <c r="AC17" s="19"/>
      <c r="AD17" s="19"/>
      <c r="AE17" s="22"/>
      <c r="AF17" s="19"/>
      <c r="AG17" s="22"/>
      <c r="AI17" s="16"/>
      <c r="AJ17" s="16"/>
      <c r="AK17" s="16"/>
      <c r="AL17" s="20"/>
      <c r="AM17" s="20"/>
      <c r="AN17" s="2"/>
      <c r="AO17" s="2"/>
    </row>
    <row r="18" spans="2:41" ht="15.75" customHeight="1" x14ac:dyDescent="0.2">
      <c r="B18" s="9"/>
      <c r="C18" s="26">
        <v>13</v>
      </c>
      <c r="D18" s="243" t="str">
        <f>INDEX(LookUp!$S$5:$AL$23,$C18,LookUp!$B$5)</f>
        <v>02040105090</v>
      </c>
      <c r="E18" s="247" t="str">
        <f>IF(D18="","",VLOOKUP(D18,LookUp!$M$5:$N$155,2,FALSE))</f>
        <v>Pequest River (below Bear Swamp)</v>
      </c>
      <c r="F18" s="88">
        <f>IF($D18="","",VLOOKUP($D18,'HUC11 data'!$E$6:$K$156,3,FALSE))</f>
        <v>47.376100000000001</v>
      </c>
      <c r="G18" s="127">
        <f>IF($D18="","",VLOOKUP($D18,'HUC11 data'!$E$6:$K$156,4,FALSE))</f>
        <v>156.97</v>
      </c>
      <c r="H18" s="88">
        <f>IF($D18="","",VLOOKUP($D18,'HUC11 data'!$E$6:$K$156,5,FALSE))</f>
        <v>9.7091999999999992</v>
      </c>
      <c r="I18" s="88">
        <f>IF($D18="","",VLOOKUP($D18,'HUC11 data'!$E$6:$K$156,6,FALSE))</f>
        <v>2.5405000000000002</v>
      </c>
      <c r="J18" s="127">
        <f>IF($D18="","",VLOOKUP($D18,'HUC11 data'!$E$6:$K$156,7,FALSE))</f>
        <v>7.1687000000000003</v>
      </c>
      <c r="K18" s="88" t="str">
        <f>IF($D18="","",VLOOKUP($D18,'HUC11 data'!$E$6:$S$156,11,FALSE))</f>
        <v>All</v>
      </c>
      <c r="L18" s="234" t="str">
        <f>IF($D18="","",VLOOKUP($D18,'HUC11 data'!$E$6:$S$156,12,FALSE))</f>
        <v/>
      </c>
      <c r="M18" s="234" t="str">
        <f>IF($D18="","",VLOOKUP($D18,'HUC11 data'!$E$6:$S$156,13,FALSE))</f>
        <v/>
      </c>
      <c r="N18" s="88" t="str">
        <f>IF($D18="","",VLOOKUP($D18,'HUC11 data'!$E$6:$S$156,14,FALSE))</f>
        <v/>
      </c>
      <c r="O18" s="88" t="str">
        <f>IF($D18="","",VLOOKUP($D18,'HUC11 data'!$E$6:$S$156,15,FALSE))</f>
        <v>Yes</v>
      </c>
      <c r="P18" s="151"/>
      <c r="Q18" s="156"/>
      <c r="R18" s="156"/>
      <c r="S18" s="130"/>
      <c r="T18" s="158"/>
      <c r="U18" s="153"/>
      <c r="V18" s="39"/>
      <c r="W18" s="154"/>
      <c r="X18" s="26"/>
      <c r="Y18" s="26"/>
      <c r="Z18" s="23"/>
      <c r="AB18" s="19"/>
      <c r="AC18" s="19"/>
      <c r="AD18" s="19"/>
      <c r="AE18" s="22"/>
      <c r="AF18" s="19"/>
      <c r="AG18" s="22"/>
      <c r="AI18" s="16"/>
      <c r="AJ18" s="16"/>
      <c r="AK18" s="16"/>
      <c r="AL18" s="20"/>
      <c r="AM18" s="20"/>
      <c r="AN18" s="2"/>
      <c r="AO18" s="2"/>
    </row>
    <row r="19" spans="2:41" ht="15.75" customHeight="1" x14ac:dyDescent="0.2">
      <c r="B19" s="9"/>
      <c r="C19" s="228">
        <v>14</v>
      </c>
      <c r="D19" s="245" t="str">
        <f>INDEX(LookUp!$S$5:$AL$23,$C19,LookUp!$B$5)</f>
        <v>02040105100</v>
      </c>
      <c r="E19" s="246" t="str">
        <f>IF(D19="","",VLOOKUP(D19,LookUp!$M$5:$N$155,2,FALSE))</f>
        <v>Beaver Brook</v>
      </c>
      <c r="F19" s="117">
        <f>IF($D19="","",VLOOKUP($D19,'HUC11 data'!$E$6:$K$156,3,FALSE))</f>
        <v>36.664099999999998</v>
      </c>
      <c r="G19" s="128">
        <f>IF($D19="","",VLOOKUP($D19,'HUC11 data'!$E$6:$K$156,4,FALSE))</f>
        <v>36.659999999999997</v>
      </c>
      <c r="H19" s="117">
        <f>IF($D19="","",VLOOKUP($D19,'HUC11 data'!$E$6:$K$156,5,FALSE))</f>
        <v>5.9112</v>
      </c>
      <c r="I19" s="117">
        <f>IF($D19="","",VLOOKUP($D19,'HUC11 data'!$E$6:$K$156,6,FALSE))</f>
        <v>1.4502999999999999</v>
      </c>
      <c r="J19" s="128">
        <f>IF($D19="","",VLOOKUP($D19,'HUC11 data'!$E$6:$K$156,7,FALSE))</f>
        <v>4.4608999999999996</v>
      </c>
      <c r="K19" s="117" t="str">
        <f>IF($D19="","",VLOOKUP($D19,'HUC11 data'!$E$6:$S$156,11,FALSE))</f>
        <v>Partial</v>
      </c>
      <c r="L19" s="233" t="str">
        <f>IF($D19="","",VLOOKUP($D19,'HUC11 data'!$E$6:$S$156,12,FALSE))</f>
        <v/>
      </c>
      <c r="M19" s="233" t="str">
        <f>IF($D19="","",VLOOKUP($D19,'HUC11 data'!$E$6:$S$156,13,FALSE))</f>
        <v/>
      </c>
      <c r="N19" s="117" t="str">
        <f>IF($D19="","",VLOOKUP($D19,'HUC11 data'!$E$6:$S$156,14,FALSE))</f>
        <v/>
      </c>
      <c r="O19" s="117" t="str">
        <f>IF($D19="","",VLOOKUP($D19,'HUC11 data'!$E$6:$S$156,15,FALSE))</f>
        <v>Yes</v>
      </c>
      <c r="P19" s="151"/>
      <c r="Q19" s="156"/>
      <c r="R19" s="156"/>
      <c r="S19" s="130"/>
      <c r="T19" s="158"/>
      <c r="U19" s="153"/>
      <c r="V19" s="169"/>
      <c r="W19" s="154"/>
      <c r="X19" s="26"/>
      <c r="Y19" s="26"/>
      <c r="Z19" s="23"/>
      <c r="AB19" s="19"/>
      <c r="AC19" s="19"/>
      <c r="AD19" s="19"/>
      <c r="AE19" s="22"/>
      <c r="AF19" s="19"/>
      <c r="AG19" s="22"/>
      <c r="AI19" s="16"/>
      <c r="AJ19" s="16"/>
      <c r="AK19" s="16"/>
      <c r="AL19" s="20"/>
      <c r="AM19" s="20"/>
      <c r="AN19" s="2"/>
      <c r="AO19" s="2"/>
    </row>
    <row r="20" spans="2:41" ht="15.75" customHeight="1" x14ac:dyDescent="0.2">
      <c r="B20" s="9"/>
      <c r="C20" s="26">
        <v>15</v>
      </c>
      <c r="D20" s="243" t="str">
        <f>INDEX(LookUp!$S$5:$AL$23,$C20,LookUp!$B$5)</f>
        <v>02040105110</v>
      </c>
      <c r="E20" s="247" t="str">
        <f>IF(D20="","",VLOOKUP(D20,LookUp!$M$5:$N$155,2,FALSE))</f>
        <v>Pophandusing Brook / Buckhorn Creek</v>
      </c>
      <c r="F20" s="88">
        <f>IF($D20="","",VLOOKUP($D20,'HUC11 data'!$E$6:$K$156,3,FALSE))</f>
        <v>27.571100000000001</v>
      </c>
      <c r="G20" s="127">
        <f>IF($D20="","",VLOOKUP($D20,'HUC11 data'!$E$6:$K$156,4,FALSE))</f>
        <v>27.57</v>
      </c>
      <c r="H20" s="88">
        <f>IF($D20="","",VLOOKUP($D20,'HUC11 data'!$E$6:$K$156,5,FALSE))</f>
        <v>5.2847</v>
      </c>
      <c r="I20" s="88">
        <f>IF($D20="","",VLOOKUP($D20,'HUC11 data'!$E$6:$K$156,6,FALSE))</f>
        <v>1.4297</v>
      </c>
      <c r="J20" s="127">
        <f>IF($D20="","",VLOOKUP($D20,'HUC11 data'!$E$6:$K$156,7,FALSE))</f>
        <v>3.855</v>
      </c>
      <c r="K20" s="88" t="str">
        <f>IF($D20="","",VLOOKUP($D20,'HUC11 data'!$E$6:$S$156,11,FALSE))</f>
        <v>All</v>
      </c>
      <c r="L20" s="234" t="str">
        <f>IF($D20="","",VLOOKUP($D20,'HUC11 data'!$E$6:$S$156,12,FALSE))</f>
        <v/>
      </c>
      <c r="M20" s="234" t="str">
        <f>IF($D20="","",VLOOKUP($D20,'HUC11 data'!$E$6:$S$156,13,FALSE))</f>
        <v/>
      </c>
      <c r="N20" s="88" t="str">
        <f>IF($D20="","",VLOOKUP($D20,'HUC11 data'!$E$6:$S$156,14,FALSE))</f>
        <v/>
      </c>
      <c r="O20" s="88" t="str">
        <f>IF($D20="","",VLOOKUP($D20,'HUC11 data'!$E$6:$S$156,15,FALSE))</f>
        <v>Yes</v>
      </c>
      <c r="P20" s="151"/>
      <c r="Q20" s="156"/>
      <c r="R20" s="156"/>
      <c r="S20" s="130"/>
      <c r="T20" s="158"/>
      <c r="U20" s="153"/>
      <c r="V20" s="39"/>
      <c r="W20" s="154"/>
      <c r="X20" s="26"/>
      <c r="Y20" s="26"/>
      <c r="Z20" s="23"/>
      <c r="AB20" s="19"/>
      <c r="AC20" s="19"/>
      <c r="AD20" s="19"/>
      <c r="AE20" s="22"/>
      <c r="AF20" s="19"/>
      <c r="AG20" s="22"/>
      <c r="AI20" s="16"/>
      <c r="AJ20" s="16"/>
      <c r="AK20" s="16"/>
      <c r="AL20" s="20"/>
      <c r="AM20" s="20"/>
      <c r="AN20" s="2"/>
      <c r="AO20" s="2"/>
    </row>
    <row r="21" spans="2:41" ht="15.75" customHeight="1" x14ac:dyDescent="0.2">
      <c r="B21" s="9"/>
      <c r="C21" s="228">
        <v>16</v>
      </c>
      <c r="D21" s="245" t="str">
        <f>INDEX(LookUp!$S$5:$AL$23,$C21,LookUp!$B$5)</f>
        <v>02040105120</v>
      </c>
      <c r="E21" s="246" t="str">
        <f>IF(D21="","",VLOOKUP(D21,LookUp!$M$5:$N$155,2,FALSE))</f>
        <v>Lopatcong Creek</v>
      </c>
      <c r="F21" s="117">
        <f>IF($D21="","",VLOOKUP($D21,'HUC11 data'!$E$6:$K$156,3,FALSE))</f>
        <v>19.491199999999999</v>
      </c>
      <c r="G21" s="128">
        <f>IF($D21="","",VLOOKUP($D21,'HUC11 data'!$E$6:$K$156,4,FALSE))</f>
        <v>19.489999999999998</v>
      </c>
      <c r="H21" s="117">
        <f>IF($D21="","",VLOOKUP($D21,'HUC11 data'!$E$6:$K$156,5,FALSE))</f>
        <v>6.2537000000000003</v>
      </c>
      <c r="I21" s="117">
        <f>IF($D21="","",VLOOKUP($D21,'HUC11 data'!$E$6:$K$156,6,FALSE))</f>
        <v>2.9384000000000001</v>
      </c>
      <c r="J21" s="128">
        <f>IF($D21="","",VLOOKUP($D21,'HUC11 data'!$E$6:$K$156,7,FALSE))</f>
        <v>3.3151999999999999</v>
      </c>
      <c r="K21" s="117" t="str">
        <f>IF($D21="","",VLOOKUP($D21,'HUC11 data'!$E$6:$S$156,11,FALSE))</f>
        <v>All</v>
      </c>
      <c r="L21" s="233" t="str">
        <f>IF($D21="","",VLOOKUP($D21,'HUC11 data'!$E$6:$S$156,12,FALSE))</f>
        <v/>
      </c>
      <c r="M21" s="233" t="str">
        <f>IF($D21="","",VLOOKUP($D21,'HUC11 data'!$E$6:$S$156,13,FALSE))</f>
        <v/>
      </c>
      <c r="N21" s="117" t="str">
        <f>IF($D21="","",VLOOKUP($D21,'HUC11 data'!$E$6:$S$156,14,FALSE))</f>
        <v/>
      </c>
      <c r="O21" s="117" t="str">
        <f>IF($D21="","",VLOOKUP($D21,'HUC11 data'!$E$6:$S$156,15,FALSE))</f>
        <v/>
      </c>
      <c r="P21" s="151"/>
      <c r="Q21" s="156"/>
      <c r="R21" s="156"/>
      <c r="S21" s="130"/>
      <c r="T21" s="158"/>
      <c r="U21" s="153"/>
      <c r="V21" s="39"/>
      <c r="W21" s="154"/>
      <c r="X21" s="26"/>
      <c r="Y21" s="26"/>
      <c r="Z21" s="23"/>
      <c r="AB21" s="19"/>
      <c r="AC21" s="19"/>
      <c r="AD21" s="19"/>
      <c r="AE21" s="22"/>
      <c r="AF21" s="19"/>
      <c r="AG21" s="22"/>
      <c r="AI21" s="16"/>
      <c r="AJ21" s="16"/>
      <c r="AK21" s="16"/>
      <c r="AL21" s="20"/>
      <c r="AM21" s="20"/>
      <c r="AN21" s="2"/>
      <c r="AO21" s="2"/>
    </row>
    <row r="22" spans="2:41" ht="15.75" customHeight="1" x14ac:dyDescent="0.2">
      <c r="B22" s="9"/>
      <c r="C22" s="26">
        <v>17</v>
      </c>
      <c r="D22" s="243" t="str">
        <f>INDEX(LookUp!$S$5:$AL$23,$C22,LookUp!$B$5)</f>
        <v>02040105140</v>
      </c>
      <c r="E22" s="247" t="str">
        <f>IF(D22="","",VLOOKUP(D22,LookUp!$M$5:$N$155,2,FALSE))</f>
        <v>Pohatcong Creek</v>
      </c>
      <c r="F22" s="88">
        <f>IF($D22="","",VLOOKUP($D22,'HUC11 data'!$E$6:$K$156,3,FALSE))</f>
        <v>57.980699999999999</v>
      </c>
      <c r="G22" s="127">
        <f>IF($D22="","",VLOOKUP($D22,'HUC11 data'!$E$6:$K$156,4,FALSE))</f>
        <v>57.98</v>
      </c>
      <c r="H22" s="88">
        <f>IF($D22="","",VLOOKUP($D22,'HUC11 data'!$E$6:$K$156,5,FALSE))</f>
        <v>13.529299999999999</v>
      </c>
      <c r="I22" s="88">
        <f>IF($D22="","",VLOOKUP($D22,'HUC11 data'!$E$6:$K$156,6,FALSE))</f>
        <v>4.1733000000000002</v>
      </c>
      <c r="J22" s="127">
        <f>IF($D22="","",VLOOKUP($D22,'HUC11 data'!$E$6:$K$156,7,FALSE))</f>
        <v>9.3559000000000001</v>
      </c>
      <c r="K22" s="88" t="str">
        <f>IF($D22="","",VLOOKUP($D22,'HUC11 data'!$E$6:$S$156,11,FALSE))</f>
        <v>All</v>
      </c>
      <c r="L22" s="234" t="str">
        <f>IF($D22="","",VLOOKUP($D22,'HUC11 data'!$E$6:$S$156,12,FALSE))</f>
        <v/>
      </c>
      <c r="M22" s="234" t="str">
        <f>IF($D22="","",VLOOKUP($D22,'HUC11 data'!$E$6:$S$156,13,FALSE))</f>
        <v/>
      </c>
      <c r="N22" s="88" t="str">
        <f>IF($D22="","",VLOOKUP($D22,'HUC11 data'!$E$6:$S$156,14,FALSE))</f>
        <v/>
      </c>
      <c r="O22" s="88" t="str">
        <f>IF($D22="","",VLOOKUP($D22,'HUC11 data'!$E$6:$S$156,15,FALSE))</f>
        <v>Yes</v>
      </c>
      <c r="P22" s="151"/>
      <c r="Q22" s="156"/>
      <c r="R22" s="156"/>
      <c r="S22" s="130"/>
      <c r="T22" s="158"/>
      <c r="U22" s="153"/>
      <c r="V22" s="39"/>
      <c r="W22" s="154"/>
      <c r="X22" s="26"/>
      <c r="Y22" s="26"/>
      <c r="Z22" s="23"/>
      <c r="AB22" s="19"/>
      <c r="AC22" s="19"/>
      <c r="AD22" s="19"/>
      <c r="AE22" s="22"/>
      <c r="AF22" s="19"/>
      <c r="AG22" s="22"/>
      <c r="AI22" s="16"/>
      <c r="AJ22" s="16"/>
      <c r="AK22" s="16"/>
      <c r="AL22" s="20"/>
      <c r="AM22" s="20"/>
      <c r="AN22" s="2"/>
      <c r="AO22" s="2"/>
    </row>
    <row r="23" spans="2:41" ht="15.75" customHeight="1" x14ac:dyDescent="0.2">
      <c r="B23" s="9"/>
      <c r="C23" s="228">
        <v>18</v>
      </c>
      <c r="D23" s="245" t="str">
        <f>INDEX(LookUp!$S$5:$AL$23,$C23,LookUp!$B$5)</f>
        <v>02040105150</v>
      </c>
      <c r="E23" s="246" t="str">
        <f>IF(D23="","",VLOOKUP(D23,LookUp!$M$5:$N$155,2,FALSE))</f>
        <v>Musconetcong River (above Trout Brook)</v>
      </c>
      <c r="F23" s="117">
        <f>IF($D23="","",VLOOKUP($D23,'HUC11 data'!$E$6:$K$156,3,FALSE))</f>
        <v>81.590400000000002</v>
      </c>
      <c r="G23" s="128">
        <f>IF($D23="","",VLOOKUP($D23,'HUC11 data'!$E$6:$K$156,4,FALSE))</f>
        <v>81.59</v>
      </c>
      <c r="H23" s="117">
        <f>IF($D23="","",VLOOKUP($D23,'HUC11 data'!$E$6:$K$156,5,FALSE))</f>
        <v>13.648199999999999</v>
      </c>
      <c r="I23" s="117">
        <f>IF($D23="","",VLOOKUP($D23,'HUC11 data'!$E$6:$K$156,6,FALSE))</f>
        <v>3.2000999999999999</v>
      </c>
      <c r="J23" s="128">
        <f>IF($D23="","",VLOOKUP($D23,'HUC11 data'!$E$6:$K$156,7,FALSE))</f>
        <v>10.4481</v>
      </c>
      <c r="K23" s="117" t="str">
        <f>IF($D23="","",VLOOKUP($D23,'HUC11 data'!$E$6:$S$156,11,FALSE))</f>
        <v>All</v>
      </c>
      <c r="L23" s="233" t="str">
        <f>IF($D23="","",VLOOKUP($D23,'HUC11 data'!$E$6:$S$156,12,FALSE))</f>
        <v/>
      </c>
      <c r="M23" s="233" t="str">
        <f>IF($D23="","",VLOOKUP($D23,'HUC11 data'!$E$6:$S$156,13,FALSE))</f>
        <v/>
      </c>
      <c r="N23" s="117" t="str">
        <f>IF($D23="","",VLOOKUP($D23,'HUC11 data'!$E$6:$S$156,14,FALSE))</f>
        <v/>
      </c>
      <c r="O23" s="117" t="str">
        <f>IF($D23="","",VLOOKUP($D23,'HUC11 data'!$E$6:$S$156,15,FALSE))</f>
        <v>Yes</v>
      </c>
      <c r="P23" s="151"/>
      <c r="Q23" s="156"/>
      <c r="R23" s="156"/>
      <c r="S23" s="130"/>
      <c r="T23" s="158"/>
      <c r="U23" s="153"/>
      <c r="V23" s="39"/>
      <c r="W23" s="154"/>
      <c r="X23" s="26"/>
      <c r="Y23" s="26"/>
      <c r="Z23" s="23"/>
      <c r="AB23" s="19"/>
      <c r="AC23" s="19"/>
      <c r="AD23" s="19"/>
      <c r="AE23" s="22"/>
      <c r="AF23" s="19"/>
      <c r="AG23" s="22"/>
      <c r="AI23" s="16"/>
      <c r="AJ23" s="16"/>
      <c r="AK23" s="16"/>
      <c r="AL23" s="20"/>
      <c r="AM23" s="20"/>
      <c r="AN23" s="2"/>
      <c r="AO23" s="2"/>
    </row>
    <row r="24" spans="2:41" ht="15.75" customHeight="1" thickBot="1" x14ac:dyDescent="0.25">
      <c r="B24" s="9"/>
      <c r="C24" s="157">
        <v>19</v>
      </c>
      <c r="D24" s="248" t="str">
        <f>INDEX(LookUp!$S$5:$AL$23,$C24,LookUp!$B$5)</f>
        <v>02040105160</v>
      </c>
      <c r="E24" s="249" t="str">
        <f>IF(D24="","",VLOOKUP(D24,LookUp!$M$5:$N$155,2,FALSE))</f>
        <v>Musconetcong River (below incl Trout Bk)</v>
      </c>
      <c r="F24" s="89">
        <f>IF($D24="","",VLOOKUP($D24,'HUC11 data'!$E$6:$K$156,3,FALSE))</f>
        <v>73.869100000000003</v>
      </c>
      <c r="G24" s="129">
        <f>IF($D24="","",VLOOKUP($D24,'HUC11 data'!$E$6:$K$156,4,FALSE))</f>
        <v>155.44999999999999</v>
      </c>
      <c r="H24" s="89">
        <f>IF($D24="","",VLOOKUP($D24,'HUC11 data'!$E$6:$K$156,5,FALSE))</f>
        <v>19.8979</v>
      </c>
      <c r="I24" s="89">
        <f>IF($D24="","",VLOOKUP($D24,'HUC11 data'!$E$6:$K$156,6,FALSE))</f>
        <v>5.8804999999999996</v>
      </c>
      <c r="J24" s="129">
        <f>IF($D24="","",VLOOKUP($D24,'HUC11 data'!$E$6:$K$156,7,FALSE))</f>
        <v>14.0174</v>
      </c>
      <c r="K24" s="89" t="str">
        <f>IF($D24="","",VLOOKUP($D24,'HUC11 data'!$E$6:$S$156,11,FALSE))</f>
        <v>All</v>
      </c>
      <c r="L24" s="235" t="str">
        <f>IF($D24="","",VLOOKUP($D24,'HUC11 data'!$E$6:$S$156,12,FALSE))</f>
        <v/>
      </c>
      <c r="M24" s="235" t="str">
        <f>IF($D24="","",VLOOKUP($D24,'HUC11 data'!$E$6:$S$156,13,FALSE))</f>
        <v/>
      </c>
      <c r="N24" s="89" t="str">
        <f>IF($D24="","",VLOOKUP($D24,'HUC11 data'!$E$6:$S$156,14,FALSE))</f>
        <v/>
      </c>
      <c r="O24" s="89" t="str">
        <f>IF($D24="","",VLOOKUP($D24,'HUC11 data'!$E$6:$S$156,15,FALSE))</f>
        <v>Yes</v>
      </c>
      <c r="P24" s="151"/>
      <c r="Q24" s="156"/>
      <c r="R24" s="156"/>
      <c r="S24" s="130"/>
      <c r="T24" s="158"/>
      <c r="U24" s="153"/>
      <c r="V24" s="39"/>
      <c r="W24" s="154"/>
      <c r="X24" s="26"/>
      <c r="Y24" s="26"/>
      <c r="Z24" s="23"/>
      <c r="AB24" s="19"/>
      <c r="AC24" s="19"/>
      <c r="AD24" s="19"/>
      <c r="AE24" s="22"/>
      <c r="AF24" s="19"/>
      <c r="AG24" s="22"/>
      <c r="AI24" s="16"/>
      <c r="AJ24" s="16"/>
      <c r="AK24" s="16"/>
      <c r="AL24" s="20"/>
      <c r="AM24" s="20"/>
      <c r="AN24" s="2"/>
      <c r="AO24" s="2"/>
    </row>
    <row r="25" spans="2:41" ht="15.75" customHeight="1" x14ac:dyDescent="0.2">
      <c r="B25" s="9"/>
      <c r="C25" s="16"/>
      <c r="D25" s="300" t="s">
        <v>566</v>
      </c>
      <c r="E25" s="17"/>
      <c r="F25" s="185"/>
      <c r="G25" s="185"/>
      <c r="H25" s="185"/>
      <c r="I25" s="185"/>
      <c r="J25" s="185"/>
      <c r="K25" s="185"/>
      <c r="L25" s="185"/>
      <c r="M25" s="185"/>
      <c r="N25" s="26"/>
      <c r="O25" s="39"/>
      <c r="P25" s="151"/>
      <c r="Q25" s="152"/>
      <c r="R25" s="152"/>
      <c r="S25" s="130"/>
      <c r="T25" s="152"/>
      <c r="U25" s="153"/>
      <c r="V25" s="39"/>
      <c r="W25" s="154"/>
      <c r="X25" s="26"/>
      <c r="Y25" s="26"/>
      <c r="Z25" s="23"/>
      <c r="AB25" s="19"/>
      <c r="AC25" s="19"/>
      <c r="AD25" s="19"/>
      <c r="AE25" s="22"/>
      <c r="AF25" s="19"/>
      <c r="AG25" s="22"/>
      <c r="AI25" s="16"/>
      <c r="AJ25" s="16"/>
      <c r="AK25" s="16"/>
      <c r="AL25" s="20"/>
      <c r="AM25" s="20"/>
      <c r="AN25" s="2"/>
      <c r="AO25" s="2"/>
    </row>
    <row r="26" spans="2:41" ht="15.75" customHeight="1" x14ac:dyDescent="0.2">
      <c r="B26" s="9"/>
      <c r="C26" s="16"/>
      <c r="D26" s="16"/>
      <c r="E26" s="17"/>
      <c r="F26" s="185"/>
      <c r="G26" s="185"/>
      <c r="H26" s="185"/>
      <c r="I26" s="185"/>
      <c r="J26" s="185"/>
      <c r="K26" s="185"/>
      <c r="L26" s="185"/>
      <c r="M26" s="185"/>
      <c r="N26" s="26"/>
      <c r="O26" s="39"/>
      <c r="P26" s="151"/>
      <c r="Q26" s="152"/>
      <c r="R26" s="152"/>
      <c r="S26" s="130"/>
      <c r="T26" s="152"/>
      <c r="U26" s="153"/>
      <c r="V26" s="39"/>
      <c r="W26" s="154"/>
      <c r="X26" s="26"/>
      <c r="Y26" s="26"/>
      <c r="Z26" s="23"/>
      <c r="AB26" s="19"/>
      <c r="AC26" s="19"/>
      <c r="AD26" s="19"/>
      <c r="AE26" s="22"/>
      <c r="AF26" s="19"/>
      <c r="AG26" s="22"/>
      <c r="AI26" s="16"/>
      <c r="AJ26" s="16"/>
      <c r="AK26" s="16"/>
      <c r="AL26" s="20"/>
      <c r="AM26" s="20"/>
      <c r="AN26" s="2"/>
      <c r="AO26" s="2"/>
    </row>
    <row r="27" spans="2:41" ht="15.75" customHeight="1" thickBot="1" x14ac:dyDescent="0.3">
      <c r="B27" s="9"/>
      <c r="C27" s="186" t="s">
        <v>597</v>
      </c>
      <c r="D27" s="16"/>
      <c r="E27" s="17"/>
      <c r="F27" s="185"/>
      <c r="G27" s="185"/>
      <c r="H27" s="185"/>
      <c r="I27" s="185"/>
      <c r="J27" s="185"/>
      <c r="K27" s="185"/>
      <c r="L27" s="185"/>
      <c r="M27" s="185"/>
      <c r="N27" s="157"/>
      <c r="O27" s="115"/>
      <c r="P27" s="151"/>
      <c r="Q27" s="152"/>
      <c r="R27" s="152"/>
      <c r="S27" s="130"/>
      <c r="T27" s="152"/>
      <c r="U27" s="153"/>
      <c r="V27" s="39"/>
      <c r="W27" s="154"/>
      <c r="X27" s="26"/>
      <c r="Y27" s="26"/>
      <c r="Z27" s="23"/>
      <c r="AB27" s="19"/>
      <c r="AC27" s="19"/>
      <c r="AD27" s="19"/>
      <c r="AE27" s="22"/>
      <c r="AF27" s="19"/>
      <c r="AG27" s="22"/>
      <c r="AI27" s="16"/>
      <c r="AJ27" s="16"/>
      <c r="AK27" s="16"/>
      <c r="AL27" s="20"/>
      <c r="AM27" s="20"/>
      <c r="AN27" s="2"/>
      <c r="AO27" s="2"/>
    </row>
    <row r="28" spans="2:41" ht="63.75" thickBot="1" x14ac:dyDescent="0.3">
      <c r="B28" s="9"/>
      <c r="C28" s="204" t="s">
        <v>0</v>
      </c>
      <c r="D28" s="301" t="s">
        <v>1</v>
      </c>
      <c r="E28" s="302" t="s">
        <v>2</v>
      </c>
      <c r="F28" s="170" t="s">
        <v>9</v>
      </c>
      <c r="G28" s="304" t="s">
        <v>8</v>
      </c>
      <c r="H28" s="305" t="s">
        <v>554</v>
      </c>
      <c r="I28" s="170" t="s">
        <v>10</v>
      </c>
      <c r="J28" s="204" t="s">
        <v>11</v>
      </c>
      <c r="K28" s="196" t="s">
        <v>567</v>
      </c>
      <c r="L28" s="305" t="s">
        <v>555</v>
      </c>
      <c r="M28" s="170" t="s">
        <v>569</v>
      </c>
      <c r="N28" s="204" t="s">
        <v>12</v>
      </c>
      <c r="O28" s="204" t="s">
        <v>568</v>
      </c>
      <c r="P28" s="160"/>
      <c r="Q28" s="160"/>
      <c r="R28" s="173"/>
      <c r="S28" s="160"/>
      <c r="T28" s="160"/>
      <c r="U28" s="173"/>
      <c r="Z28" s="23"/>
      <c r="AB28" s="19"/>
      <c r="AC28" s="19"/>
      <c r="AD28" s="19"/>
      <c r="AE28" s="22"/>
      <c r="AF28" s="241"/>
      <c r="AG28" s="8"/>
      <c r="AH28" s="8"/>
      <c r="AI28" s="8"/>
      <c r="AJ28" s="16"/>
      <c r="AK28" s="16"/>
      <c r="AL28" s="20"/>
      <c r="AM28" s="20"/>
      <c r="AN28" s="2"/>
      <c r="AO28" s="2"/>
    </row>
    <row r="29" spans="2:41" ht="15.75" customHeight="1" x14ac:dyDescent="0.2">
      <c r="B29" s="9"/>
      <c r="C29" s="26">
        <v>1</v>
      </c>
      <c r="D29" s="243" t="str">
        <f>INDEX(LookUp!$S$5:$AL$23,$C29,LookUp!$B$5)</f>
        <v>02040104090</v>
      </c>
      <c r="E29" s="244" t="str">
        <f>IF(D29="","",VLOOKUP(D29,LookUp!$M$5:$N$155,2,FALSE))</f>
        <v>Shimers Brook / Clove Brook</v>
      </c>
      <c r="F29" s="311">
        <f>IF($D29="","",VLOOKUP($D29,'Current Withdrawals'!$A$6:$G$156,4,FALSE))</f>
        <v>0.95499999999999996</v>
      </c>
      <c r="G29" s="194">
        <f>IF($D29="","",VLOOKUP($D29,'Current Withdrawals'!$A$6:$G$156,3,FALSE))</f>
        <v>2002</v>
      </c>
      <c r="H29" s="156">
        <f>IF($D29="","",VLOOKUP($D29,'Current Withdrawals'!$A$6:$G$156,5,FALSE))</f>
        <v>0.61454157112603913</v>
      </c>
      <c r="I29" s="188">
        <f>IF($D29="","",VLOOKUP($D29,'Current Withdrawals'!$A$6:$G$156,6,FALSE))</f>
        <v>0.64349902735710907</v>
      </c>
      <c r="J29" s="158">
        <f>IF($D29="","",VLOOKUP($D29,'Current Withdrawals'!$A$6:$G$156,7,FALSE))</f>
        <v>0.34045842887396083</v>
      </c>
      <c r="K29" s="197" t="str">
        <f>IF(D29="","",VLOOKUP(+D29,'Current Withdrawals'!$AO$6:$AX$156,9,FALSE))</f>
        <v>Non-Ag Irr</v>
      </c>
      <c r="L29" s="166">
        <f>IF($D29="","",VLOOKUP($D29,'Full Allocation'!$A$6:$B$156,2,FALSE))</f>
        <v>0.46993933836245361</v>
      </c>
      <c r="M29" s="39">
        <f t="shared" ref="M29:M47" si="0">IF($D29="","",IF(F29&lt;0.0001,IF(L29&lt;0,"Net Gain",1),IF(L29="","",IF(L29&lt;0,"Net Gain",L29/F29))))</f>
        <v>0.49208307681932317</v>
      </c>
      <c r="N29" s="154">
        <f t="shared" ref="N29:N47" si="1">IF($D29="","",MAX(0,F29-L29))</f>
        <v>0.48506066163754635</v>
      </c>
      <c r="O29" s="181" t="str">
        <f>IF($D29="","",VLOOKUP($D29,'Full Allocation'!$A$6:$C$156,3,FALSE))</f>
        <v>Potable</v>
      </c>
      <c r="P29" s="151"/>
      <c r="Q29" s="156"/>
      <c r="R29" s="156"/>
      <c r="S29" s="130"/>
      <c r="T29" s="158"/>
      <c r="U29" s="166"/>
      <c r="Z29" s="23"/>
      <c r="AB29" s="19"/>
      <c r="AC29" s="19"/>
      <c r="AD29" s="19"/>
      <c r="AE29" s="22"/>
      <c r="AF29" s="40"/>
      <c r="AG29" s="335"/>
      <c r="AH29" s="335"/>
      <c r="AI29" s="335"/>
      <c r="AJ29" s="16"/>
      <c r="AK29" s="16"/>
      <c r="AL29" s="20"/>
      <c r="AM29" s="20"/>
      <c r="AN29" s="2"/>
      <c r="AO29" s="2"/>
    </row>
    <row r="30" spans="2:41" ht="15.75" customHeight="1" x14ac:dyDescent="0.2">
      <c r="B30" s="9"/>
      <c r="C30" s="228">
        <v>2</v>
      </c>
      <c r="D30" s="245" t="str">
        <f>INDEX(LookUp!$S$5:$AL$23,$C30,LookUp!$B$5)</f>
        <v>02040104110</v>
      </c>
      <c r="E30" s="246" t="str">
        <f>IF(D30="","",VLOOKUP(D30,LookUp!$M$5:$N$155,2,FALSE))</f>
        <v>Walpack Bend / Montague Riverfront</v>
      </c>
      <c r="F30" s="312">
        <f>IF($D30="","",VLOOKUP($D30,'Current Withdrawals'!$A$6:$G$156,4,FALSE))</f>
        <v>0.54749999999999999</v>
      </c>
      <c r="G30" s="195">
        <f>IF($D30="","",VLOOKUP($D30,'Current Withdrawals'!$A$6:$G$156,3,FALSE))</f>
        <v>2007</v>
      </c>
      <c r="H30" s="131">
        <f>IF($D30="","",VLOOKUP($D30,'Current Withdrawals'!$A$6:$G$156,5,FALSE))</f>
        <v>2.4152770406425036E-2</v>
      </c>
      <c r="I30" s="189">
        <f>IF($D30="","",VLOOKUP($D30,'Current Withdrawals'!$A$6:$G$156,6,FALSE))</f>
        <v>4.4114649144155318E-2</v>
      </c>
      <c r="J30" s="159">
        <f>IF($D30="","",VLOOKUP($D30,'Current Withdrawals'!$A$6:$G$156,7,FALSE))</f>
        <v>0.52334722959357494</v>
      </c>
      <c r="K30" s="198" t="str">
        <f>IF(D30="","",VLOOKUP(+D30,'Current Withdrawals'!$AO$6:$AX$156,9,FALSE))</f>
        <v>Potable</v>
      </c>
      <c r="L30" s="201">
        <f>IF($D30="","",VLOOKUP($D30,'Full Allocation'!$A$6:$B$156,2,FALSE))</f>
        <v>6.1514418522070444E-2</v>
      </c>
      <c r="M30" s="205">
        <f t="shared" si="0"/>
        <v>0.11235510232341633</v>
      </c>
      <c r="N30" s="206">
        <f t="shared" si="1"/>
        <v>0.48598558147792953</v>
      </c>
      <c r="O30" s="182" t="str">
        <f>IF($D30="","",VLOOKUP($D30,'Full Allocation'!$A$6:$C$156,3,FALSE))</f>
        <v>Potable</v>
      </c>
      <c r="P30" s="151"/>
      <c r="Q30" s="156"/>
      <c r="R30" s="325"/>
      <c r="S30" s="130"/>
      <c r="T30" s="158"/>
      <c r="U30" s="2"/>
      <c r="Z30" s="23"/>
      <c r="AB30" s="19"/>
      <c r="AC30" s="19"/>
      <c r="AD30" s="19"/>
      <c r="AE30" s="22"/>
      <c r="AF30" s="40"/>
      <c r="AG30" s="336"/>
      <c r="AH30" s="336"/>
      <c r="AI30" s="336"/>
      <c r="AJ30" s="16"/>
      <c r="AK30" s="16"/>
      <c r="AL30" s="20"/>
      <c r="AM30" s="20"/>
      <c r="AN30" s="2"/>
      <c r="AO30" s="2"/>
    </row>
    <row r="31" spans="2:41" ht="15.75" customHeight="1" x14ac:dyDescent="0.2">
      <c r="B31" s="9"/>
      <c r="C31" s="26">
        <v>3</v>
      </c>
      <c r="D31" s="243" t="str">
        <f>INDEX(LookUp!$S$5:$AL$23,$C31,LookUp!$B$5)</f>
        <v>02040104130</v>
      </c>
      <c r="E31" s="247" t="str">
        <f>IF(D31="","",VLOOKUP(D31,LookUp!$M$5:$N$155,2,FALSE))</f>
        <v>Little Flat Brook</v>
      </c>
      <c r="F31" s="311">
        <f>IF($D31="","",VLOOKUP($D31,'Current Withdrawals'!$A$6:$G$156,4,FALSE))</f>
        <v>0.57250000000000001</v>
      </c>
      <c r="G31" s="194">
        <f>IF($D31="","",VLOOKUP($D31,'Current Withdrawals'!$A$6:$G$156,3,FALSE))</f>
        <v>2009</v>
      </c>
      <c r="H31" s="156">
        <f>IF($D31="","",VLOOKUP($D31,'Current Withdrawals'!$A$6:$G$156,5,FALSE))</f>
        <v>1.6926911261421485E-2</v>
      </c>
      <c r="I31" s="188">
        <f>IF($D31="","",VLOOKUP($D31,'Current Withdrawals'!$A$6:$G$156,6,FALSE))</f>
        <v>2.9566657225190366E-2</v>
      </c>
      <c r="J31" s="158">
        <f>IF($D31="","",VLOOKUP($D31,'Current Withdrawals'!$A$6:$G$156,7,FALSE))</f>
        <v>0.55557308873857858</v>
      </c>
      <c r="K31" s="199" t="str">
        <f>IF(D31="","",VLOOKUP(+D31,'Current Withdrawals'!$AO$6:$AX$156,9,FALSE))</f>
        <v>Potable</v>
      </c>
      <c r="L31" s="166">
        <f>IF($D31="","",VLOOKUP($D31,'Full Allocation'!$A$6:$B$156,2,FALSE))</f>
        <v>2.7573947524743334E-2</v>
      </c>
      <c r="M31" s="39">
        <f t="shared" si="0"/>
        <v>4.8164100479901016E-2</v>
      </c>
      <c r="N31" s="154">
        <f t="shared" si="1"/>
        <v>0.54492605247525672</v>
      </c>
      <c r="O31" s="26" t="str">
        <f>IF($D31="","",VLOOKUP($D31,'Full Allocation'!$A$6:$C$156,3,FALSE))</f>
        <v>no allocations</v>
      </c>
      <c r="P31" s="151"/>
      <c r="Q31" s="156"/>
      <c r="R31" s="326"/>
      <c r="S31" s="130"/>
      <c r="T31" s="158"/>
      <c r="U31" s="2"/>
      <c r="Z31" s="23"/>
      <c r="AB31" s="19"/>
      <c r="AC31" s="19"/>
      <c r="AD31" s="19"/>
      <c r="AE31" s="22"/>
      <c r="AG31" s="336"/>
      <c r="AH31" s="336"/>
      <c r="AI31" s="336"/>
      <c r="AJ31" s="16"/>
      <c r="AK31" s="16"/>
      <c r="AL31" s="20"/>
      <c r="AM31" s="20"/>
      <c r="AN31" s="2"/>
      <c r="AO31" s="2"/>
    </row>
    <row r="32" spans="2:41" ht="15.75" customHeight="1" x14ac:dyDescent="0.2">
      <c r="B32" s="9"/>
      <c r="C32" s="228">
        <v>4</v>
      </c>
      <c r="D32" s="245" t="str">
        <f>INDEX(LookUp!$S$5:$AL$23,$C32,LookUp!$B$5)</f>
        <v>02040104140</v>
      </c>
      <c r="E32" s="246" t="str">
        <f>IF(D32="","",VLOOKUP(D32,LookUp!$M$5:$N$155,2,FALSE))</f>
        <v>Big Flat Brook</v>
      </c>
      <c r="F32" s="312">
        <f>IF($D32="","",VLOOKUP($D32,'Current Withdrawals'!$A$6:$G$156,4,FALSE))</f>
        <v>1.07</v>
      </c>
      <c r="G32" s="195">
        <f>IF($D32="","",VLOOKUP($D32,'Current Withdrawals'!$A$6:$G$156,3,FALSE))</f>
        <v>2007</v>
      </c>
      <c r="H32" s="131">
        <f>IF($D32="","",VLOOKUP($D32,'Current Withdrawals'!$A$6:$G$156,5,FALSE))</f>
        <v>3.3361132804825944E-2</v>
      </c>
      <c r="I32" s="189">
        <f>IF($D32="","",VLOOKUP($D32,'Current Withdrawals'!$A$6:$G$156,6,FALSE))</f>
        <v>3.1178628789556954E-2</v>
      </c>
      <c r="J32" s="159">
        <f>IF($D32="","",VLOOKUP($D32,'Current Withdrawals'!$A$6:$G$156,7,FALSE))</f>
        <v>1.0366388671951741</v>
      </c>
      <c r="K32" s="198" t="str">
        <f>IF(D32="","",VLOOKUP(+D32,'Current Withdrawals'!$AO$6:$AX$156,9,FALSE))</f>
        <v>Potable</v>
      </c>
      <c r="L32" s="201">
        <f>IF($D32="","",VLOOKUP($D32,'Full Allocation'!$A$6:$B$156,2,FALSE))</f>
        <v>5.5606381704700267E-2</v>
      </c>
      <c r="M32" s="205">
        <f t="shared" si="0"/>
        <v>5.1968581032430156E-2</v>
      </c>
      <c r="N32" s="206">
        <f t="shared" si="1"/>
        <v>1.0143936182952997</v>
      </c>
      <c r="O32" s="182" t="str">
        <f>IF($D32="","",VLOOKUP($D32,'Full Allocation'!$A$6:$C$156,3,FALSE))</f>
        <v>no allocations</v>
      </c>
      <c r="P32" s="151"/>
      <c r="Q32" s="326"/>
      <c r="R32" s="334"/>
      <c r="S32" s="130"/>
      <c r="T32" s="158"/>
      <c r="U32" s="166"/>
      <c r="Z32" s="23"/>
      <c r="AB32" s="19"/>
      <c r="AC32" s="19"/>
      <c r="AD32" s="19"/>
      <c r="AE32" s="22"/>
      <c r="AG32" s="337"/>
      <c r="AH32" s="337"/>
      <c r="AI32" s="337"/>
      <c r="AJ32" s="16"/>
      <c r="AK32" s="16"/>
      <c r="AL32" s="20"/>
      <c r="AM32" s="20"/>
      <c r="AN32" s="2"/>
      <c r="AO32" s="2"/>
    </row>
    <row r="33" spans="2:41" ht="15.75" customHeight="1" x14ac:dyDescent="0.2">
      <c r="B33" s="9"/>
      <c r="C33" s="26">
        <v>5</v>
      </c>
      <c r="D33" s="243" t="str">
        <f>INDEX(LookUp!$S$5:$AL$23,$C33,LookUp!$B$5)</f>
        <v>02040104150</v>
      </c>
      <c r="E33" s="247" t="str">
        <f>IF(D33="","",VLOOKUP(D33,LookUp!$M$5:$N$155,2,FALSE))</f>
        <v>Flat Brook</v>
      </c>
      <c r="F33" s="311">
        <f>IF($D33="","",VLOOKUP($D33,'Current Withdrawals'!$A$6:$G$156,4,FALSE))</f>
        <v>0.6</v>
      </c>
      <c r="G33" s="194">
        <f>IF($D33="","",VLOOKUP($D33,'Current Withdrawals'!$A$6:$G$156,3,FALSE))</f>
        <v>2008</v>
      </c>
      <c r="H33" s="156">
        <f>IF($D33="","",VLOOKUP($D33,'Current Withdrawals'!$A$6:$G$156,5,FALSE))</f>
        <v>5.082842929612235E-3</v>
      </c>
      <c r="I33" s="188">
        <f>IF($D33="","",VLOOKUP($D33,'Current Withdrawals'!$A$6:$G$156,6,FALSE))</f>
        <v>8.4714048826870589E-3</v>
      </c>
      <c r="J33" s="158">
        <f>IF($D33="","",VLOOKUP($D33,'Current Withdrawals'!$A$6:$G$156,7,FALSE))</f>
        <v>0.59491715707038773</v>
      </c>
      <c r="K33" s="199" t="str">
        <f>IF(D33="","",VLOOKUP(+D33,'Current Withdrawals'!$AO$6:$AX$156,9,FALSE))</f>
        <v>Potable</v>
      </c>
      <c r="L33" s="166">
        <f>IF($D33="","",VLOOKUP($D33,'Full Allocation'!$A$6:$B$156,2,FALSE))</f>
        <v>9.8600242397271602E-3</v>
      </c>
      <c r="M33" s="39">
        <f t="shared" si="0"/>
        <v>1.6433373732878603E-2</v>
      </c>
      <c r="N33" s="154">
        <f t="shared" si="1"/>
        <v>0.59013997576027277</v>
      </c>
      <c r="O33" s="26" t="str">
        <f>IF($D33="","",VLOOKUP($D33,'Full Allocation'!$A$6:$C$156,3,FALSE))</f>
        <v>no allocations</v>
      </c>
      <c r="P33" s="151"/>
      <c r="Q33" s="326"/>
      <c r="R33" s="334"/>
      <c r="S33" s="130"/>
      <c r="T33" s="158"/>
      <c r="U33" s="166"/>
      <c r="Z33" s="23"/>
      <c r="AB33" s="19"/>
      <c r="AC33" s="19"/>
      <c r="AD33" s="19"/>
      <c r="AE33" s="22"/>
      <c r="AF33" s="40"/>
      <c r="AG33" s="338"/>
      <c r="AH33" s="338"/>
      <c r="AI33" s="338"/>
      <c r="AJ33" s="16"/>
      <c r="AK33" s="16"/>
      <c r="AL33" s="20"/>
      <c r="AM33" s="20"/>
      <c r="AN33" s="2"/>
      <c r="AO33" s="2"/>
    </row>
    <row r="34" spans="2:41" ht="15.75" customHeight="1" x14ac:dyDescent="0.2">
      <c r="B34" s="9"/>
      <c r="C34" s="228">
        <v>6</v>
      </c>
      <c r="D34" s="245" t="str">
        <f>INDEX(LookUp!$S$5:$AL$23,$C34,LookUp!$B$5)</f>
        <v>02040104240</v>
      </c>
      <c r="E34" s="246" t="str">
        <f>IF(D34="","",VLOOKUP(D34,LookUp!$M$5:$N$155,2,FALSE))</f>
        <v>Van Campens Brook / Dunnfield Creek</v>
      </c>
      <c r="F34" s="312">
        <f>IF($D34="","",VLOOKUP($D34,'Current Withdrawals'!$A$6:$G$156,4,FALSE))</f>
        <v>0.86</v>
      </c>
      <c r="G34" s="195">
        <f>IF($D34="","",VLOOKUP($D34,'Current Withdrawals'!$A$6:$G$156,3,FALSE))</f>
        <v>2009</v>
      </c>
      <c r="H34" s="131">
        <f>IF($D34="","",VLOOKUP($D34,'Current Withdrawals'!$A$6:$G$156,5,FALSE))</f>
        <v>1.4792893896731232E-2</v>
      </c>
      <c r="I34" s="189">
        <f>IF($D34="","",VLOOKUP($D34,'Current Withdrawals'!$A$6:$G$156,6,FALSE))</f>
        <v>1.7201039414803759E-2</v>
      </c>
      <c r="J34" s="159">
        <f>IF($D34="","",VLOOKUP($D34,'Current Withdrawals'!$A$6:$G$156,7,FALSE))</f>
        <v>0.84520710610326877</v>
      </c>
      <c r="K34" s="198" t="str">
        <f>IF(D34="","",VLOOKUP(+D34,'Current Withdrawals'!$AO$6:$AX$156,9,FALSE))</f>
        <v>Potable</v>
      </c>
      <c r="L34" s="201">
        <f>IF($D34="","",VLOOKUP($D34,'Full Allocation'!$A$6:$B$156,2,FALSE))</f>
        <v>2.3613545093432969E-2</v>
      </c>
      <c r="M34" s="205">
        <f t="shared" si="0"/>
        <v>2.7457610573759266E-2</v>
      </c>
      <c r="N34" s="206">
        <f t="shared" si="1"/>
        <v>0.83638645490656705</v>
      </c>
      <c r="O34" s="182" t="str">
        <f>IF($D34="","",VLOOKUP($D34,'Full Allocation'!$A$6:$C$156,3,FALSE))</f>
        <v>no allocations</v>
      </c>
      <c r="P34" s="151"/>
      <c r="Q34" s="156"/>
      <c r="R34" s="156"/>
      <c r="S34" s="130"/>
      <c r="T34" s="158"/>
      <c r="U34" s="166"/>
      <c r="Z34" s="23"/>
      <c r="AB34" s="19"/>
      <c r="AC34" s="19"/>
      <c r="AD34" s="19"/>
      <c r="AE34" s="22"/>
      <c r="AG34" s="338"/>
      <c r="AH34" s="338"/>
      <c r="AI34" s="338"/>
      <c r="AJ34" s="16"/>
      <c r="AK34" s="16"/>
      <c r="AL34" s="20"/>
      <c r="AM34" s="20"/>
      <c r="AN34" s="2"/>
      <c r="AO34" s="2"/>
    </row>
    <row r="35" spans="2:41" ht="15.75" customHeight="1" x14ac:dyDescent="0.2">
      <c r="B35" s="9"/>
      <c r="C35" s="26">
        <v>7</v>
      </c>
      <c r="D35" s="243" t="str">
        <f>INDEX(LookUp!$S$5:$AL$23,$C35,LookUp!$B$5)</f>
        <v>02040105030</v>
      </c>
      <c r="E35" s="247" t="str">
        <f>IF(D35="","",VLOOKUP(D35,LookUp!$M$5:$N$155,2,FALSE))</f>
        <v>Trout Brook / Swartswood Lake</v>
      </c>
      <c r="F35" s="311">
        <f>IF($D35="","",VLOOKUP($D35,'Current Withdrawals'!$A$6:$G$156,4,FALSE))</f>
        <v>0.97750000000000004</v>
      </c>
      <c r="G35" s="194">
        <f>IF($D35="","",VLOOKUP($D35,'Current Withdrawals'!$A$6:$G$156,3,FALSE))</f>
        <v>2003</v>
      </c>
      <c r="H35" s="156">
        <f>IF($D35="","",VLOOKUP($D35,'Current Withdrawals'!$A$6:$G$156,5,FALSE))</f>
        <v>5.8909158839057785E-2</v>
      </c>
      <c r="I35" s="188">
        <f>IF($D35="","",VLOOKUP($D35,'Current Withdrawals'!$A$6:$G$156,6,FALSE))</f>
        <v>6.0265124132028419E-2</v>
      </c>
      <c r="J35" s="158">
        <f>IF($D35="","",VLOOKUP($D35,'Current Withdrawals'!$A$6:$G$156,7,FALSE))</f>
        <v>0.91859084116094225</v>
      </c>
      <c r="K35" s="199" t="str">
        <f>IF(D35="","",VLOOKUP(+D35,'Current Withdrawals'!$AO$6:$AX$156,9,FALSE))</f>
        <v>Potable</v>
      </c>
      <c r="L35" s="166">
        <f>IF($D35="","",VLOOKUP($D35,'Full Allocation'!$A$6:$B$156,2,FALSE))</f>
        <v>0.10375556530375729</v>
      </c>
      <c r="M35" s="39">
        <f t="shared" si="0"/>
        <v>0.10614380082225809</v>
      </c>
      <c r="N35" s="154">
        <f t="shared" si="1"/>
        <v>0.87374443469624274</v>
      </c>
      <c r="O35" s="26" t="str">
        <f>IF($D35="","",VLOOKUP($D35,'Full Allocation'!$A$6:$C$156,3,FALSE))</f>
        <v>no allocations</v>
      </c>
      <c r="P35" s="151"/>
      <c r="Q35" s="156"/>
      <c r="R35" s="156"/>
      <c r="S35" s="130"/>
      <c r="T35" s="158"/>
      <c r="U35" s="166"/>
      <c r="Z35" s="23"/>
      <c r="AB35" s="19"/>
      <c r="AC35" s="19"/>
      <c r="AD35" s="19"/>
      <c r="AE35" s="22"/>
      <c r="AG35" s="338"/>
      <c r="AH35" s="338"/>
      <c r="AI35" s="338"/>
      <c r="AJ35" s="16"/>
      <c r="AK35" s="16"/>
      <c r="AL35" s="20"/>
      <c r="AM35" s="20"/>
      <c r="AN35" s="2"/>
      <c r="AO35" s="2"/>
    </row>
    <row r="36" spans="2:41" ht="15.75" customHeight="1" x14ac:dyDescent="0.2">
      <c r="B36" s="9"/>
      <c r="C36" s="228">
        <v>8</v>
      </c>
      <c r="D36" s="245" t="str">
        <f>INDEX(LookUp!$S$5:$AL$23,$C36,LookUp!$B$5)</f>
        <v>02040105040</v>
      </c>
      <c r="E36" s="246" t="str">
        <f>IF(D36="","",VLOOKUP(D36,LookUp!$M$5:$N$155,2,FALSE))</f>
        <v>Paulins Kill (above Stillwater Village)</v>
      </c>
      <c r="F36" s="312">
        <f>IF($D36="","",VLOOKUP($D36,'Current Withdrawals'!$A$6:$G$156,4,FALSE))</f>
        <v>3.8075000000000001</v>
      </c>
      <c r="G36" s="195">
        <f>IF($D36="","",VLOOKUP($D36,'Current Withdrawals'!$A$6:$G$156,3,FALSE))</f>
        <v>2007</v>
      </c>
      <c r="H36" s="131">
        <f>IF($D36="","",VLOOKUP($D36,'Current Withdrawals'!$A$6:$G$156,5,FALSE))</f>
        <v>1.5635484401771338</v>
      </c>
      <c r="I36" s="189">
        <f>IF($D36="","",VLOOKUP($D36,'Current Withdrawals'!$A$6:$G$156,6,FALSE))</f>
        <v>0.41064962315880071</v>
      </c>
      <c r="J36" s="159">
        <f>IF($D36="","",VLOOKUP($D36,'Current Withdrawals'!$A$6:$G$156,7,FALSE))</f>
        <v>2.2439515598228663</v>
      </c>
      <c r="K36" s="198" t="str">
        <f>IF(D36="","",VLOOKUP(+D36,'Current Withdrawals'!$AO$6:$AX$156,9,FALSE))</f>
        <v>Potable</v>
      </c>
      <c r="L36" s="201">
        <f>IF($D36="","",VLOOKUP($D36,'Full Allocation'!$A$6:$B$156,2,FALSE))</f>
        <v>2.7785735090809154</v>
      </c>
      <c r="M36" s="205">
        <f t="shared" si="0"/>
        <v>0.72976323285119249</v>
      </c>
      <c r="N36" s="206">
        <f t="shared" si="1"/>
        <v>1.0289264909190847</v>
      </c>
      <c r="O36" s="182" t="str">
        <f>IF($D36="","",VLOOKUP($D36,'Full Allocation'!$A$6:$C$156,3,FALSE))</f>
        <v>Potable</v>
      </c>
      <c r="P36" s="151"/>
      <c r="Q36" s="156"/>
      <c r="R36" s="156"/>
      <c r="S36" s="130"/>
      <c r="T36" s="158"/>
      <c r="U36" s="166"/>
      <c r="Z36" s="23"/>
      <c r="AB36" s="19"/>
      <c r="AC36" s="19"/>
      <c r="AD36" s="19"/>
      <c r="AE36" s="22"/>
      <c r="AG36" s="338"/>
      <c r="AH36" s="338"/>
      <c r="AI36" s="338"/>
      <c r="AJ36" s="16"/>
      <c r="AK36" s="16"/>
      <c r="AL36" s="20"/>
      <c r="AM36" s="20"/>
      <c r="AN36" s="2"/>
      <c r="AO36" s="2"/>
    </row>
    <row r="37" spans="2:41" ht="15.75" customHeight="1" thickBot="1" x14ac:dyDescent="0.25">
      <c r="B37" s="9"/>
      <c r="C37" s="26">
        <v>9</v>
      </c>
      <c r="D37" s="243" t="str">
        <f>INDEX(LookUp!$S$5:$AL$23,$C37,LookUp!$B$5)</f>
        <v>02040105050</v>
      </c>
      <c r="E37" s="247" t="str">
        <f>IF(D37="","",VLOOKUP(D37,LookUp!$M$5:$N$155,2,FALSE))</f>
        <v>Paulins Kill (below Stillwater Village)</v>
      </c>
      <c r="F37" s="311">
        <f>IF($D37="","",VLOOKUP($D37,'Current Withdrawals'!$A$6:$G$156,4,FALSE))</f>
        <v>3.4075000000000002</v>
      </c>
      <c r="G37" s="194">
        <f>IF($D37="","",VLOOKUP($D37,'Current Withdrawals'!$A$6:$G$156,3,FALSE))</f>
        <v>2002</v>
      </c>
      <c r="H37" s="156">
        <f>IF($D37="","",VLOOKUP($D37,'Current Withdrawals'!$A$6:$G$156,5,FALSE))</f>
        <v>0.22209074157338971</v>
      </c>
      <c r="I37" s="188">
        <f>IF($D37="","",VLOOKUP($D37,'Current Withdrawals'!$A$6:$G$156,6,FALSE))</f>
        <v>6.5177033477150315E-2</v>
      </c>
      <c r="J37" s="158">
        <f>IF($D37="","",VLOOKUP($D37,'Current Withdrawals'!$A$6:$G$156,7,FALSE))</f>
        <v>3.1854092584266107</v>
      </c>
      <c r="K37" s="199" t="str">
        <f>IF(D37="","",VLOOKUP(+D37,'Current Withdrawals'!$AO$6:$AX$156,9,FALSE))</f>
        <v>Potable</v>
      </c>
      <c r="L37" s="166">
        <f>IF($D37="","",VLOOKUP($D37,'Full Allocation'!$A$6:$B$156,2,FALSE))</f>
        <v>0.56556113599593572</v>
      </c>
      <c r="M37" s="39">
        <f t="shared" si="0"/>
        <v>0.16597538840673093</v>
      </c>
      <c r="N37" s="154">
        <f t="shared" si="1"/>
        <v>2.8419388640040646</v>
      </c>
      <c r="O37" s="26" t="str">
        <f>IF($D37="","",VLOOKUP($D37,'Full Allocation'!$A$6:$C$156,3,FALSE))</f>
        <v>Ag Irr</v>
      </c>
      <c r="P37" s="151"/>
      <c r="Q37" s="156"/>
      <c r="R37" s="156"/>
      <c r="S37" s="130"/>
      <c r="T37" s="158"/>
      <c r="U37" s="166"/>
      <c r="Z37" s="23"/>
      <c r="AB37" s="19"/>
      <c r="AC37" s="19"/>
      <c r="AD37" s="19"/>
      <c r="AE37" s="22"/>
      <c r="AF37" s="40"/>
      <c r="AG37" s="336"/>
      <c r="AH37" s="338"/>
      <c r="AI37" s="338"/>
      <c r="AJ37" s="16"/>
      <c r="AK37" s="16"/>
      <c r="AL37" s="20"/>
      <c r="AM37" s="20"/>
      <c r="AN37" s="2"/>
      <c r="AO37" s="2"/>
    </row>
    <row r="38" spans="2:41" ht="15.75" customHeight="1" x14ac:dyDescent="0.2">
      <c r="B38" s="9"/>
      <c r="C38" s="228">
        <v>10</v>
      </c>
      <c r="D38" s="245" t="str">
        <f>INDEX(LookUp!$S$5:$AL$23,$C38,LookUp!$B$5)</f>
        <v>02040105060</v>
      </c>
      <c r="E38" s="246" t="str">
        <f>IF(D38="","",VLOOKUP(D38,LookUp!$M$5:$N$155,2,FALSE))</f>
        <v>Stony Brook / Delawanna Creek</v>
      </c>
      <c r="F38" s="312">
        <f>IF($D38="","",VLOOKUP($D38,'Current Withdrawals'!$A$6:$G$156,4,FALSE))</f>
        <v>0.69962500000000005</v>
      </c>
      <c r="G38" s="195">
        <f>IF($D38="","",VLOOKUP($D38,'Current Withdrawals'!$A$6:$G$156,3,FALSE))</f>
        <v>2001</v>
      </c>
      <c r="H38" s="131">
        <f>IF($D38="","",VLOOKUP($D38,'Current Withdrawals'!$A$6:$G$156,5,FALSE))</f>
        <v>3.8700466046606152E-2</v>
      </c>
      <c r="I38" s="189">
        <f>IF($D38="","",VLOOKUP($D38,'Current Withdrawals'!$A$6:$G$156,6,FALSE))</f>
        <v>5.5316013645318775E-2</v>
      </c>
      <c r="J38" s="159">
        <f>IF($D38="","",VLOOKUP($D38,'Current Withdrawals'!$A$6:$G$156,7,FALSE))</f>
        <v>0.6609245339533939</v>
      </c>
      <c r="K38" s="198" t="str">
        <f>IF(D38="","",VLOOKUP(+D38,'Current Withdrawals'!$AO$6:$AX$156,9,FALSE))</f>
        <v>ICM</v>
      </c>
      <c r="L38" s="202">
        <f>IF($D38="","",VLOOKUP($D38,'Full Allocation'!$A$6:$B$156,2,FALSE))</f>
        <v>0.24360936741772513</v>
      </c>
      <c r="M38" s="205">
        <f t="shared" si="0"/>
        <v>0.34819991769551562</v>
      </c>
      <c r="N38" s="206">
        <f t="shared" si="1"/>
        <v>0.45601563258227495</v>
      </c>
      <c r="O38" s="182" t="str">
        <f>IF($D38="","",VLOOKUP($D38,'Full Allocation'!$A$6:$C$156,3,FALSE))</f>
        <v>Ag Irr</v>
      </c>
      <c r="P38" s="151"/>
      <c r="Q38" s="152"/>
      <c r="R38" s="327" t="s">
        <v>561</v>
      </c>
      <c r="S38" s="130"/>
      <c r="T38" s="152"/>
      <c r="U38" s="153"/>
      <c r="Z38" s="23"/>
      <c r="AB38" s="19"/>
      <c r="AC38" s="19"/>
      <c r="AD38" s="19"/>
      <c r="AE38" s="22"/>
      <c r="AF38" s="8"/>
      <c r="AG38" s="338"/>
      <c r="AH38" s="338"/>
      <c r="AI38" s="338"/>
      <c r="AJ38" s="16"/>
      <c r="AK38" s="16"/>
      <c r="AL38" s="20"/>
      <c r="AM38" s="20"/>
      <c r="AN38" s="2"/>
      <c r="AO38" s="2"/>
    </row>
    <row r="39" spans="2:41" ht="15.75" customHeight="1" x14ac:dyDescent="0.2">
      <c r="B39" s="9"/>
      <c r="C39" s="26">
        <v>11</v>
      </c>
      <c r="D39" s="243" t="str">
        <f>INDEX(LookUp!$S$5:$AL$23,$C39,LookUp!$B$5)</f>
        <v>02040105070</v>
      </c>
      <c r="E39" s="247" t="str">
        <f>IF(D39="","",VLOOKUP(D39,LookUp!$M$5:$N$155,2,FALSE))</f>
        <v>Pequest River (above/incl Bear Swamp)</v>
      </c>
      <c r="F39" s="311">
        <f>IF($D39="","",VLOOKUP($D39,'Current Withdrawals'!$A$6:$G$156,4,FALSE))</f>
        <v>2.453125</v>
      </c>
      <c r="G39" s="194">
        <f>IF($D39="","",VLOOKUP($D39,'Current Withdrawals'!$A$6:$G$156,3,FALSE))</f>
        <v>2008</v>
      </c>
      <c r="H39" s="156">
        <f>IF($D39="","",VLOOKUP($D39,'Current Withdrawals'!$A$6:$G$156,5,FALSE))</f>
        <v>1.3128448286448344</v>
      </c>
      <c r="I39" s="188">
        <f>IF($D39="","",VLOOKUP($D39,'Current Withdrawals'!$A$6:$G$156,6,FALSE))</f>
        <v>0.5351724142246459</v>
      </c>
      <c r="J39" s="158">
        <f>IF($D39="","",VLOOKUP($D39,'Current Withdrawals'!$A$6:$G$156,7,FALSE))</f>
        <v>1.1402801713551656</v>
      </c>
      <c r="K39" s="199" t="str">
        <f>IF(D39="","",VLOOKUP(+D39,'Current Withdrawals'!$AO$6:$AX$156,9,FALSE))</f>
        <v>Potable</v>
      </c>
      <c r="L39" s="153">
        <f>IF($D39="","",VLOOKUP($D39,'Full Allocation'!$A$6:$B$156,2,FALSE))</f>
        <v>3.4879046353713674</v>
      </c>
      <c r="M39" s="39">
        <f t="shared" si="0"/>
        <v>1.4218209978583918</v>
      </c>
      <c r="N39" s="154">
        <f t="shared" si="1"/>
        <v>0</v>
      </c>
      <c r="O39" s="26" t="str">
        <f>IF($D39="","",VLOOKUP($D39,'Full Allocation'!$A$6:$C$156,3,FALSE))</f>
        <v>Potable</v>
      </c>
      <c r="P39" s="151"/>
      <c r="Q39" s="152"/>
      <c r="R39" s="328"/>
      <c r="S39" s="130"/>
      <c r="T39" s="152"/>
      <c r="U39" s="153"/>
      <c r="Z39" s="23"/>
      <c r="AB39" s="19"/>
      <c r="AC39" s="19"/>
      <c r="AD39" s="19"/>
      <c r="AE39" s="22"/>
      <c r="AF39" s="8"/>
      <c r="AG39" s="338"/>
      <c r="AH39" s="338"/>
      <c r="AI39" s="338"/>
      <c r="AJ39" s="16"/>
      <c r="AK39" s="16"/>
      <c r="AL39" s="20"/>
      <c r="AM39" s="20"/>
      <c r="AN39" s="2"/>
      <c r="AO39" s="2"/>
    </row>
    <row r="40" spans="2:41" ht="15.75" customHeight="1" x14ac:dyDescent="0.2">
      <c r="B40" s="9"/>
      <c r="C40" s="228">
        <v>12</v>
      </c>
      <c r="D40" s="245" t="str">
        <f>INDEX(LookUp!$S$5:$AL$23,$C40,LookUp!$B$5)</f>
        <v>02040105080</v>
      </c>
      <c r="E40" s="246" t="str">
        <f>IF(D40="","",VLOOKUP(D40,LookUp!$M$5:$N$155,2,FALSE))</f>
        <v>Bear Creek</v>
      </c>
      <c r="F40" s="312">
        <f>IF($D40="","",VLOOKUP($D40,'Current Withdrawals'!$A$6:$G$156,4,FALSE))</f>
        <v>0.739425</v>
      </c>
      <c r="G40" s="195">
        <f>IF($D40="","",VLOOKUP($D40,'Current Withdrawals'!$A$6:$G$156,3,FALSE))</f>
        <v>2007</v>
      </c>
      <c r="H40" s="131">
        <f>IF($D40="","",VLOOKUP($D40,'Current Withdrawals'!$A$6:$G$156,5,FALSE))</f>
        <v>0.1565867693607515</v>
      </c>
      <c r="I40" s="189">
        <f>IF($D40="","",VLOOKUP($D40,'Current Withdrawals'!$A$6:$G$156,6,FALSE))</f>
        <v>0.21176829206579639</v>
      </c>
      <c r="J40" s="159">
        <f>IF($D40="","",VLOOKUP($D40,'Current Withdrawals'!$A$6:$G$156,7,FALSE))</f>
        <v>0.58283823063924856</v>
      </c>
      <c r="K40" s="198" t="str">
        <f>IF(D40="","",VLOOKUP(+D40,'Current Withdrawals'!$AO$6:$AX$156,9,FALSE))</f>
        <v>Potable</v>
      </c>
      <c r="L40" s="202">
        <f>IF($D40="","",VLOOKUP($D40,'Full Allocation'!$A$6:$B$156,2,FALSE))</f>
        <v>0.29126665466620127</v>
      </c>
      <c r="M40" s="205">
        <f t="shared" si="0"/>
        <v>0.39390966584332593</v>
      </c>
      <c r="N40" s="206">
        <f t="shared" si="1"/>
        <v>0.44815834533379872</v>
      </c>
      <c r="O40" s="182" t="str">
        <f>IF($D40="","",VLOOKUP($D40,'Full Allocation'!$A$6:$C$156,3,FALSE))</f>
        <v>Potable</v>
      </c>
      <c r="P40" s="151"/>
      <c r="Q40" s="152"/>
      <c r="R40" s="329">
        <f>+LFM</f>
        <v>0.25</v>
      </c>
      <c r="S40" s="130"/>
      <c r="T40" s="152"/>
      <c r="U40" s="153"/>
      <c r="Z40" s="23"/>
      <c r="AB40" s="19"/>
      <c r="AC40" s="19"/>
      <c r="AD40" s="19"/>
      <c r="AE40" s="22"/>
      <c r="AF40" s="8"/>
      <c r="AG40" s="26"/>
      <c r="AH40" s="26"/>
      <c r="AI40" s="26"/>
      <c r="AJ40" s="16"/>
      <c r="AK40" s="16"/>
      <c r="AL40" s="20"/>
      <c r="AM40" s="20"/>
      <c r="AN40" s="2"/>
      <c r="AO40" s="2"/>
    </row>
    <row r="41" spans="2:41" ht="15.75" customHeight="1" thickBot="1" x14ac:dyDescent="0.25">
      <c r="B41" s="9"/>
      <c r="C41" s="26">
        <v>13</v>
      </c>
      <c r="D41" s="243" t="str">
        <f>INDEX(LookUp!$S$5:$AL$23,$C41,LookUp!$B$5)</f>
        <v>02040105090</v>
      </c>
      <c r="E41" s="247" t="str">
        <f>IF(D41="","",VLOOKUP(D41,LookUp!$M$5:$N$155,2,FALSE))</f>
        <v>Pequest River (below Bear Swamp)</v>
      </c>
      <c r="F41" s="311">
        <f>IF($D41="","",VLOOKUP($D41,'Current Withdrawals'!$A$6:$G$156,4,FALSE))</f>
        <v>1.7921750000000001</v>
      </c>
      <c r="G41" s="194">
        <f>IF($D41="","",VLOOKUP($D41,'Current Withdrawals'!$A$6:$G$156,3,FALSE))</f>
        <v>2006</v>
      </c>
      <c r="H41" s="156">
        <f>IF($D41="","",VLOOKUP($D41,'Current Withdrawals'!$A$6:$G$156,5,FALSE))</f>
        <v>0.31301531412693251</v>
      </c>
      <c r="I41" s="188">
        <f>IF($D41="","",VLOOKUP($D41,'Current Withdrawals'!$A$6:$G$156,6,FALSE))</f>
        <v>0.17465666808594724</v>
      </c>
      <c r="J41" s="158">
        <f>IF($D41="","",VLOOKUP($D41,'Current Withdrawals'!$A$6:$G$156,7,FALSE))</f>
        <v>1.4791596858730676</v>
      </c>
      <c r="K41" s="199" t="str">
        <f>IF(D41="","",VLOOKUP(+D41,'Current Withdrawals'!$AO$6:$AX$156,9,FALSE))</f>
        <v>Ag Irr</v>
      </c>
      <c r="L41" s="153">
        <f>IF($D41="","",VLOOKUP($D41,'Full Allocation'!$A$6:$B$156,2,FALSE))</f>
        <v>4.7934724468838859</v>
      </c>
      <c r="M41" s="39">
        <f t="shared" si="0"/>
        <v>2.6746676227957011</v>
      </c>
      <c r="N41" s="154">
        <f t="shared" si="1"/>
        <v>0</v>
      </c>
      <c r="O41" s="26" t="str">
        <f>IF($D41="","",VLOOKUP($D41,'Full Allocation'!$A$6:$C$156,3,FALSE))</f>
        <v>Ag Irr</v>
      </c>
      <c r="P41" s="151"/>
      <c r="Q41" s="152"/>
      <c r="R41" s="330"/>
      <c r="S41" s="130"/>
      <c r="T41" s="152"/>
      <c r="U41" s="153"/>
      <c r="Z41" s="23"/>
      <c r="AB41" s="19"/>
      <c r="AC41" s="19"/>
      <c r="AD41" s="19"/>
      <c r="AE41" s="22"/>
      <c r="AF41" s="8"/>
      <c r="AG41" s="57"/>
      <c r="AH41" s="26"/>
      <c r="AI41" s="26"/>
      <c r="AJ41" s="16"/>
      <c r="AK41" s="16"/>
      <c r="AL41" s="20"/>
      <c r="AM41" s="20"/>
      <c r="AN41" s="2"/>
      <c r="AO41" s="2"/>
    </row>
    <row r="42" spans="2:41" ht="15.75" customHeight="1" x14ac:dyDescent="0.2">
      <c r="B42" s="9"/>
      <c r="C42" s="228">
        <v>14</v>
      </c>
      <c r="D42" s="245" t="str">
        <f>INDEX(LookUp!$S$5:$AL$23,$C42,LookUp!$B$5)</f>
        <v>02040105100</v>
      </c>
      <c r="E42" s="246" t="str">
        <f>IF(D42="","",VLOOKUP(D42,LookUp!$M$5:$N$155,2,FALSE))</f>
        <v>Beaver Brook</v>
      </c>
      <c r="F42" s="312">
        <f>IF($D42="","",VLOOKUP($D42,'Current Withdrawals'!$A$6:$G$156,4,FALSE))</f>
        <v>1.1152249999999999</v>
      </c>
      <c r="G42" s="195">
        <f>IF($D42="","",VLOOKUP($D42,'Current Withdrawals'!$A$6:$G$156,3,FALSE))</f>
        <v>2006</v>
      </c>
      <c r="H42" s="131">
        <f>IF($D42="","",VLOOKUP($D42,'Current Withdrawals'!$A$6:$G$156,5,FALSE))</f>
        <v>0.17254286559059606</v>
      </c>
      <c r="I42" s="189">
        <f>IF($D42="","",VLOOKUP($D42,'Current Withdrawals'!$A$6:$G$156,6,FALSE))</f>
        <v>0.15471574398941565</v>
      </c>
      <c r="J42" s="159">
        <f>IF($D42="","",VLOOKUP($D42,'Current Withdrawals'!$A$6:$G$156,7,FALSE))</f>
        <v>0.94268213440940385</v>
      </c>
      <c r="K42" s="198" t="str">
        <f>IF(D42="","",VLOOKUP(+D42,'Current Withdrawals'!$AO$6:$AX$156,9,FALSE))</f>
        <v>Potable</v>
      </c>
      <c r="L42" s="202">
        <f>IF($D42="","",VLOOKUP($D42,'Full Allocation'!$A$6:$B$156,2,FALSE))</f>
        <v>1.3860286191449773</v>
      </c>
      <c r="M42" s="205">
        <f t="shared" si="0"/>
        <v>1.2428242006276558</v>
      </c>
      <c r="N42" s="206">
        <f t="shared" si="1"/>
        <v>0</v>
      </c>
      <c r="O42" s="182" t="str">
        <f>IF($D42="","",VLOOKUP($D42,'Full Allocation'!$A$6:$C$156,3,FALSE))</f>
        <v>Ag Irr</v>
      </c>
      <c r="P42" s="151"/>
      <c r="Q42" s="152"/>
      <c r="R42" s="152"/>
      <c r="S42" s="130"/>
      <c r="T42" s="152"/>
      <c r="U42" s="153"/>
      <c r="Z42" s="23"/>
      <c r="AB42" s="19"/>
      <c r="AC42" s="19"/>
      <c r="AD42" s="19"/>
      <c r="AE42" s="22"/>
      <c r="AF42" s="8"/>
      <c r="AG42" s="57"/>
      <c r="AH42" s="26"/>
      <c r="AI42" s="26"/>
      <c r="AJ42" s="16"/>
      <c r="AK42" s="16"/>
      <c r="AL42" s="20"/>
      <c r="AM42" s="20"/>
      <c r="AN42" s="2"/>
      <c r="AO42" s="2"/>
    </row>
    <row r="43" spans="2:41" ht="15.75" customHeight="1" x14ac:dyDescent="0.2">
      <c r="B43" s="9"/>
      <c r="C43" s="26">
        <v>15</v>
      </c>
      <c r="D43" s="243" t="str">
        <f>INDEX(LookUp!$S$5:$AL$23,$C43,LookUp!$B$5)</f>
        <v>02040105110</v>
      </c>
      <c r="E43" s="247" t="str">
        <f>IF(D43="","",VLOOKUP(D43,LookUp!$M$5:$N$155,2,FALSE))</f>
        <v>Pophandusing Brook / Buckhorn Creek</v>
      </c>
      <c r="F43" s="311">
        <f>IF($D43="","",VLOOKUP($D43,'Current Withdrawals'!$A$6:$G$156,4,FALSE))</f>
        <v>0.96375</v>
      </c>
      <c r="G43" s="194">
        <f>IF($D43="","",VLOOKUP($D43,'Current Withdrawals'!$A$6:$G$156,3,FALSE))</f>
        <v>2008</v>
      </c>
      <c r="H43" s="156">
        <f>IF($D43="","",VLOOKUP($D43,'Current Withdrawals'!$A$6:$G$156,5,FALSE))</f>
        <v>0.38325618926117988</v>
      </c>
      <c r="I43" s="188">
        <f>IF($D43="","",VLOOKUP($D43,'Current Withdrawals'!$A$6:$G$156,6,FALSE))</f>
        <v>0.3976717917106925</v>
      </c>
      <c r="J43" s="158">
        <f>IF($D43="","",VLOOKUP($D43,'Current Withdrawals'!$A$6:$G$156,7,FALSE))</f>
        <v>0.58049381073882012</v>
      </c>
      <c r="K43" s="199" t="str">
        <f>IF(D43="","",VLOOKUP(+D43,'Current Withdrawals'!$AO$6:$AX$156,9,FALSE))</f>
        <v>ICM</v>
      </c>
      <c r="L43" s="153">
        <f>IF($D43="","",VLOOKUP($D43,'Full Allocation'!$A$6:$B$156,2,FALSE))</f>
        <v>1.0122384381701113</v>
      </c>
      <c r="M43" s="39">
        <f t="shared" si="0"/>
        <v>1.0503122575046551</v>
      </c>
      <c r="N43" s="154">
        <f t="shared" si="1"/>
        <v>0</v>
      </c>
      <c r="O43" s="26" t="str">
        <f>IF($D43="","",VLOOKUP($D43,'Full Allocation'!$A$6:$C$156,3,FALSE))</f>
        <v>Potable</v>
      </c>
      <c r="P43" s="151"/>
      <c r="Q43" s="152"/>
      <c r="R43" s="152"/>
      <c r="S43" s="130"/>
      <c r="T43" s="152"/>
      <c r="U43" s="153"/>
      <c r="Z43" s="23"/>
      <c r="AB43" s="19"/>
      <c r="AC43" s="19"/>
      <c r="AD43" s="19"/>
      <c r="AE43" s="22"/>
      <c r="AF43" s="19"/>
      <c r="AG43" s="22"/>
      <c r="AI43" s="16"/>
      <c r="AJ43" s="16"/>
      <c r="AK43" s="16"/>
      <c r="AL43" s="20"/>
      <c r="AM43" s="20"/>
      <c r="AN43" s="2"/>
      <c r="AO43" s="2"/>
    </row>
    <row r="44" spans="2:41" ht="15.75" customHeight="1" x14ac:dyDescent="0.2">
      <c r="B44" s="9"/>
      <c r="C44" s="228">
        <v>16</v>
      </c>
      <c r="D44" s="245" t="str">
        <f>INDEX(LookUp!$S$5:$AL$23,$C44,LookUp!$B$5)</f>
        <v>02040105120</v>
      </c>
      <c r="E44" s="246" t="str">
        <f>IF(D44="","",VLOOKUP(D44,LookUp!$M$5:$N$155,2,FALSE))</f>
        <v>Lopatcong Creek</v>
      </c>
      <c r="F44" s="312">
        <f>IF($D44="","",VLOOKUP($D44,'Current Withdrawals'!$A$6:$G$156,4,FALSE))</f>
        <v>0.82879999999999998</v>
      </c>
      <c r="G44" s="195">
        <f>IF($D44="","",VLOOKUP($D44,'Current Withdrawals'!$A$6:$G$156,3,FALSE))</f>
        <v>2009</v>
      </c>
      <c r="H44" s="131">
        <f>IF($D44="","",VLOOKUP($D44,'Current Withdrawals'!$A$6:$G$156,5,FALSE))</f>
        <v>-1.7209789614781614</v>
      </c>
      <c r="I44" s="189" t="str">
        <f>IF($D44="","",VLOOKUP($D44,'Current Withdrawals'!$A$6:$G$156,6,FALSE))</f>
        <v>Net Gain</v>
      </c>
      <c r="J44" s="159">
        <f>IF($D44="","",VLOOKUP($D44,'Current Withdrawals'!$A$6:$G$156,7,FALSE))</f>
        <v>2.5497789614781614</v>
      </c>
      <c r="K44" s="198" t="str">
        <f>IF(D44="","",VLOOKUP(+D44,'Current Withdrawals'!$AO$6:$AX$156,9,FALSE))</f>
        <v>Non-Ag Irr</v>
      </c>
      <c r="L44" s="202">
        <f>IF($D44="","",VLOOKUP($D44,'Full Allocation'!$A$6:$B$156,2,FALSE))</f>
        <v>-0.15541539374721935</v>
      </c>
      <c r="M44" s="205" t="str">
        <f t="shared" si="0"/>
        <v>Net Gain</v>
      </c>
      <c r="N44" s="206">
        <f t="shared" si="1"/>
        <v>0.98421539374721934</v>
      </c>
      <c r="O44" s="182" t="str">
        <f>IF($D44="","",VLOOKUP($D44,'Full Allocation'!$A$6:$C$156,3,FALSE))</f>
        <v>Ag Irr</v>
      </c>
      <c r="P44" s="151"/>
      <c r="Q44" s="152"/>
      <c r="R44" s="152"/>
      <c r="S44" s="130"/>
      <c r="T44" s="152"/>
      <c r="U44" s="153"/>
      <c r="Z44" s="23"/>
      <c r="AB44" s="19"/>
      <c r="AC44" s="19"/>
      <c r="AD44" s="19"/>
      <c r="AE44" s="22"/>
      <c r="AF44" s="19"/>
      <c r="AG44" s="22"/>
      <c r="AI44" s="16"/>
      <c r="AJ44" s="16"/>
      <c r="AK44" s="16"/>
      <c r="AL44" s="20"/>
      <c r="AM44" s="20"/>
      <c r="AN44" s="2"/>
      <c r="AO44" s="2"/>
    </row>
    <row r="45" spans="2:41" ht="15.75" customHeight="1" x14ac:dyDescent="0.2">
      <c r="B45" s="9"/>
      <c r="C45" s="26">
        <v>17</v>
      </c>
      <c r="D45" s="243" t="str">
        <f>INDEX(LookUp!$S$5:$AL$23,$C45,LookUp!$B$5)</f>
        <v>02040105140</v>
      </c>
      <c r="E45" s="247" t="str">
        <f>IF(D45="","",VLOOKUP(D45,LookUp!$M$5:$N$155,2,FALSE))</f>
        <v>Pohatcong Creek</v>
      </c>
      <c r="F45" s="311">
        <f>IF($D45="","",VLOOKUP($D45,'Current Withdrawals'!$A$6:$G$156,4,FALSE))</f>
        <v>2.338975</v>
      </c>
      <c r="G45" s="194">
        <f>IF($D45="","",VLOOKUP($D45,'Current Withdrawals'!$A$6:$G$156,3,FALSE))</f>
        <v>2005</v>
      </c>
      <c r="H45" s="156">
        <f>IF($D45="","",VLOOKUP($D45,'Current Withdrawals'!$A$6:$G$156,5,FALSE))</f>
        <v>0.85580914145817388</v>
      </c>
      <c r="I45" s="188">
        <f>IF($D45="","",VLOOKUP($D45,'Current Withdrawals'!$A$6:$G$156,6,FALSE))</f>
        <v>0.36589067495726713</v>
      </c>
      <c r="J45" s="158">
        <f>IF($D45="","",VLOOKUP($D45,'Current Withdrawals'!$A$6:$G$156,7,FALSE))</f>
        <v>1.4831658585418261</v>
      </c>
      <c r="K45" s="199" t="str">
        <f>IF(D45="","",VLOOKUP(+D45,'Current Withdrawals'!$AO$6:$AX$156,9,FALSE))</f>
        <v>Potable</v>
      </c>
      <c r="L45" s="153">
        <f>IF($D45="","",VLOOKUP($D45,'Full Allocation'!$A$6:$B$156,2,FALSE))</f>
        <v>2.4469933141819449</v>
      </c>
      <c r="M45" s="207">
        <f t="shared" si="0"/>
        <v>1.0461819019792622</v>
      </c>
      <c r="N45" s="154">
        <f t="shared" si="1"/>
        <v>0</v>
      </c>
      <c r="O45" s="26" t="str">
        <f>IF($D45="","",VLOOKUP($D45,'Full Allocation'!$A$6:$C$156,3,FALSE))</f>
        <v>Potable</v>
      </c>
      <c r="P45" s="151"/>
      <c r="Q45" s="152"/>
      <c r="R45" s="152"/>
      <c r="S45" s="130"/>
      <c r="T45" s="152"/>
      <c r="U45" s="153"/>
      <c r="Z45" s="23"/>
      <c r="AB45" s="19"/>
      <c r="AC45" s="19"/>
      <c r="AD45" s="19"/>
      <c r="AE45" s="22"/>
      <c r="AF45" s="19"/>
      <c r="AG45" s="22"/>
      <c r="AI45" s="16"/>
      <c r="AJ45" s="16"/>
      <c r="AK45" s="16"/>
      <c r="AL45" s="20"/>
      <c r="AM45" s="20"/>
      <c r="AN45" s="2"/>
      <c r="AO45" s="2"/>
    </row>
    <row r="46" spans="2:41" ht="15.75" customHeight="1" x14ac:dyDescent="0.2">
      <c r="B46" s="9"/>
      <c r="C46" s="228">
        <v>18</v>
      </c>
      <c r="D46" s="245" t="str">
        <f>INDEX(LookUp!$S$5:$AL$23,$C46,LookUp!$B$5)</f>
        <v>02040105150</v>
      </c>
      <c r="E46" s="246" t="str">
        <f>IF(D46="","",VLOOKUP(D46,LookUp!$M$5:$N$155,2,FALSE))</f>
        <v>Musconetcong River (above Trout Brook)</v>
      </c>
      <c r="F46" s="312">
        <f>IF($D46="","",VLOOKUP($D46,'Current Withdrawals'!$A$6:$G$156,4,FALSE))</f>
        <v>2.612025</v>
      </c>
      <c r="G46" s="195">
        <f>IF($D46="","",VLOOKUP($D46,'Current Withdrawals'!$A$6:$G$156,3,FALSE))</f>
        <v>2005</v>
      </c>
      <c r="H46" s="131">
        <f>IF($D46="","",VLOOKUP($D46,'Current Withdrawals'!$A$6:$G$156,5,FALSE))</f>
        <v>3.258676242190921</v>
      </c>
      <c r="I46" s="189">
        <f>IF($D46="","",VLOOKUP($D46,'Current Withdrawals'!$A$6:$G$156,6,FALSE))</f>
        <v>1.2475670187654868</v>
      </c>
      <c r="J46" s="159">
        <f>IF($D46="","",VLOOKUP($D46,'Current Withdrawals'!$A$6:$G$156,7,FALSE))</f>
        <v>0</v>
      </c>
      <c r="K46" s="198" t="str">
        <f>IF(D46="","",VLOOKUP(+D46,'Current Withdrawals'!$AO$6:$AX$156,9,FALSE))</f>
        <v>Potable</v>
      </c>
      <c r="L46" s="202">
        <f>IF($D46="","",VLOOKUP($D46,'Full Allocation'!$A$6:$B$156,2,FALSE))</f>
        <v>5.9284939558250791</v>
      </c>
      <c r="M46" s="205">
        <f t="shared" si="0"/>
        <v>2.2696926544826637</v>
      </c>
      <c r="N46" s="206">
        <f t="shared" si="1"/>
        <v>0</v>
      </c>
      <c r="O46" s="182" t="str">
        <f>IF($D46="","",VLOOKUP($D46,'Full Allocation'!$A$6:$C$156,3,FALSE))</f>
        <v>Potable</v>
      </c>
      <c r="P46" s="151"/>
      <c r="Q46" s="152"/>
      <c r="R46" s="152"/>
      <c r="S46" s="130"/>
      <c r="T46" s="152"/>
      <c r="U46" s="153"/>
      <c r="Z46" s="23"/>
      <c r="AB46" s="19"/>
      <c r="AC46" s="19"/>
      <c r="AD46" s="19"/>
      <c r="AE46" s="22"/>
      <c r="AF46" s="19"/>
      <c r="AG46" s="22"/>
      <c r="AI46" s="16"/>
      <c r="AJ46" s="16"/>
      <c r="AK46" s="16"/>
      <c r="AL46" s="20"/>
      <c r="AM46" s="20"/>
      <c r="AN46" s="2"/>
      <c r="AO46" s="2"/>
    </row>
    <row r="47" spans="2:41" ht="15.75" customHeight="1" thickBot="1" x14ac:dyDescent="0.25">
      <c r="B47" s="9"/>
      <c r="C47" s="157">
        <v>19</v>
      </c>
      <c r="D47" s="248" t="str">
        <f>INDEX(LookUp!$S$5:$AL$23,$C47,LookUp!$B$5)</f>
        <v>02040105160</v>
      </c>
      <c r="E47" s="249" t="str">
        <f>IF(D47="","",VLOOKUP(D47,LookUp!$M$5:$N$155,2,FALSE))</f>
        <v>Musconetcong River (below incl Trout Bk)</v>
      </c>
      <c r="F47" s="313">
        <f>IF($D47="","",VLOOKUP($D47,'Current Withdrawals'!$A$6:$G$156,4,FALSE))</f>
        <v>3.5043500000000001</v>
      </c>
      <c r="G47" s="163">
        <f>IF($D47="","",VLOOKUP($D47,'Current Withdrawals'!$A$6:$G$156,3,FALSE))</f>
        <v>2006</v>
      </c>
      <c r="H47" s="164">
        <f>IF($D47="","",VLOOKUP($D47,'Current Withdrawals'!$A$6:$G$156,5,FALSE))</f>
        <v>0.17813833977120597</v>
      </c>
      <c r="I47" s="190">
        <f>IF($D47="","",VLOOKUP($D47,'Current Withdrawals'!$A$6:$G$156,6,FALSE))</f>
        <v>5.0833489740238838E-2</v>
      </c>
      <c r="J47" s="165">
        <f>IF($D47="","",VLOOKUP($D47,'Current Withdrawals'!$A$6:$G$156,7,FALSE))</f>
        <v>3.3262116602287941</v>
      </c>
      <c r="K47" s="200" t="str">
        <f>IF(D47="","",VLOOKUP(+D47,'Current Withdrawals'!$AO$6:$AX$156,9,FALSE))</f>
        <v>Potable</v>
      </c>
      <c r="L47" s="203">
        <f>IF($D47="","",VLOOKUP($D47,'Full Allocation'!$A$6:$B$156,2,FALSE))</f>
        <v>4.0116265471282908</v>
      </c>
      <c r="M47" s="115">
        <f t="shared" si="0"/>
        <v>1.1447562449893107</v>
      </c>
      <c r="N47" s="208">
        <f t="shared" si="1"/>
        <v>0</v>
      </c>
      <c r="O47" s="183" t="str">
        <f>IF($D47="","",VLOOKUP($D47,'Full Allocation'!$A$6:$C$156,3,FALSE))</f>
        <v>Ag Irr</v>
      </c>
      <c r="P47" s="151"/>
      <c r="Q47" s="152"/>
      <c r="R47" s="152"/>
      <c r="S47" s="130"/>
      <c r="T47" s="152"/>
      <c r="U47" s="153"/>
      <c r="Z47" s="23"/>
      <c r="AB47" s="19"/>
      <c r="AC47" s="19"/>
      <c r="AD47" s="19"/>
      <c r="AE47" s="22"/>
      <c r="AF47" s="19"/>
      <c r="AG47" s="22"/>
      <c r="AI47" s="16"/>
      <c r="AJ47" s="16"/>
      <c r="AK47" s="16"/>
      <c r="AL47" s="20"/>
      <c r="AM47" s="20"/>
      <c r="AN47" s="2"/>
      <c r="AO47" s="2"/>
    </row>
    <row r="48" spans="2:41" ht="15.75" customHeight="1" x14ac:dyDescent="0.2">
      <c r="B48" s="9"/>
      <c r="C48" s="16"/>
      <c r="D48" s="300" t="s">
        <v>566</v>
      </c>
      <c r="E48" s="17"/>
      <c r="F48" s="185"/>
      <c r="G48" s="185"/>
      <c r="H48" s="185"/>
      <c r="I48" s="185"/>
      <c r="J48" s="185"/>
      <c r="K48" s="185"/>
      <c r="L48" s="185"/>
      <c r="M48" s="185"/>
      <c r="N48" s="26"/>
      <c r="O48" s="39"/>
      <c r="P48" s="151"/>
      <c r="Q48" s="152"/>
      <c r="R48" s="152"/>
      <c r="S48" s="130"/>
      <c r="T48" s="152"/>
      <c r="U48" s="153"/>
      <c r="V48" s="39"/>
      <c r="W48" s="154"/>
      <c r="X48" s="26"/>
      <c r="Y48" s="26"/>
      <c r="Z48" s="23"/>
      <c r="AB48" s="19"/>
      <c r="AC48" s="19"/>
      <c r="AD48" s="19"/>
      <c r="AE48" s="22"/>
      <c r="AF48" s="19"/>
      <c r="AG48" s="22"/>
      <c r="AI48" s="16"/>
      <c r="AJ48" s="16"/>
      <c r="AK48" s="16"/>
      <c r="AL48" s="20"/>
      <c r="AM48" s="20"/>
      <c r="AN48" s="2"/>
      <c r="AO48" s="2"/>
    </row>
    <row r="49" spans="2:38" s="28" customFormat="1" x14ac:dyDescent="0.2">
      <c r="B49" s="25"/>
      <c r="C49" s="16"/>
      <c r="D49" s="16"/>
      <c r="E49" s="17"/>
      <c r="F49" s="26"/>
      <c r="G49" s="26"/>
      <c r="H49" s="26"/>
      <c r="I49" s="26"/>
      <c r="J49" s="26"/>
      <c r="K49" s="26"/>
      <c r="L49" s="26"/>
      <c r="M49" s="26"/>
      <c r="N49" s="26"/>
      <c r="O49" s="26"/>
      <c r="P49" s="26"/>
      <c r="Q49" s="26"/>
      <c r="R49" s="26"/>
      <c r="S49" s="26"/>
      <c r="T49" s="26"/>
      <c r="U49" s="16"/>
      <c r="Z49" s="27"/>
      <c r="AA49" s="8"/>
      <c r="AB49" s="8"/>
      <c r="AC49" s="8"/>
      <c r="AD49" s="16"/>
      <c r="AE49" s="16"/>
      <c r="AF49" s="16"/>
      <c r="AG49" s="16"/>
      <c r="AH49" s="16"/>
      <c r="AI49" s="16"/>
      <c r="AJ49" s="16"/>
      <c r="AK49" s="16"/>
    </row>
    <row r="50" spans="2:38" ht="26.25" customHeight="1" thickBot="1" x14ac:dyDescent="0.3">
      <c r="B50" s="9"/>
      <c r="C50" s="29" t="s">
        <v>598</v>
      </c>
      <c r="D50" s="29"/>
      <c r="E50" s="29"/>
      <c r="F50" s="29"/>
      <c r="G50" s="29"/>
      <c r="H50" s="29"/>
      <c r="I50" s="29"/>
      <c r="J50" s="29"/>
      <c r="K50" s="29"/>
      <c r="L50" s="29"/>
      <c r="M50" s="29"/>
      <c r="N50" s="29"/>
      <c r="O50" s="29"/>
      <c r="P50" s="29"/>
      <c r="Q50" s="30"/>
      <c r="R50" s="30"/>
      <c r="S50" s="30"/>
      <c r="T50" s="31"/>
      <c r="U50" s="26"/>
      <c r="Z50" s="32"/>
      <c r="AA50" s="33"/>
      <c r="AB50" s="8"/>
      <c r="AC50" s="8"/>
    </row>
    <row r="51" spans="2:38" ht="18" customHeight="1" x14ac:dyDescent="0.25">
      <c r="B51" s="9"/>
      <c r="C51" s="346" t="s">
        <v>0</v>
      </c>
      <c r="D51" s="348" t="s">
        <v>1</v>
      </c>
      <c r="E51" s="350" t="s">
        <v>2</v>
      </c>
      <c r="F51" s="321" t="s">
        <v>13</v>
      </c>
      <c r="G51" s="322"/>
      <c r="H51" s="172" t="s">
        <v>14</v>
      </c>
      <c r="I51" s="321" t="s">
        <v>595</v>
      </c>
      <c r="J51" s="322"/>
      <c r="K51" s="321" t="s">
        <v>16</v>
      </c>
      <c r="L51" s="322"/>
      <c r="M51" s="321" t="s">
        <v>17</v>
      </c>
      <c r="N51" s="322"/>
      <c r="O51" s="321" t="s">
        <v>18</v>
      </c>
      <c r="P51" s="322"/>
      <c r="Q51" s="323" t="s">
        <v>19</v>
      </c>
      <c r="R51" s="323"/>
      <c r="S51" s="323"/>
      <c r="T51" s="324"/>
      <c r="U51" s="319" t="s">
        <v>20</v>
      </c>
      <c r="Z51" s="32"/>
      <c r="AA51" s="33"/>
      <c r="AB51" s="8"/>
      <c r="AC51" s="8"/>
      <c r="AG51" s="34"/>
      <c r="AH51" s="35"/>
      <c r="AI51" s="35"/>
    </row>
    <row r="52" spans="2:38" ht="34.5" customHeight="1" thickBot="1" x14ac:dyDescent="0.25">
      <c r="B52" s="9"/>
      <c r="C52" s="347"/>
      <c r="D52" s="349"/>
      <c r="E52" s="351"/>
      <c r="F52" s="307" t="s">
        <v>21</v>
      </c>
      <c r="G52" s="308" t="s">
        <v>22</v>
      </c>
      <c r="H52" s="306" t="s">
        <v>21</v>
      </c>
      <c r="I52" s="307" t="s">
        <v>21</v>
      </c>
      <c r="J52" s="308" t="s">
        <v>22</v>
      </c>
      <c r="K52" s="307" t="s">
        <v>21</v>
      </c>
      <c r="L52" s="308" t="s">
        <v>22</v>
      </c>
      <c r="M52" s="307" t="s">
        <v>21</v>
      </c>
      <c r="N52" s="308" t="s">
        <v>22</v>
      </c>
      <c r="O52" s="307" t="s">
        <v>21</v>
      </c>
      <c r="P52" s="308" t="s">
        <v>22</v>
      </c>
      <c r="Q52" s="309" t="s">
        <v>23</v>
      </c>
      <c r="R52" s="309" t="s">
        <v>22</v>
      </c>
      <c r="S52" s="309" t="s">
        <v>364</v>
      </c>
      <c r="T52" s="310" t="s">
        <v>24</v>
      </c>
      <c r="U52" s="320"/>
      <c r="Z52" s="32"/>
      <c r="AA52" s="33"/>
      <c r="AB52" s="26"/>
      <c r="AC52" s="26"/>
      <c r="AI52" s="35"/>
    </row>
    <row r="53" spans="2:38" ht="15.75" customHeight="1" x14ac:dyDescent="0.2">
      <c r="B53" s="9"/>
      <c r="C53" s="229">
        <v>1</v>
      </c>
      <c r="D53" s="16" t="str">
        <f>INDEX(LookUp!$S$5:$AL$23,$C53,LookUp!$B$5)</f>
        <v>02040104090</v>
      </c>
      <c r="E53" s="36" t="str">
        <f t="shared" ref="E53:E71" si="2">E6</f>
        <v>Shimers Brook / Clove Brook</v>
      </c>
      <c r="F53" s="132">
        <f>IF($D53="","",VLOOKUP($D53,'Current Withdrawals'!$A$6:$X$215,9,FALSE))</f>
        <v>0.1228888164329964</v>
      </c>
      <c r="G53" s="133">
        <f>IF($D53="","",VLOOKUP($D53,'Current Withdrawals'!$A$6:$X$215,10,FALSE))</f>
        <v>0</v>
      </c>
      <c r="H53" s="134">
        <f>IF($D53="","",VLOOKUP($D53,'Current Withdrawals'!$A$6:$X$215,11,FALSE))</f>
        <v>0.13849498206827901</v>
      </c>
      <c r="I53" s="132">
        <f>IF($D53="","",VLOOKUP($D53,'Current Withdrawals'!$A$6:$X$215,12,FALSE))</f>
        <v>0</v>
      </c>
      <c r="J53" s="133">
        <f>IF($D53="","",VLOOKUP($D53,'Current Withdrawals'!$A$6:$X$215,13,FALSE))</f>
        <v>0</v>
      </c>
      <c r="K53" s="134">
        <f>IF($D53="","",VLOOKUP($D53,'Current Withdrawals'!$A$6:$X$215,14,FALSE))</f>
        <v>0</v>
      </c>
      <c r="L53" s="134">
        <f>IF($D53="","",VLOOKUP($D53,'Current Withdrawals'!$A$6:$X$215,15,FALSE))</f>
        <v>0</v>
      </c>
      <c r="M53" s="132">
        <f>IF($D53="","",VLOOKUP($D53,'Current Withdrawals'!$A$6:$X$215,16,FALSE))</f>
        <v>4.7820889033800672E-3</v>
      </c>
      <c r="N53" s="133">
        <f>IF($D53="","",VLOOKUP($D53,'Current Withdrawals'!$A$6:$X$215,17,FALSE))</f>
        <v>0.53146397130746659</v>
      </c>
      <c r="O53" s="132">
        <f>IF($D53="","",VLOOKUP($D53,'Current Withdrawals'!$A$6:$X$215,18,FALSE))</f>
        <v>0</v>
      </c>
      <c r="P53" s="133">
        <f>IF($D53="","",VLOOKUP($D53,'Current Withdrawals'!$A$6:$X$215,19,FALSE))</f>
        <v>0</v>
      </c>
      <c r="Q53" s="134">
        <f>IF($D53="","",VLOOKUP($D53,'Current Withdrawals'!$A$6:$X$215,20,FALSE))</f>
        <v>0.23954929866418992</v>
      </c>
      <c r="R53" s="134">
        <f>IF($D53="","",VLOOKUP($D53,'Current Withdrawals'!$A$6:$X$215,21,FALSE))</f>
        <v>0.53146397130746659</v>
      </c>
      <c r="S53" s="134">
        <f>IF($D53="","",VLOOKUP($D53,'Current Withdrawals'!$A$6:$X$215,22,FALSE))</f>
        <v>0</v>
      </c>
      <c r="T53" s="134">
        <f>IF($D53="","",VLOOKUP($D53,'Current Withdrawals'!$A$6:$X$215,23,FALSE))</f>
        <v>0.77101326997165653</v>
      </c>
      <c r="U53" s="238">
        <f>IF($D53="","",VLOOKUP($D53,'Current Withdrawals'!$A$6:$X$215,24,FALSE))</f>
        <v>0</v>
      </c>
      <c r="Z53" s="38"/>
      <c r="AA53" s="39"/>
      <c r="AB53" s="40"/>
      <c r="AC53" s="41"/>
      <c r="AI53" s="35"/>
    </row>
    <row r="54" spans="2:38" ht="15.75" customHeight="1" x14ac:dyDescent="0.2">
      <c r="B54" s="9"/>
      <c r="C54" s="228">
        <v>2</v>
      </c>
      <c r="D54" s="116" t="str">
        <f>INDEX(LookUp!$S$5:$AL$23,$C54,LookUp!$B$5)</f>
        <v>02040104110</v>
      </c>
      <c r="E54" s="116" t="str">
        <f t="shared" si="2"/>
        <v>Walpack Bend / Montague Riverfront</v>
      </c>
      <c r="F54" s="135">
        <f>IF($D54="","",VLOOKUP($D54,'Current Withdrawals'!$A$6:$X$215,9,FALSE))</f>
        <v>1.3802847516574285E-2</v>
      </c>
      <c r="G54" s="136">
        <f>IF($D54="","",VLOOKUP($D54,'Current Withdrawals'!$A$6:$X$215,10,FALSE))</f>
        <v>0</v>
      </c>
      <c r="H54" s="137">
        <f>IF($D54="","",VLOOKUP($D54,'Current Withdrawals'!$A$6:$X$215,11,FALSE))</f>
        <v>8.13675805097131E-2</v>
      </c>
      <c r="I54" s="135">
        <f>IF($D54="","",VLOOKUP($D54,'Current Withdrawals'!$A$6:$X$215,12,FALSE))</f>
        <v>0</v>
      </c>
      <c r="J54" s="136">
        <f>IF($D54="","",VLOOKUP($D54,'Current Withdrawals'!$A$6:$X$215,13,FALSE))</f>
        <v>0</v>
      </c>
      <c r="K54" s="137">
        <f>IF($D54="","",VLOOKUP($D54,'Current Withdrawals'!$A$6:$X$215,14,FALSE))</f>
        <v>0</v>
      </c>
      <c r="L54" s="137">
        <f>IF($D54="","",VLOOKUP($D54,'Current Withdrawals'!$A$6:$X$215,15,FALSE))</f>
        <v>0</v>
      </c>
      <c r="M54" s="135">
        <f>IF($D54="","",VLOOKUP($D54,'Current Withdrawals'!$A$6:$X$215,16,FALSE))</f>
        <v>0</v>
      </c>
      <c r="N54" s="136">
        <f>IF($D54="","",VLOOKUP($D54,'Current Withdrawals'!$A$6:$X$215,17,FALSE))</f>
        <v>0</v>
      </c>
      <c r="O54" s="135">
        <f>IF($D54="","",VLOOKUP($D54,'Current Withdrawals'!$A$6:$X$215,18,FALSE))</f>
        <v>0</v>
      </c>
      <c r="P54" s="136">
        <f>IF($D54="","",VLOOKUP($D54,'Current Withdrawals'!$A$6:$X$215,19,FALSE))</f>
        <v>0</v>
      </c>
      <c r="Q54" s="137">
        <f>IF($D54="","",VLOOKUP($D54,'Current Withdrawals'!$A$6:$X$215,20,FALSE))</f>
        <v>8.565338522365866E-2</v>
      </c>
      <c r="R54" s="137">
        <f>IF($D54="","",VLOOKUP($D54,'Current Withdrawals'!$A$6:$X$215,21,FALSE))</f>
        <v>0</v>
      </c>
      <c r="S54" s="137">
        <f>IF($D54="","",VLOOKUP($D54,'Current Withdrawals'!$A$6:$X$215,22,FALSE))</f>
        <v>0</v>
      </c>
      <c r="T54" s="137">
        <f>IF($D54="","",VLOOKUP($D54,'Current Withdrawals'!$A$6:$X$215,23,FALSE))</f>
        <v>8.565338522365866E-2</v>
      </c>
      <c r="U54" s="239">
        <f>IF($D54="","",VLOOKUP($D54,'Current Withdrawals'!$A$6:$X$215,24,FALSE))</f>
        <v>0</v>
      </c>
      <c r="Z54" s="38"/>
      <c r="AA54" s="39"/>
      <c r="AB54" s="40"/>
      <c r="AC54" s="41"/>
      <c r="AI54" s="35"/>
      <c r="AK54" s="42"/>
      <c r="AL54" s="43"/>
    </row>
    <row r="55" spans="2:38" ht="15.75" customHeight="1" x14ac:dyDescent="0.2">
      <c r="B55" s="9"/>
      <c r="C55" s="26">
        <v>3</v>
      </c>
      <c r="D55" s="16" t="str">
        <f>INDEX(LookUp!$S$5:$AL$23,$C55,LookUp!$B$5)</f>
        <v>02040104130</v>
      </c>
      <c r="E55" s="118" t="str">
        <f t="shared" si="2"/>
        <v>Little Flat Brook</v>
      </c>
      <c r="F55" s="138">
        <f>IF($D55="","",VLOOKUP($D55,'Current Withdrawals'!$A$6:$X$215,9,FALSE))</f>
        <v>0</v>
      </c>
      <c r="G55" s="139">
        <f>IF($D55="","",VLOOKUP($D55,'Current Withdrawals'!$A$6:$X$215,10,FALSE))</f>
        <v>0</v>
      </c>
      <c r="H55" s="140">
        <f>IF($D55="","",VLOOKUP($D55,'Current Withdrawals'!$A$6:$X$215,11,FALSE))</f>
        <v>0.10754840836895463</v>
      </c>
      <c r="I55" s="138">
        <f>IF($D55="","",VLOOKUP($D55,'Current Withdrawals'!$A$6:$X$215,12,FALSE))</f>
        <v>0</v>
      </c>
      <c r="J55" s="139">
        <f>IF($D55="","",VLOOKUP($D55,'Current Withdrawals'!$A$6:$X$215,13,FALSE))</f>
        <v>0</v>
      </c>
      <c r="K55" s="140">
        <f>IF($D55="","",VLOOKUP($D55,'Current Withdrawals'!$A$6:$X$215,14,FALSE))</f>
        <v>0</v>
      </c>
      <c r="L55" s="140">
        <f>IF($D55="","",VLOOKUP($D55,'Current Withdrawals'!$A$6:$X$215,15,FALSE))</f>
        <v>0</v>
      </c>
      <c r="M55" s="138">
        <f>IF($D55="","",VLOOKUP($D55,'Current Withdrawals'!$A$6:$X$215,16,FALSE))</f>
        <v>0</v>
      </c>
      <c r="N55" s="139">
        <f>IF($D55="","",VLOOKUP($D55,'Current Withdrawals'!$A$6:$X$215,17,FALSE))</f>
        <v>0</v>
      </c>
      <c r="O55" s="138">
        <f>IF($D55="","",VLOOKUP($D55,'Current Withdrawals'!$A$6:$X$215,18,FALSE))</f>
        <v>0</v>
      </c>
      <c r="P55" s="139">
        <f>IF($D55="","",VLOOKUP($D55,'Current Withdrawals'!$A$6:$X$215,19,FALSE))</f>
        <v>0</v>
      </c>
      <c r="Q55" s="140">
        <f>IF($D55="","",VLOOKUP($D55,'Current Withdrawals'!$A$6:$X$215,20,FALSE))</f>
        <v>9.6793567532059172E-2</v>
      </c>
      <c r="R55" s="140">
        <f>IF($D55="","",VLOOKUP($D55,'Current Withdrawals'!$A$6:$X$215,21,FALSE))</f>
        <v>0</v>
      </c>
      <c r="S55" s="140">
        <f>IF($D55="","",VLOOKUP($D55,'Current Withdrawals'!$A$6:$X$215,22,FALSE))</f>
        <v>0</v>
      </c>
      <c r="T55" s="140">
        <f>IF($D55="","",VLOOKUP($D55,'Current Withdrawals'!$A$6:$X$215,23,FALSE))</f>
        <v>9.6793567532059172E-2</v>
      </c>
      <c r="U55" s="240">
        <f>IF($D55="","",VLOOKUP($D55,'Current Withdrawals'!$A$6:$X$215,24,FALSE))</f>
        <v>0</v>
      </c>
      <c r="Z55" s="38"/>
      <c r="AA55" s="39"/>
      <c r="AB55" s="40"/>
      <c r="AC55" s="41"/>
      <c r="AI55" s="35"/>
    </row>
    <row r="56" spans="2:38" ht="15.75" customHeight="1" x14ac:dyDescent="0.2">
      <c r="B56" s="9"/>
      <c r="C56" s="228">
        <v>4</v>
      </c>
      <c r="D56" s="116" t="str">
        <f>INDEX(LookUp!$S$5:$AL$23,$C56,LookUp!$B$5)</f>
        <v>02040104140</v>
      </c>
      <c r="E56" s="116" t="str">
        <f t="shared" si="2"/>
        <v>Big Flat Brook</v>
      </c>
      <c r="F56" s="135">
        <f>IF($D56="","",VLOOKUP($D56,'Current Withdrawals'!$A$6:$X$215,9,FALSE))</f>
        <v>0</v>
      </c>
      <c r="G56" s="136">
        <f>IF($D56="","",VLOOKUP($D56,'Current Withdrawals'!$A$6:$X$215,10,FALSE))</f>
        <v>0</v>
      </c>
      <c r="H56" s="137">
        <f>IF($D56="","",VLOOKUP($D56,'Current Withdrawals'!$A$6:$X$215,11,FALSE))</f>
        <v>0.21611100598853825</v>
      </c>
      <c r="I56" s="135">
        <f>IF($D56="","",VLOOKUP($D56,'Current Withdrawals'!$A$6:$X$215,12,FALSE))</f>
        <v>0</v>
      </c>
      <c r="J56" s="136">
        <f>IF($D56="","",VLOOKUP($D56,'Current Withdrawals'!$A$6:$X$215,13,FALSE))</f>
        <v>0</v>
      </c>
      <c r="K56" s="137">
        <f>IF($D56="","",VLOOKUP($D56,'Current Withdrawals'!$A$6:$X$215,14,FALSE))</f>
        <v>0</v>
      </c>
      <c r="L56" s="137">
        <f>IF($D56="","",VLOOKUP($D56,'Current Withdrawals'!$A$6:$X$215,15,FALSE))</f>
        <v>0</v>
      </c>
      <c r="M56" s="135">
        <f>IF($D56="","",VLOOKUP($D56,'Current Withdrawals'!$A$6:$X$215,16,FALSE))</f>
        <v>0</v>
      </c>
      <c r="N56" s="136">
        <f>IF($D56="","",VLOOKUP($D56,'Current Withdrawals'!$A$6:$X$215,17,FALSE))</f>
        <v>0</v>
      </c>
      <c r="O56" s="135">
        <f>IF($D56="","",VLOOKUP($D56,'Current Withdrawals'!$A$6:$X$215,18,FALSE))</f>
        <v>0</v>
      </c>
      <c r="P56" s="136">
        <f>IF($D56="","",VLOOKUP($D56,'Current Withdrawals'!$A$6:$X$215,19,FALSE))</f>
        <v>0</v>
      </c>
      <c r="Q56" s="137">
        <f>IF($D56="","",VLOOKUP($D56,'Current Withdrawals'!$A$6:$X$215,20,FALSE))</f>
        <v>0.19449990538968442</v>
      </c>
      <c r="R56" s="137">
        <f>IF($D56="","",VLOOKUP($D56,'Current Withdrawals'!$A$6:$X$215,21,FALSE))</f>
        <v>0</v>
      </c>
      <c r="S56" s="137">
        <f>IF($D56="","",VLOOKUP($D56,'Current Withdrawals'!$A$6:$X$215,22,FALSE))</f>
        <v>0</v>
      </c>
      <c r="T56" s="137">
        <f>IF($D56="","",VLOOKUP($D56,'Current Withdrawals'!$A$6:$X$215,23,FALSE))</f>
        <v>0.19449990538968442</v>
      </c>
      <c r="U56" s="239">
        <f>IF($D56="","",VLOOKUP($D56,'Current Withdrawals'!$A$6:$X$215,24,FALSE))</f>
        <v>0</v>
      </c>
      <c r="Z56" s="38"/>
      <c r="AA56" s="39"/>
      <c r="AB56" s="8"/>
      <c r="AC56" s="8"/>
    </row>
    <row r="57" spans="2:38" ht="15.75" customHeight="1" x14ac:dyDescent="0.2">
      <c r="B57" s="9"/>
      <c r="C57" s="26">
        <v>5</v>
      </c>
      <c r="D57" s="16" t="str">
        <f>INDEX(LookUp!$S$5:$AL$23,$C57,LookUp!$B$5)</f>
        <v>02040104150</v>
      </c>
      <c r="E57" s="118" t="str">
        <f t="shared" si="2"/>
        <v>Flat Brook</v>
      </c>
      <c r="F57" s="138">
        <f>IF($D57="","",VLOOKUP($D57,'Current Withdrawals'!$A$6:$X$215,9,FALSE))</f>
        <v>0</v>
      </c>
      <c r="G57" s="139">
        <f>IF($D57="","",VLOOKUP($D57,'Current Withdrawals'!$A$6:$X$215,10,FALSE))</f>
        <v>0</v>
      </c>
      <c r="H57" s="140">
        <f>IF($D57="","",VLOOKUP($D57,'Current Withdrawals'!$A$6:$X$215,11,FALSE))</f>
        <v>3.267416565795872E-2</v>
      </c>
      <c r="I57" s="138">
        <f>IF($D57="","",VLOOKUP($D57,'Current Withdrawals'!$A$6:$X$215,12,FALSE))</f>
        <v>0</v>
      </c>
      <c r="J57" s="139">
        <f>IF($D57="","",VLOOKUP($D57,'Current Withdrawals'!$A$6:$X$215,13,FALSE))</f>
        <v>0</v>
      </c>
      <c r="K57" s="140">
        <f>IF($D57="","",VLOOKUP($D57,'Current Withdrawals'!$A$6:$X$215,14,FALSE))</f>
        <v>0</v>
      </c>
      <c r="L57" s="140">
        <f>IF($D57="","",VLOOKUP($D57,'Current Withdrawals'!$A$6:$X$215,15,FALSE))</f>
        <v>0</v>
      </c>
      <c r="M57" s="138">
        <f>IF($D57="","",VLOOKUP($D57,'Current Withdrawals'!$A$6:$X$215,16,FALSE))</f>
        <v>0</v>
      </c>
      <c r="N57" s="139">
        <f>IF($D57="","",VLOOKUP($D57,'Current Withdrawals'!$A$6:$X$215,17,FALSE))</f>
        <v>0</v>
      </c>
      <c r="O57" s="138">
        <f>IF($D57="","",VLOOKUP($D57,'Current Withdrawals'!$A$6:$X$215,18,FALSE))</f>
        <v>0</v>
      </c>
      <c r="P57" s="139">
        <f>IF($D57="","",VLOOKUP($D57,'Current Withdrawals'!$A$6:$X$215,19,FALSE))</f>
        <v>0</v>
      </c>
      <c r="Q57" s="140">
        <f>IF($D57="","",VLOOKUP($D57,'Current Withdrawals'!$A$6:$X$215,20,FALSE))</f>
        <v>2.940674909216285E-2</v>
      </c>
      <c r="R57" s="140">
        <f>IF($D57="","",VLOOKUP($D57,'Current Withdrawals'!$A$6:$X$215,21,FALSE))</f>
        <v>0</v>
      </c>
      <c r="S57" s="140">
        <f>IF($D57="","",VLOOKUP($D57,'Current Withdrawals'!$A$6:$X$215,22,FALSE))</f>
        <v>0</v>
      </c>
      <c r="T57" s="140">
        <f>IF($D57="","",VLOOKUP($D57,'Current Withdrawals'!$A$6:$X$215,23,FALSE))</f>
        <v>2.940674909216285E-2</v>
      </c>
      <c r="U57" s="240">
        <f>IF($D57="","",VLOOKUP($D57,'Current Withdrawals'!$A$6:$X$215,24,FALSE))</f>
        <v>0</v>
      </c>
      <c r="Z57" s="38"/>
      <c r="AA57" s="39"/>
      <c r="AB57" s="8"/>
      <c r="AC57" s="8"/>
    </row>
    <row r="58" spans="2:38" ht="15.75" customHeight="1" x14ac:dyDescent="0.2">
      <c r="B58" s="9"/>
      <c r="C58" s="228">
        <v>6</v>
      </c>
      <c r="D58" s="116" t="str">
        <f>INDEX(LookUp!$S$5:$AL$23,$C58,LookUp!$B$5)</f>
        <v>02040104240</v>
      </c>
      <c r="E58" s="116" t="str">
        <f t="shared" si="2"/>
        <v>Van Campens Brook / Dunnfield Creek</v>
      </c>
      <c r="F58" s="135">
        <f>IF($D58="","",VLOOKUP($D58,'Current Withdrawals'!$A$6:$X$215,9,FALSE))</f>
        <v>0</v>
      </c>
      <c r="G58" s="136">
        <f>IF($D58="","",VLOOKUP($D58,'Current Withdrawals'!$A$6:$X$215,10,FALSE))</f>
        <v>0</v>
      </c>
      <c r="H58" s="137">
        <f>IF($D58="","",VLOOKUP($D58,'Current Withdrawals'!$A$6:$X$215,11,FALSE))</f>
        <v>9.3984230858456599E-2</v>
      </c>
      <c r="I58" s="135">
        <f>IF($D58="","",VLOOKUP($D58,'Current Withdrawals'!$A$6:$X$215,12,FALSE))</f>
        <v>0</v>
      </c>
      <c r="J58" s="136">
        <f>IF($D58="","",VLOOKUP($D58,'Current Withdrawals'!$A$6:$X$215,13,FALSE))</f>
        <v>0</v>
      </c>
      <c r="K58" s="137">
        <f>IF($D58="","",VLOOKUP($D58,'Current Withdrawals'!$A$6:$X$215,14,FALSE))</f>
        <v>0</v>
      </c>
      <c r="L58" s="137">
        <f>IF($D58="","",VLOOKUP($D58,'Current Withdrawals'!$A$6:$X$215,15,FALSE))</f>
        <v>0</v>
      </c>
      <c r="M58" s="135">
        <f>IF($D58="","",VLOOKUP($D58,'Current Withdrawals'!$A$6:$X$215,16,FALSE))</f>
        <v>0</v>
      </c>
      <c r="N58" s="136">
        <f>IF($D58="","",VLOOKUP($D58,'Current Withdrawals'!$A$6:$X$215,17,FALSE))</f>
        <v>0</v>
      </c>
      <c r="O58" s="135">
        <f>IF($D58="","",VLOOKUP($D58,'Current Withdrawals'!$A$6:$X$215,18,FALSE))</f>
        <v>0</v>
      </c>
      <c r="P58" s="136">
        <f>IF($D58="","",VLOOKUP($D58,'Current Withdrawals'!$A$6:$X$215,19,FALSE))</f>
        <v>0</v>
      </c>
      <c r="Q58" s="137">
        <f>IF($D58="","",VLOOKUP($D58,'Current Withdrawals'!$A$6:$X$215,20,FALSE))</f>
        <v>8.4585807772610946E-2</v>
      </c>
      <c r="R58" s="137">
        <f>IF($D58="","",VLOOKUP($D58,'Current Withdrawals'!$A$6:$X$215,21,FALSE))</f>
        <v>0</v>
      </c>
      <c r="S58" s="137">
        <f>IF($D58="","",VLOOKUP($D58,'Current Withdrawals'!$A$6:$X$215,22,FALSE))</f>
        <v>0</v>
      </c>
      <c r="T58" s="137">
        <f>IF($D58="","",VLOOKUP($D58,'Current Withdrawals'!$A$6:$X$215,23,FALSE))</f>
        <v>8.4585807772610946E-2</v>
      </c>
      <c r="U58" s="239">
        <f>IF($D58="","",VLOOKUP($D58,'Current Withdrawals'!$A$6:$X$215,24,FALSE))</f>
        <v>0</v>
      </c>
      <c r="Z58" s="38"/>
      <c r="AA58" s="39"/>
      <c r="AB58" s="8"/>
      <c r="AC58" s="8"/>
    </row>
    <row r="59" spans="2:38" ht="15.75" customHeight="1" x14ac:dyDescent="0.2">
      <c r="B59" s="9"/>
      <c r="C59" s="26">
        <v>7</v>
      </c>
      <c r="D59" s="16" t="str">
        <f>INDEX(LookUp!$S$5:$AL$23,$C59,LookUp!$B$5)</f>
        <v>02040105030</v>
      </c>
      <c r="E59" s="118" t="str">
        <f t="shared" si="2"/>
        <v>Trout Brook / Swartswood Lake</v>
      </c>
      <c r="F59" s="138">
        <f>IF($D59="","",VLOOKUP($D59,'Current Withdrawals'!$A$6:$X$215,9,FALSE))</f>
        <v>6.8470818389305523E-3</v>
      </c>
      <c r="G59" s="139">
        <f>IF($D59="","",VLOOKUP($D59,'Current Withdrawals'!$A$6:$X$215,10,FALSE))</f>
        <v>0</v>
      </c>
      <c r="H59" s="140">
        <f>IF($D59="","",VLOOKUP($D59,'Current Withdrawals'!$A$6:$X$215,11,FALSE))</f>
        <v>0.33512445815609404</v>
      </c>
      <c r="I59" s="138">
        <f>IF($D59="","",VLOOKUP($D59,'Current Withdrawals'!$A$6:$X$215,12,FALSE))</f>
        <v>0</v>
      </c>
      <c r="J59" s="139">
        <f>IF($D59="","",VLOOKUP($D59,'Current Withdrawals'!$A$6:$X$215,13,FALSE))</f>
        <v>0</v>
      </c>
      <c r="K59" s="140">
        <f>IF($D59="","",VLOOKUP($D59,'Current Withdrawals'!$A$6:$X$215,14,FALSE))</f>
        <v>0</v>
      </c>
      <c r="L59" s="140">
        <f>IF($D59="","",VLOOKUP($D59,'Current Withdrawals'!$A$6:$X$215,15,FALSE))</f>
        <v>0</v>
      </c>
      <c r="M59" s="138">
        <f>IF($D59="","",VLOOKUP($D59,'Current Withdrawals'!$A$6:$X$215,16,FALSE))</f>
        <v>0</v>
      </c>
      <c r="N59" s="139">
        <f>IF($D59="","",VLOOKUP($D59,'Current Withdrawals'!$A$6:$X$215,17,FALSE))</f>
        <v>0</v>
      </c>
      <c r="O59" s="138">
        <f>IF($D59="","",VLOOKUP($D59,'Current Withdrawals'!$A$6:$X$215,18,FALSE))</f>
        <v>0</v>
      </c>
      <c r="P59" s="139">
        <f>IF($D59="","",VLOOKUP($D59,'Current Withdrawals'!$A$6:$X$215,19,FALSE))</f>
        <v>0</v>
      </c>
      <c r="Q59" s="140">
        <f>IF($D59="","",VLOOKUP($D59,'Current Withdrawals'!$A$6:$X$215,20,FALSE))</f>
        <v>0.30777438599552215</v>
      </c>
      <c r="R59" s="140">
        <f>IF($D59="","",VLOOKUP($D59,'Current Withdrawals'!$A$6:$X$215,21,FALSE))</f>
        <v>0</v>
      </c>
      <c r="S59" s="140">
        <f>IF($D59="","",VLOOKUP($D59,'Current Withdrawals'!$A$6:$X$215,22,FALSE))</f>
        <v>0</v>
      </c>
      <c r="T59" s="140">
        <f>IF($D59="","",VLOOKUP($D59,'Current Withdrawals'!$A$6:$X$215,23,FALSE))</f>
        <v>0.30777438599552215</v>
      </c>
      <c r="U59" s="240">
        <f>IF($D59="","",VLOOKUP($D59,'Current Withdrawals'!$A$6:$X$215,24,FALSE))</f>
        <v>0</v>
      </c>
      <c r="Z59" s="38"/>
      <c r="AA59" s="39"/>
      <c r="AB59" s="8"/>
      <c r="AC59" s="8"/>
    </row>
    <row r="60" spans="2:38" ht="15.75" customHeight="1" x14ac:dyDescent="0.2">
      <c r="B60" s="9"/>
      <c r="C60" s="228">
        <v>8</v>
      </c>
      <c r="D60" s="116" t="str">
        <f>INDEX(LookUp!$S$5:$AL$23,$C60,LookUp!$B$5)</f>
        <v>02040105040</v>
      </c>
      <c r="E60" s="116" t="str">
        <f t="shared" si="2"/>
        <v>Paulins Kill (above Stillwater Village)</v>
      </c>
      <c r="F60" s="135">
        <f>IF($D60="","",VLOOKUP($D60,'Current Withdrawals'!$A$6:$X$215,9,FALSE))</f>
        <v>2.3080230409738074</v>
      </c>
      <c r="G60" s="136">
        <f>IF($D60="","",VLOOKUP($D60,'Current Withdrawals'!$A$6:$X$215,10,FALSE))</f>
        <v>3.2605151613955004E-4</v>
      </c>
      <c r="H60" s="137">
        <f>IF($D60="","",VLOOKUP($D60,'Current Withdrawals'!$A$6:$X$215,11,FALSE))</f>
        <v>1.3491565117571618</v>
      </c>
      <c r="I60" s="135">
        <f>IF($D60="","",VLOOKUP($D60,'Current Withdrawals'!$A$6:$X$215,12,FALSE))</f>
        <v>5.062927942614933E-2</v>
      </c>
      <c r="J60" s="136">
        <f>IF($D60="","",VLOOKUP($D60,'Current Withdrawals'!$A$6:$X$215,13,FALSE))</f>
        <v>0</v>
      </c>
      <c r="K60" s="137">
        <f>IF($D60="","",VLOOKUP($D60,'Current Withdrawals'!$A$6:$X$215,14,FALSE))</f>
        <v>0</v>
      </c>
      <c r="L60" s="137">
        <f>IF($D60="","",VLOOKUP($D60,'Current Withdrawals'!$A$6:$X$215,15,FALSE))</f>
        <v>0</v>
      </c>
      <c r="M60" s="135">
        <f>IF($D60="","",VLOOKUP($D60,'Current Withdrawals'!$A$6:$X$215,16,FALSE))</f>
        <v>8.4436474296272129E-2</v>
      </c>
      <c r="N60" s="136">
        <f>IF($D60="","",VLOOKUP($D60,'Current Withdrawals'!$A$6:$X$215,17,FALSE))</f>
        <v>0.27422888816432989</v>
      </c>
      <c r="O60" s="135">
        <f>IF($D60="","",VLOOKUP($D60,'Current Withdrawals'!$A$6:$X$215,18,FALSE))</f>
        <v>0</v>
      </c>
      <c r="P60" s="136">
        <f>IF($D60="","",VLOOKUP($D60,'Current Withdrawals'!$A$6:$X$215,19,FALSE))</f>
        <v>0</v>
      </c>
      <c r="Q60" s="137">
        <f>IF($D60="","",VLOOKUP($D60,'Current Withdrawals'!$A$6:$X$215,20,FALSE))</f>
        <v>3.4130207758080515</v>
      </c>
      <c r="R60" s="137">
        <f>IF($D60="","",VLOOKUP($D60,'Current Withdrawals'!$A$6:$X$215,21,FALSE))</f>
        <v>0.27455493968046946</v>
      </c>
      <c r="S60" s="137">
        <f>IF($D60="","",VLOOKUP($D60,'Current Withdrawals'!$A$6:$X$215,22,FALSE))</f>
        <v>0</v>
      </c>
      <c r="T60" s="137">
        <f>IF($D60="","",VLOOKUP($D60,'Current Withdrawals'!$A$6:$X$215,23,FALSE))</f>
        <v>3.6875757154885211</v>
      </c>
      <c r="U60" s="239">
        <f>IF($D60="","",VLOOKUP($D60,'Current Withdrawals'!$A$6:$X$215,24,FALSE))</f>
        <v>0</v>
      </c>
      <c r="Z60" s="38"/>
      <c r="AA60" s="39"/>
      <c r="AB60" s="8"/>
      <c r="AC60" s="8"/>
    </row>
    <row r="61" spans="2:38" ht="15.75" customHeight="1" x14ac:dyDescent="0.2">
      <c r="B61" s="9"/>
      <c r="C61" s="26">
        <v>9</v>
      </c>
      <c r="D61" s="16" t="str">
        <f>INDEX(LookUp!$S$5:$AL$23,$C61,LookUp!$B$5)</f>
        <v>02040105050</v>
      </c>
      <c r="E61" s="118" t="str">
        <f t="shared" si="2"/>
        <v>Paulins Kill (below Stillwater Village)</v>
      </c>
      <c r="F61" s="138">
        <f>IF($D61="","",VLOOKUP($D61,'Current Withdrawals'!$A$6:$X$215,9,FALSE))</f>
        <v>7.3578958808825118E-2</v>
      </c>
      <c r="G61" s="139">
        <f>IF($D61="","",VLOOKUP($D61,'Current Withdrawals'!$A$6:$X$215,10,FALSE))</f>
        <v>0</v>
      </c>
      <c r="H61" s="140">
        <f>IF($D61="","",VLOOKUP($D61,'Current Withdrawals'!$A$6:$X$215,11,FALSE))</f>
        <v>0.83898375716278806</v>
      </c>
      <c r="I61" s="138">
        <f>IF($D61="","",VLOOKUP($D61,'Current Withdrawals'!$A$6:$X$215,12,FALSE))</f>
        <v>0</v>
      </c>
      <c r="J61" s="139">
        <f>IF($D61="","",VLOOKUP($D61,'Current Withdrawals'!$A$6:$X$215,13,FALSE))</f>
        <v>0</v>
      </c>
      <c r="K61" s="140">
        <f>IF($D61="","",VLOOKUP($D61,'Current Withdrawals'!$A$6:$X$215,14,FALSE))</f>
        <v>0</v>
      </c>
      <c r="L61" s="140">
        <f>IF($D61="","",VLOOKUP($D61,'Current Withdrawals'!$A$6:$X$215,15,FALSE))</f>
        <v>0</v>
      </c>
      <c r="M61" s="138">
        <f>IF($D61="","",VLOOKUP($D61,'Current Withdrawals'!$A$6:$X$215,16,FALSE))</f>
        <v>0</v>
      </c>
      <c r="N61" s="139">
        <f>IF($D61="","",VLOOKUP($D61,'Current Withdrawals'!$A$6:$X$215,17,FALSE))</f>
        <v>6.1297685034235404E-2</v>
      </c>
      <c r="O61" s="138">
        <f>IF($D61="","",VLOOKUP($D61,'Current Withdrawals'!$A$6:$X$215,18,FALSE))</f>
        <v>0</v>
      </c>
      <c r="P61" s="139">
        <f>IF($D61="","",VLOOKUP($D61,'Current Withdrawals'!$A$6:$X$215,19,FALSE))</f>
        <v>0</v>
      </c>
      <c r="Q61" s="140">
        <f>IF($D61="","",VLOOKUP($D61,'Current Withdrawals'!$A$6:$X$215,20,FALSE))</f>
        <v>0.82130644437445188</v>
      </c>
      <c r="R61" s="140">
        <f>IF($D61="","",VLOOKUP($D61,'Current Withdrawals'!$A$6:$X$215,21,FALSE))</f>
        <v>6.1297685034235404E-2</v>
      </c>
      <c r="S61" s="140">
        <f>IF($D61="","",VLOOKUP($D61,'Current Withdrawals'!$A$6:$X$215,22,FALSE))</f>
        <v>0</v>
      </c>
      <c r="T61" s="140">
        <f>IF($D61="","",VLOOKUP($D61,'Current Withdrawals'!$A$6:$X$215,23,FALSE))</f>
        <v>0.88260412940868727</v>
      </c>
      <c r="U61" s="240">
        <f>IF($D61="","",VLOOKUP($D61,'Current Withdrawals'!$A$6:$X$215,24,FALSE))</f>
        <v>75.620345614607075</v>
      </c>
      <c r="Z61" s="38"/>
      <c r="AA61" s="39"/>
      <c r="AB61" s="8"/>
      <c r="AC61" s="8"/>
    </row>
    <row r="62" spans="2:38" ht="15.75" customHeight="1" x14ac:dyDescent="0.2">
      <c r="B62" s="9"/>
      <c r="C62" s="228">
        <v>10</v>
      </c>
      <c r="D62" s="116" t="str">
        <f>INDEX(LookUp!$S$5:$AL$23,$C62,LookUp!$B$5)</f>
        <v>02040105060</v>
      </c>
      <c r="E62" s="116" t="str">
        <f t="shared" si="2"/>
        <v>Stony Brook / Delawanna Creek</v>
      </c>
      <c r="F62" s="135">
        <f>IF($D62="","",VLOOKUP($D62,'Current Withdrawals'!$A$6:$X$215,9,FALSE))</f>
        <v>0</v>
      </c>
      <c r="G62" s="136">
        <f>IF($D62="","",VLOOKUP($D62,'Current Withdrawals'!$A$6:$X$215,10,FALSE))</f>
        <v>0</v>
      </c>
      <c r="H62" s="137">
        <f>IF($D62="","",VLOOKUP($D62,'Current Withdrawals'!$A$6:$X$215,11,FALSE))</f>
        <v>0.24213816339446445</v>
      </c>
      <c r="I62" s="135">
        <f>IF($D62="","",VLOOKUP($D62,'Current Withdrawals'!$A$6:$X$215,12,FALSE))</f>
        <v>0.94837517661123782</v>
      </c>
      <c r="J62" s="136">
        <f>IF($D62="","",VLOOKUP($D62,'Current Withdrawals'!$A$6:$X$215,13,FALSE))</f>
        <v>0</v>
      </c>
      <c r="K62" s="137">
        <f>IF($D62="","",VLOOKUP($D62,'Current Withdrawals'!$A$6:$X$215,14,FALSE))</f>
        <v>7.3905010324964667E-4</v>
      </c>
      <c r="L62" s="137">
        <f>IF($D62="","",VLOOKUP($D62,'Current Withdrawals'!$A$6:$X$215,15,FALSE))</f>
        <v>0</v>
      </c>
      <c r="M62" s="135">
        <f>IF($D62="","",VLOOKUP($D62,'Current Withdrawals'!$A$6:$X$215,16,FALSE))</f>
        <v>0</v>
      </c>
      <c r="N62" s="136">
        <f>IF($D62="","",VLOOKUP($D62,'Current Withdrawals'!$A$6:$X$215,17,FALSE))</f>
        <v>0</v>
      </c>
      <c r="O62" s="135">
        <f>IF($D62="","",VLOOKUP($D62,'Current Withdrawals'!$A$6:$X$215,18,FALSE))</f>
        <v>0</v>
      </c>
      <c r="P62" s="136">
        <f>IF($D62="","",VLOOKUP($D62,'Current Withdrawals'!$A$6:$X$215,19,FALSE))</f>
        <v>142.25627649168567</v>
      </c>
      <c r="Q62" s="137">
        <f>IF($D62="","",VLOOKUP($D62,'Current Withdrawals'!$A$6:$X$215,20,FALSE))</f>
        <v>1.0721271510980566</v>
      </c>
      <c r="R62" s="137">
        <f>IF($D62="","",VLOOKUP($D62,'Current Withdrawals'!$A$6:$X$215,21,FALSE))</f>
        <v>142.25627649168567</v>
      </c>
      <c r="S62" s="137">
        <f>IF($D62="","",VLOOKUP($D62,'Current Withdrawals'!$A$6:$X$215,22,FALSE))</f>
        <v>0</v>
      </c>
      <c r="T62" s="137">
        <f>IF($D62="","",VLOOKUP($D62,'Current Withdrawals'!$A$6:$X$215,23,FALSE))</f>
        <v>143.32840364278371</v>
      </c>
      <c r="U62" s="239">
        <f>IF($D62="","",VLOOKUP($D62,'Current Withdrawals'!$A$6:$X$215,24,FALSE))</f>
        <v>19.846071079230519</v>
      </c>
      <c r="Z62" s="38"/>
      <c r="AA62" s="39"/>
      <c r="AB62" s="8"/>
      <c r="AC62" s="8"/>
    </row>
    <row r="63" spans="2:38" ht="15.75" customHeight="1" x14ac:dyDescent="0.2">
      <c r="B63" s="9"/>
      <c r="C63" s="26">
        <v>11</v>
      </c>
      <c r="D63" s="16" t="str">
        <f>INDEX(LookUp!$S$5:$AL$23,$C63,LookUp!$B$5)</f>
        <v>02040105070</v>
      </c>
      <c r="E63" s="118" t="str">
        <f t="shared" si="2"/>
        <v>Pequest River (above/incl Bear Swamp)</v>
      </c>
      <c r="F63" s="138">
        <f>IF($D63="","",VLOOKUP($D63,'Current Withdrawals'!$A$6:$X$215,9,FALSE))</f>
        <v>0.96908922943158349</v>
      </c>
      <c r="G63" s="139">
        <f>IF($D63="","",VLOOKUP($D63,'Current Withdrawals'!$A$6:$X$215,10,FALSE))</f>
        <v>0</v>
      </c>
      <c r="H63" s="140">
        <f>IF($D63="","",VLOOKUP($D63,'Current Withdrawals'!$A$6:$X$215,11,FALSE))</f>
        <v>0.99765222372367923</v>
      </c>
      <c r="I63" s="138">
        <f>IF($D63="","",VLOOKUP($D63,'Current Withdrawals'!$A$6:$X$215,12,FALSE))</f>
        <v>0</v>
      </c>
      <c r="J63" s="139">
        <f>IF($D63="","",VLOOKUP($D63,'Current Withdrawals'!$A$6:$X$215,13,FALSE))</f>
        <v>0</v>
      </c>
      <c r="K63" s="140">
        <f>IF($D63="","",VLOOKUP($D63,'Current Withdrawals'!$A$6:$X$215,14,FALSE))</f>
        <v>0.53630040213020325</v>
      </c>
      <c r="L63" s="140">
        <f>IF($D63="","",VLOOKUP($D63,'Current Withdrawals'!$A$6:$X$215,15,FALSE))</f>
        <v>9.2381262906205838E-2</v>
      </c>
      <c r="M63" s="138">
        <f>IF($D63="","",VLOOKUP($D63,'Current Withdrawals'!$A$6:$X$215,16,FALSE))</f>
        <v>0</v>
      </c>
      <c r="N63" s="139">
        <f>IF($D63="","",VLOOKUP($D63,'Current Withdrawals'!$A$6:$X$215,17,FALSE))</f>
        <v>3.0714052820345616E-2</v>
      </c>
      <c r="O63" s="138">
        <f>IF($D63="","",VLOOKUP($D63,'Current Withdrawals'!$A$6:$X$215,18,FALSE))</f>
        <v>0</v>
      </c>
      <c r="P63" s="139">
        <f>IF($D63="","",VLOOKUP($D63,'Current Withdrawals'!$A$6:$X$215,19,FALSE))</f>
        <v>0</v>
      </c>
      <c r="Q63" s="140">
        <f>IF($D63="","",VLOOKUP($D63,'Current Withdrawals'!$A$6:$X$215,20,FALSE))</f>
        <v>2.2527376697569195</v>
      </c>
      <c r="R63" s="140">
        <f>IF($D63="","",VLOOKUP($D63,'Current Withdrawals'!$A$6:$X$215,21,FALSE))</f>
        <v>0.12309531572655145</v>
      </c>
      <c r="S63" s="140">
        <f>IF($D63="","",VLOOKUP($D63,'Current Withdrawals'!$A$6:$X$215,22,FALSE))</f>
        <v>0</v>
      </c>
      <c r="T63" s="140">
        <f>IF($D63="","",VLOOKUP($D63,'Current Withdrawals'!$A$6:$X$215,23,FALSE))</f>
        <v>2.3758329854834708</v>
      </c>
      <c r="U63" s="240">
        <f>IF($D63="","",VLOOKUP($D63,'Current Withdrawals'!$A$6:$X$215,24,FALSE))</f>
        <v>0</v>
      </c>
      <c r="Z63" s="38"/>
      <c r="AA63" s="39"/>
      <c r="AB63" s="8"/>
      <c r="AC63" s="8"/>
    </row>
    <row r="64" spans="2:38" ht="15.75" customHeight="1" x14ac:dyDescent="0.2">
      <c r="B64" s="9"/>
      <c r="C64" s="228">
        <v>12</v>
      </c>
      <c r="D64" s="116" t="str">
        <f>INDEX(LookUp!$S$5:$AL$23,$C64,LookUp!$B$5)</f>
        <v>02040105080</v>
      </c>
      <c r="E64" s="116" t="str">
        <f t="shared" si="2"/>
        <v>Bear Creek</v>
      </c>
      <c r="F64" s="135">
        <f>IF($D64="","",VLOOKUP($D64,'Current Withdrawals'!$A$6:$X$215,9,FALSE))</f>
        <v>5.9623953918052378E-2</v>
      </c>
      <c r="G64" s="136">
        <f>IF($D64="","",VLOOKUP($D64,'Current Withdrawals'!$A$6:$X$215,10,FALSE))</f>
        <v>0</v>
      </c>
      <c r="H64" s="137">
        <f>IF($D64="","",VLOOKUP($D64,'Current Withdrawals'!$A$6:$X$215,11,FALSE))</f>
        <v>0.21633169433925331</v>
      </c>
      <c r="I64" s="135">
        <f>IF($D64="","",VLOOKUP($D64,'Current Withdrawals'!$A$6:$X$215,12,FALSE))</f>
        <v>0</v>
      </c>
      <c r="J64" s="136">
        <f>IF($D64="","",VLOOKUP($D64,'Current Withdrawals'!$A$6:$X$215,13,FALSE))</f>
        <v>0</v>
      </c>
      <c r="K64" s="137">
        <f>IF($D64="","",VLOOKUP($D64,'Current Withdrawals'!$A$6:$X$215,14,FALSE))</f>
        <v>0</v>
      </c>
      <c r="L64" s="137">
        <f>IF($D64="","",VLOOKUP($D64,'Current Withdrawals'!$A$6:$X$215,15,FALSE))</f>
        <v>9.7815454841865004E-2</v>
      </c>
      <c r="M64" s="135">
        <f>IF($D64="","",VLOOKUP($D64,'Current Withdrawals'!$A$6:$X$215,16,FALSE))</f>
        <v>0</v>
      </c>
      <c r="N64" s="136">
        <f>IF($D64="","",VLOOKUP($D64,'Current Withdrawals'!$A$6:$X$215,17,FALSE))</f>
        <v>0</v>
      </c>
      <c r="O64" s="135">
        <f>IF($D64="","",VLOOKUP($D64,'Current Withdrawals'!$A$6:$X$215,18,FALSE))</f>
        <v>0</v>
      </c>
      <c r="P64" s="136">
        <f>IF($D64="","",VLOOKUP($D64,'Current Withdrawals'!$A$6:$X$215,19,FALSE))</f>
        <v>0</v>
      </c>
      <c r="Q64" s="137">
        <f>IF($D64="","",VLOOKUP($D64,'Current Withdrawals'!$A$6:$X$215,20,FALSE))</f>
        <v>0.24836008343157512</v>
      </c>
      <c r="R64" s="137">
        <f>IF($D64="","",VLOOKUP($D64,'Current Withdrawals'!$A$6:$X$215,21,FALSE))</f>
        <v>9.7815454841865004E-2</v>
      </c>
      <c r="S64" s="137">
        <f>IF($D64="","",VLOOKUP($D64,'Current Withdrawals'!$A$6:$X$215,22,FALSE))</f>
        <v>0</v>
      </c>
      <c r="T64" s="137">
        <f>IF($D64="","",VLOOKUP($D64,'Current Withdrawals'!$A$6:$X$215,23,FALSE))</f>
        <v>0.34617553827344011</v>
      </c>
      <c r="U64" s="239">
        <f>IF($D64="","",VLOOKUP($D64,'Current Withdrawals'!$A$6:$X$215,24,FALSE))</f>
        <v>0</v>
      </c>
      <c r="V64" s="8"/>
      <c r="W64" s="26"/>
      <c r="X64" s="26"/>
      <c r="Y64" s="26"/>
      <c r="Z64" s="38"/>
      <c r="AA64" s="39"/>
      <c r="AB64" s="8"/>
      <c r="AC64" s="8"/>
    </row>
    <row r="65" spans="2:38" ht="15.75" customHeight="1" x14ac:dyDescent="0.2">
      <c r="B65" s="9"/>
      <c r="C65" s="26">
        <v>13</v>
      </c>
      <c r="D65" s="16" t="str">
        <f>INDEX(LookUp!$S$5:$AL$23,$C65,LookUp!$B$5)</f>
        <v>02040105090</v>
      </c>
      <c r="E65" s="118" t="str">
        <f t="shared" si="2"/>
        <v>Pequest River (below Bear Swamp)</v>
      </c>
      <c r="F65" s="138">
        <f>IF($D65="","",VLOOKUP($D65,'Current Withdrawals'!$A$6:$X$215,9,FALSE))</f>
        <v>0.15559178350179328</v>
      </c>
      <c r="G65" s="139">
        <f>IF($D65="","",VLOOKUP($D65,'Current Withdrawals'!$A$6:$X$215,10,FALSE))</f>
        <v>0</v>
      </c>
      <c r="H65" s="140">
        <f>IF($D65="","",VLOOKUP($D65,'Current Withdrawals'!$A$6:$X$215,11,FALSE))</f>
        <v>0.93086316593745377</v>
      </c>
      <c r="I65" s="138">
        <f>IF($D65="","",VLOOKUP($D65,'Current Withdrawals'!$A$6:$X$215,12,FALSE))</f>
        <v>0.28692533420280397</v>
      </c>
      <c r="J65" s="139">
        <f>IF($D65="","",VLOOKUP($D65,'Current Withdrawals'!$A$6:$X$215,13,FALSE))</f>
        <v>0</v>
      </c>
      <c r="K65" s="140">
        <f>IF($D65="","",VLOOKUP($D65,'Current Withdrawals'!$A$6:$X$215,14,FALSE))</f>
        <v>9.2957287251385701</v>
      </c>
      <c r="L65" s="140">
        <f>IF($D65="","",VLOOKUP($D65,'Current Withdrawals'!$A$6:$X$215,15,FALSE))</f>
        <v>0.17606781871535704</v>
      </c>
      <c r="M65" s="138">
        <f>IF($D65="","",VLOOKUP($D65,'Current Withdrawals'!$A$6:$X$215,16,FALSE))</f>
        <v>0</v>
      </c>
      <c r="N65" s="139">
        <f>IF($D65="","",VLOOKUP($D65,'Current Withdrawals'!$A$6:$X$215,17,FALSE))</f>
        <v>0</v>
      </c>
      <c r="O65" s="138">
        <f>IF($D65="","",VLOOKUP($D65,'Current Withdrawals'!$A$6:$X$215,18,FALSE))</f>
        <v>0</v>
      </c>
      <c r="P65" s="139">
        <f>IF($D65="","",VLOOKUP($D65,'Current Withdrawals'!$A$6:$X$215,19,FALSE))</f>
        <v>0</v>
      </c>
      <c r="Q65" s="140">
        <f>IF($D65="","",VLOOKUP($D65,'Current Withdrawals'!$A$6:$X$215,20,FALSE))</f>
        <v>9.6021981079025593</v>
      </c>
      <c r="R65" s="140">
        <f>IF($D65="","",VLOOKUP($D65,'Current Withdrawals'!$A$6:$X$215,21,FALSE))</f>
        <v>0.17606781871535704</v>
      </c>
      <c r="S65" s="140">
        <f>IF($D65="","",VLOOKUP($D65,'Current Withdrawals'!$A$6:$X$215,22,FALSE))</f>
        <v>0</v>
      </c>
      <c r="T65" s="140">
        <f>IF($D65="","",VLOOKUP($D65,'Current Withdrawals'!$A$6:$X$215,23,FALSE))</f>
        <v>9.7782659266179159</v>
      </c>
      <c r="U65" s="240">
        <f>IF($D65="","",VLOOKUP($D65,'Current Withdrawals'!$A$6:$X$215,24,FALSE))</f>
        <v>0</v>
      </c>
      <c r="V65" s="8"/>
      <c r="W65" s="26"/>
      <c r="X65" s="26"/>
      <c r="Y65" s="26"/>
      <c r="Z65" s="38"/>
      <c r="AA65" s="39"/>
      <c r="AB65" s="8"/>
      <c r="AC65" s="8"/>
    </row>
    <row r="66" spans="2:38" ht="15.75" customHeight="1" x14ac:dyDescent="0.2">
      <c r="B66" s="9"/>
      <c r="C66" s="228">
        <v>14</v>
      </c>
      <c r="D66" s="116" t="str">
        <f>INDEX(LookUp!$S$5:$AL$23,$C66,LookUp!$B$5)</f>
        <v>02040105100</v>
      </c>
      <c r="E66" s="116" t="str">
        <f t="shared" si="2"/>
        <v>Beaver Brook</v>
      </c>
      <c r="F66" s="135">
        <f>IF($D66="","",VLOOKUP($D66,'Current Withdrawals'!$A$6:$X$215,9,FALSE))</f>
        <v>0</v>
      </c>
      <c r="G66" s="136">
        <f>IF($D66="","",VLOOKUP($D66,'Current Withdrawals'!$A$6:$X$215,10,FALSE))</f>
        <v>0</v>
      </c>
      <c r="H66" s="137">
        <f>IF($D66="","",VLOOKUP($D66,'Current Withdrawals'!$A$6:$X$215,11,FALSE))</f>
        <v>0.47229894067306244</v>
      </c>
      <c r="I66" s="135">
        <f>IF($D66="","",VLOOKUP($D66,'Current Withdrawals'!$A$6:$X$215,12,FALSE))</f>
        <v>0</v>
      </c>
      <c r="J66" s="136">
        <f>IF($D66="","",VLOOKUP($D66,'Current Withdrawals'!$A$6:$X$215,13,FALSE))</f>
        <v>0</v>
      </c>
      <c r="K66" s="137">
        <f>IF($D66="","",VLOOKUP($D66,'Current Withdrawals'!$A$6:$X$215,14,FALSE))</f>
        <v>1.2716009129442452E-2</v>
      </c>
      <c r="L66" s="137">
        <f>IF($D66="","",VLOOKUP($D66,'Current Withdrawals'!$A$6:$X$215,15,FALSE))</f>
        <v>9.7815454841865004E-2</v>
      </c>
      <c r="M66" s="135">
        <f>IF($D66="","",VLOOKUP($D66,'Current Withdrawals'!$A$6:$X$215,16,FALSE))</f>
        <v>0</v>
      </c>
      <c r="N66" s="136">
        <f>IF($D66="","",VLOOKUP($D66,'Current Withdrawals'!$A$6:$X$215,17,FALSE))</f>
        <v>0</v>
      </c>
      <c r="O66" s="135">
        <f>IF($D66="","",VLOOKUP($D66,'Current Withdrawals'!$A$6:$X$215,18,FALSE))</f>
        <v>0</v>
      </c>
      <c r="P66" s="136">
        <f>IF($D66="","",VLOOKUP($D66,'Current Withdrawals'!$A$6:$X$215,19,FALSE))</f>
        <v>0</v>
      </c>
      <c r="Q66" s="137">
        <f>IF($D66="","",VLOOKUP($D66,'Current Withdrawals'!$A$6:$X$215,20,FALSE))</f>
        <v>0.4365134548222544</v>
      </c>
      <c r="R66" s="137">
        <f>IF($D66="","",VLOOKUP($D66,'Current Withdrawals'!$A$6:$X$215,21,FALSE))</f>
        <v>9.7815454841865004E-2</v>
      </c>
      <c r="S66" s="137">
        <f>IF($D66="","",VLOOKUP($D66,'Current Withdrawals'!$A$6:$X$215,22,FALSE))</f>
        <v>0</v>
      </c>
      <c r="T66" s="137">
        <f>IF($D66="","",VLOOKUP($D66,'Current Withdrawals'!$A$6:$X$215,23,FALSE))</f>
        <v>0.53432890966411939</v>
      </c>
      <c r="U66" s="239">
        <f>IF($D66="","",VLOOKUP($D66,'Current Withdrawals'!$A$6:$X$215,24,FALSE))</f>
        <v>0</v>
      </c>
      <c r="V66" s="8"/>
      <c r="W66" s="26"/>
      <c r="X66" s="26"/>
      <c r="Y66" s="26"/>
      <c r="Z66" s="38"/>
      <c r="AA66" s="39"/>
      <c r="AB66" s="8"/>
      <c r="AC66" s="8"/>
    </row>
    <row r="67" spans="2:38" ht="15.75" customHeight="1" x14ac:dyDescent="0.2">
      <c r="B67" s="9"/>
      <c r="C67" s="26">
        <v>15</v>
      </c>
      <c r="D67" s="16" t="str">
        <f>INDEX(LookUp!$S$5:$AL$23,$C67,LookUp!$B$5)</f>
        <v>02040105110</v>
      </c>
      <c r="E67" s="118" t="str">
        <f t="shared" si="2"/>
        <v>Pophandusing Brook / Buckhorn Creek</v>
      </c>
      <c r="F67" s="138">
        <f>IF($D67="","",VLOOKUP($D67,'Current Withdrawals'!$A$6:$X$215,9,FALSE))</f>
        <v>0.37700249972829036</v>
      </c>
      <c r="G67" s="139">
        <f>IF($D67="","",VLOOKUP($D67,'Current Withdrawals'!$A$6:$X$215,10,FALSE))</f>
        <v>0</v>
      </c>
      <c r="H67" s="140">
        <f>IF($D67="","",VLOOKUP($D67,'Current Withdrawals'!$A$6:$X$215,11,FALSE))</f>
        <v>0.37899829213265657</v>
      </c>
      <c r="I67" s="138">
        <f>IF($D67="","",VLOOKUP($D67,'Current Withdrawals'!$A$6:$X$215,12,FALSE))</f>
        <v>2.4997206481904142</v>
      </c>
      <c r="J67" s="139">
        <f>IF($D67="","",VLOOKUP($D67,'Current Withdrawals'!$A$6:$X$215,13,FALSE))</f>
        <v>1.1737854581023801E-2</v>
      </c>
      <c r="K67" s="140">
        <f>IF($D67="","",VLOOKUP($D67,'Current Withdrawals'!$A$6:$X$215,14,FALSE))</f>
        <v>0</v>
      </c>
      <c r="L67" s="140">
        <f>IF($D67="","",VLOOKUP($D67,'Current Withdrawals'!$A$6:$X$215,15,FALSE))</f>
        <v>0.25360286925334202</v>
      </c>
      <c r="M67" s="138">
        <f>IF($D67="","",VLOOKUP($D67,'Current Withdrawals'!$A$6:$X$215,16,FALSE))</f>
        <v>1.79958700141289E-2</v>
      </c>
      <c r="N67" s="139">
        <f>IF($D67="","",VLOOKUP($D67,'Current Withdrawals'!$A$6:$X$215,17,FALSE))</f>
        <v>1.0596674274535376E-2</v>
      </c>
      <c r="O67" s="138">
        <f>IF($D67="","",VLOOKUP($D67,'Current Withdrawals'!$A$6:$X$215,18,FALSE))</f>
        <v>0</v>
      </c>
      <c r="P67" s="139">
        <f>IF($D67="","",VLOOKUP($D67,'Current Withdrawals'!$A$6:$X$215,19,FALSE))</f>
        <v>0</v>
      </c>
      <c r="Q67" s="140">
        <f>IF($D67="","",VLOOKUP($D67,'Current Withdrawals'!$A$6:$X$215,20,FALSE))</f>
        <v>2.9463455790589408</v>
      </c>
      <c r="R67" s="140">
        <f>IF($D67="","",VLOOKUP($D67,'Current Withdrawals'!$A$6:$X$215,21,FALSE))</f>
        <v>0.27593739810890117</v>
      </c>
      <c r="S67" s="140">
        <f>IF($D67="","",VLOOKUP($D67,'Current Withdrawals'!$A$6:$X$215,22,FALSE))</f>
        <v>0</v>
      </c>
      <c r="T67" s="140">
        <f>IF($D67="","",VLOOKUP($D67,'Current Withdrawals'!$A$6:$X$215,23,FALSE))</f>
        <v>3.2222829771678421</v>
      </c>
      <c r="U67" s="240">
        <f>IF($D67="","",VLOOKUP($D67,'Current Withdrawals'!$A$6:$X$215,24,FALSE))</f>
        <v>40.497228562112817</v>
      </c>
      <c r="V67" s="8"/>
      <c r="W67" s="26"/>
      <c r="X67" s="26"/>
      <c r="Y67" s="26"/>
      <c r="Z67" s="38"/>
      <c r="AA67" s="39"/>
      <c r="AB67" s="8"/>
      <c r="AC67" s="8"/>
    </row>
    <row r="68" spans="2:38" ht="15.75" customHeight="1" x14ac:dyDescent="0.2">
      <c r="B68" s="9"/>
      <c r="C68" s="228">
        <v>16</v>
      </c>
      <c r="D68" s="116" t="str">
        <f>INDEX(LookUp!$S$5:$AL$23,$C68,LookUp!$B$5)</f>
        <v>02040105120</v>
      </c>
      <c r="E68" s="116" t="str">
        <f t="shared" si="2"/>
        <v>Lopatcong Creek</v>
      </c>
      <c r="F68" s="135">
        <f>IF($D68="","",VLOOKUP($D68,'Current Withdrawals'!$A$6:$X$215,9,FALSE))</f>
        <v>0</v>
      </c>
      <c r="G68" s="136">
        <f>IF($D68="","",VLOOKUP($D68,'Current Withdrawals'!$A$6:$X$215,10,FALSE))</f>
        <v>0</v>
      </c>
      <c r="H68" s="137">
        <f>IF($D68="","",VLOOKUP($D68,'Current Withdrawals'!$A$6:$X$215,11,FALSE))</f>
        <v>0.24224081887623078</v>
      </c>
      <c r="I68" s="135">
        <f>IF($D68="","",VLOOKUP($D68,'Current Withdrawals'!$A$6:$X$215,12,FALSE))</f>
        <v>2.5385284208238233E-2</v>
      </c>
      <c r="J68" s="136">
        <f>IF($D68="","",VLOOKUP($D68,'Current Withdrawals'!$A$6:$X$215,13,FALSE))</f>
        <v>2.5758069775024452E-2</v>
      </c>
      <c r="K68" s="137">
        <f>IF($D68="","",VLOOKUP($D68,'Current Withdrawals'!$A$6:$X$215,14,FALSE))</f>
        <v>1.0868383871318334E-2</v>
      </c>
      <c r="L68" s="137">
        <f>IF($D68="","",VLOOKUP($D68,'Current Withdrawals'!$A$6:$X$215,15,FALSE))</f>
        <v>0</v>
      </c>
      <c r="M68" s="135">
        <f>IF($D68="","",VLOOKUP($D68,'Current Withdrawals'!$A$6:$X$215,16,FALSE))</f>
        <v>1.319240662246857E-2</v>
      </c>
      <c r="N68" s="136">
        <f>IF($D68="","",VLOOKUP($D68,'Current Withdrawals'!$A$6:$X$215,17,FALSE))</f>
        <v>4.4516030866210192E-2</v>
      </c>
      <c r="O68" s="135">
        <f>IF($D68="","",VLOOKUP($D68,'Current Withdrawals'!$A$6:$X$215,18,FALSE))</f>
        <v>0</v>
      </c>
      <c r="P68" s="136">
        <f>IF($D68="","",VLOOKUP($D68,'Current Withdrawals'!$A$6:$X$215,19,FALSE))</f>
        <v>0</v>
      </c>
      <c r="Q68" s="137">
        <f>IF($D68="","",VLOOKUP($D68,'Current Withdrawals'!$A$6:$X$215,20,FALSE))</f>
        <v>0.26251820422043032</v>
      </c>
      <c r="R68" s="137">
        <f>IF($D68="","",VLOOKUP($D68,'Current Withdrawals'!$A$6:$X$215,21,FALSE))</f>
        <v>7.0274100641234641E-2</v>
      </c>
      <c r="S68" s="137">
        <f>IF($D68="","",VLOOKUP($D68,'Current Withdrawals'!$A$6:$X$215,22,FALSE))</f>
        <v>0</v>
      </c>
      <c r="T68" s="137">
        <f>IF($D68="","",VLOOKUP($D68,'Current Withdrawals'!$A$6:$X$215,23,FALSE))</f>
        <v>0.33279230486166494</v>
      </c>
      <c r="U68" s="239">
        <f>IF($D68="","",VLOOKUP($D68,'Current Withdrawals'!$A$6:$X$215,24,FALSE))</f>
        <v>1.1402021519400065</v>
      </c>
      <c r="V68" s="8"/>
      <c r="W68" s="26"/>
      <c r="X68" s="26"/>
      <c r="Y68" s="26"/>
      <c r="Z68" s="38"/>
      <c r="AA68" s="39"/>
      <c r="AB68" s="8"/>
      <c r="AC68" s="8"/>
    </row>
    <row r="69" spans="2:38" ht="15.75" customHeight="1" x14ac:dyDescent="0.2">
      <c r="B69" s="9"/>
      <c r="C69" s="26">
        <v>17</v>
      </c>
      <c r="D69" s="16" t="str">
        <f>INDEX(LookUp!$S$5:$AL$23,$C69,LookUp!$B$5)</f>
        <v>02040105140</v>
      </c>
      <c r="E69" s="118" t="str">
        <f t="shared" si="2"/>
        <v>Pohatcong Creek</v>
      </c>
      <c r="F69" s="138">
        <f>IF($D69="","",VLOOKUP($D69,'Current Withdrawals'!$A$6:$X$215,9,FALSE))</f>
        <v>1.3299858711009669</v>
      </c>
      <c r="G69" s="139">
        <f>IF($D69="","",VLOOKUP($D69,'Current Withdrawals'!$A$6:$X$215,10,FALSE))</f>
        <v>0</v>
      </c>
      <c r="H69" s="140">
        <f>IF($D69="","",VLOOKUP($D69,'Current Withdrawals'!$A$6:$X$215,11,FALSE))</f>
        <v>0.73877399740630334</v>
      </c>
      <c r="I69" s="138">
        <f>IF($D69="","",VLOOKUP($D69,'Current Withdrawals'!$A$6:$X$215,12,FALSE))</f>
        <v>0.48799043582219315</v>
      </c>
      <c r="J69" s="139">
        <f>IF($D69="","",VLOOKUP($D69,'Current Withdrawals'!$A$6:$X$215,13,FALSE))</f>
        <v>0</v>
      </c>
      <c r="K69" s="140">
        <f>IF($D69="","",VLOOKUP($D69,'Current Withdrawals'!$A$6:$X$215,14,FALSE))</f>
        <v>0.28225192913813713</v>
      </c>
      <c r="L69" s="140">
        <f>IF($D69="","",VLOOKUP($D69,'Current Withdrawals'!$A$6:$X$215,15,FALSE))</f>
        <v>0</v>
      </c>
      <c r="M69" s="138">
        <f>IF($D69="","",VLOOKUP($D69,'Current Withdrawals'!$A$6:$X$215,16,FALSE))</f>
        <v>0</v>
      </c>
      <c r="N69" s="139">
        <f>IF($D69="","",VLOOKUP($D69,'Current Withdrawals'!$A$6:$X$215,17,FALSE))</f>
        <v>8.4773394196283013E-3</v>
      </c>
      <c r="O69" s="138">
        <f>IF($D69="","",VLOOKUP($D69,'Current Withdrawals'!$A$6:$X$215,18,FALSE))</f>
        <v>0</v>
      </c>
      <c r="P69" s="139">
        <f>IF($D69="","",VLOOKUP($D69,'Current Withdrawals'!$A$6:$X$215,19,FALSE))</f>
        <v>0</v>
      </c>
      <c r="Q69" s="140">
        <f>IF($D69="","",VLOOKUP($D69,'Current Withdrawals'!$A$6:$X$215,20,FALSE))</f>
        <v>2.5551020101208404</v>
      </c>
      <c r="R69" s="140">
        <f>IF($D69="","",VLOOKUP($D69,'Current Withdrawals'!$A$6:$X$215,21,FALSE))</f>
        <v>8.4773394196283013E-3</v>
      </c>
      <c r="S69" s="140">
        <f>IF($D69="","",VLOOKUP($D69,'Current Withdrawals'!$A$6:$X$215,22,FALSE))</f>
        <v>0</v>
      </c>
      <c r="T69" s="140">
        <f>IF($D69="","",VLOOKUP($D69,'Current Withdrawals'!$A$6:$X$215,23,FALSE))</f>
        <v>2.5635793495404688</v>
      </c>
      <c r="U69" s="240">
        <f>IF($D69="","",VLOOKUP($D69,'Current Withdrawals'!$A$6:$X$215,24,FALSE))</f>
        <v>6.2238017606781861</v>
      </c>
      <c r="V69" s="8"/>
      <c r="W69" s="26"/>
      <c r="X69" s="26"/>
      <c r="Y69" s="26"/>
      <c r="Z69" s="38"/>
      <c r="AA69" s="39"/>
      <c r="AB69" s="8"/>
      <c r="AC69" s="8"/>
    </row>
    <row r="70" spans="2:38" ht="15.75" customHeight="1" x14ac:dyDescent="0.2">
      <c r="B70" s="9"/>
      <c r="C70" s="228">
        <v>18</v>
      </c>
      <c r="D70" s="116" t="str">
        <f>INDEX(LookUp!$S$5:$AL$23,$C70,LookUp!$B$5)</f>
        <v>02040105150</v>
      </c>
      <c r="E70" s="116" t="str">
        <f t="shared" si="2"/>
        <v>Musconetcong River (above Trout Brook)</v>
      </c>
      <c r="F70" s="135">
        <f>IF($D70="","",VLOOKUP($D70,'Current Withdrawals'!$A$6:$X$215,9,FALSE))</f>
        <v>4.9953592000869484</v>
      </c>
      <c r="G70" s="136">
        <f>IF($D70="","",VLOOKUP($D70,'Current Withdrawals'!$A$6:$X$215,10,FALSE))</f>
        <v>0</v>
      </c>
      <c r="H70" s="137">
        <f>IF($D70="","",VLOOKUP($D70,'Current Withdrawals'!$A$6:$X$215,11,FALSE))</f>
        <v>2.7395869330100595</v>
      </c>
      <c r="I70" s="135">
        <f>IF($D70="","",VLOOKUP($D70,'Current Withdrawals'!$A$6:$X$215,12,FALSE))</f>
        <v>4.0539071840017392E-2</v>
      </c>
      <c r="J70" s="136">
        <f>IF($D70="","",VLOOKUP($D70,'Current Withdrawals'!$A$6:$X$215,13,FALSE))</f>
        <v>9.0968373002934463E-2</v>
      </c>
      <c r="K70" s="137">
        <f>IF($D70="","",VLOOKUP($D70,'Current Withdrawals'!$A$6:$X$215,14,FALSE))</f>
        <v>0</v>
      </c>
      <c r="L70" s="137">
        <f>IF($D70="","",VLOOKUP($D70,'Current Withdrawals'!$A$6:$X$215,15,FALSE))</f>
        <v>6.5210303227910009E-4</v>
      </c>
      <c r="M70" s="135">
        <f>IF($D70="","",VLOOKUP($D70,'Current Withdrawals'!$A$6:$X$215,16,FALSE))</f>
        <v>7.1731333550700993E-2</v>
      </c>
      <c r="N70" s="136">
        <f>IF($D70="","",VLOOKUP($D70,'Current Withdrawals'!$A$6:$X$215,17,FALSE))</f>
        <v>0</v>
      </c>
      <c r="O70" s="135">
        <f>IF($D70="","",VLOOKUP($D70,'Current Withdrawals'!$A$6:$X$215,18,FALSE))</f>
        <v>0</v>
      </c>
      <c r="P70" s="136">
        <f>IF($D70="","",VLOOKUP($D70,'Current Withdrawals'!$A$6:$X$215,19,FALSE))</f>
        <v>0</v>
      </c>
      <c r="Q70" s="137">
        <f>IF($D70="","",VLOOKUP($D70,'Current Withdrawals'!$A$6:$X$215,20,FALSE))</f>
        <v>7.0624948846389533</v>
      </c>
      <c r="R70" s="137">
        <f>IF($D70="","",VLOOKUP($D70,'Current Withdrawals'!$A$6:$X$215,21,FALSE))</f>
        <v>9.1620476035213561E-2</v>
      </c>
      <c r="S70" s="137">
        <f>IF($D70="","",VLOOKUP($D70,'Current Withdrawals'!$A$6:$X$215,22,FALSE))</f>
        <v>0</v>
      </c>
      <c r="T70" s="137">
        <f>IF($D70="","",VLOOKUP($D70,'Current Withdrawals'!$A$6:$X$215,23,FALSE))</f>
        <v>7.154115360674167</v>
      </c>
      <c r="U70" s="239">
        <f>IF($D70="","",VLOOKUP($D70,'Current Withdrawals'!$A$6:$X$215,24,FALSE))</f>
        <v>4.747310074991848</v>
      </c>
      <c r="V70" s="8"/>
      <c r="W70" s="26"/>
      <c r="X70" s="26"/>
      <c r="Y70" s="26"/>
      <c r="Z70" s="38"/>
      <c r="AA70" s="39"/>
      <c r="AB70" s="8"/>
      <c r="AC70" s="8"/>
    </row>
    <row r="71" spans="2:38" ht="15.75" customHeight="1" thickBot="1" x14ac:dyDescent="0.25">
      <c r="B71" s="9"/>
      <c r="C71" s="157">
        <v>19</v>
      </c>
      <c r="D71" s="24" t="str">
        <f>INDEX(LookUp!$S$5:$AL$23,$C71,LookUp!$B$5)</f>
        <v>02040105160</v>
      </c>
      <c r="E71" s="24" t="str">
        <f t="shared" si="2"/>
        <v>Musconetcong River (below incl Trout Bk)</v>
      </c>
      <c r="F71" s="141">
        <f>IF($D71="","",VLOOKUP($D71,'Current Withdrawals'!$A$6:$X$215,9,FALSE))</f>
        <v>2.2817085099445711</v>
      </c>
      <c r="G71" s="142">
        <f>IF($D71="","",VLOOKUP($D71,'Current Withdrawals'!$A$6:$X$215,10,FALSE))</f>
        <v>1.9563090968373002E-2</v>
      </c>
      <c r="H71" s="143">
        <f>IF($D71="","",VLOOKUP($D71,'Current Withdrawals'!$A$6:$X$215,11,FALSE))</f>
        <v>1.2407552452674624</v>
      </c>
      <c r="I71" s="141">
        <f>IF($D71="","",VLOOKUP($D71,'Current Withdrawals'!$A$6:$X$215,12,FALSE))</f>
        <v>0.48244756004782086</v>
      </c>
      <c r="J71" s="142">
        <f>IF($D71="","",VLOOKUP($D71,'Current Withdrawals'!$A$6:$X$215,13,FALSE))</f>
        <v>1.7117704597326376E-3</v>
      </c>
      <c r="K71" s="143">
        <f>IF($D71="","",VLOOKUP($D71,'Current Withdrawals'!$A$6:$X$215,14,FALSE))</f>
        <v>1.7389414194109336E-3</v>
      </c>
      <c r="L71" s="143">
        <f>IF($D71="","",VLOOKUP($D71,'Current Withdrawals'!$A$6:$X$215,15,FALSE))</f>
        <v>0</v>
      </c>
      <c r="M71" s="141">
        <f>IF($D71="","",VLOOKUP($D71,'Current Withdrawals'!$A$6:$X$215,16,FALSE))</f>
        <v>9.9663080099989129E-2</v>
      </c>
      <c r="N71" s="142">
        <f>IF($D71="","",VLOOKUP($D71,'Current Withdrawals'!$A$6:$X$215,17,FALSE))</f>
        <v>1.7280730355396151E-2</v>
      </c>
      <c r="O71" s="141">
        <f>IF($D71="","",VLOOKUP($D71,'Current Withdrawals'!$A$6:$X$215,18,FALSE))</f>
        <v>0</v>
      </c>
      <c r="P71" s="142">
        <f>IF($D71="","",VLOOKUP($D71,'Current Withdrawals'!$A$6:$X$215,19,FALSE))</f>
        <v>2.9018584936419952E-2</v>
      </c>
      <c r="Q71" s="143">
        <f>IF($D71="","",VLOOKUP($D71,'Current Withdrawals'!$A$6:$X$215,20,FALSE))</f>
        <v>3.69568200310133</v>
      </c>
      <c r="R71" s="143">
        <f>IF($D71="","",VLOOKUP($D71,'Current Withdrawals'!$A$6:$X$215,21,FALSE))</f>
        <v>6.7574176719921747E-2</v>
      </c>
      <c r="S71" s="143">
        <f>IF($D71="","",VLOOKUP($D71,'Current Withdrawals'!$A$6:$X$215,22,FALSE))</f>
        <v>0</v>
      </c>
      <c r="T71" s="143">
        <f>IF($D71="","",VLOOKUP($D71,'Current Withdrawals'!$A$6:$X$215,23,FALSE))</f>
        <v>3.7632561798212518</v>
      </c>
      <c r="U71" s="184">
        <f>IF($D71="","",VLOOKUP($D71,'Current Withdrawals'!$A$6:$X$215,24,FALSE))</f>
        <v>0</v>
      </c>
      <c r="V71" s="8"/>
      <c r="W71" s="26"/>
      <c r="X71" s="26"/>
      <c r="Y71" s="26"/>
      <c r="Z71" s="38"/>
      <c r="AA71" s="39"/>
      <c r="AB71" s="8"/>
      <c r="AC71" s="8"/>
    </row>
    <row r="72" spans="2:38" ht="15.75" x14ac:dyDescent="0.25">
      <c r="B72" s="9"/>
      <c r="C72" s="2"/>
      <c r="D72" s="300" t="s">
        <v>566</v>
      </c>
      <c r="E72" s="2"/>
      <c r="F72" s="31"/>
      <c r="G72" s="31"/>
      <c r="H72" s="31"/>
      <c r="I72" s="31"/>
      <c r="J72" s="31"/>
      <c r="K72" s="31"/>
      <c r="L72" s="31"/>
      <c r="M72" s="31"/>
      <c r="N72" s="31"/>
      <c r="O72" s="31"/>
      <c r="P72" s="34"/>
      <c r="Q72" s="45"/>
      <c r="R72" s="2"/>
      <c r="S72" s="46"/>
      <c r="T72" s="46"/>
      <c r="U72" s="2"/>
      <c r="V72" s="8"/>
      <c r="W72" s="8"/>
      <c r="X72" s="8"/>
      <c r="Y72" s="8"/>
      <c r="Z72" s="27"/>
      <c r="AA72" s="8"/>
      <c r="AB72" s="8"/>
      <c r="AC72" s="8"/>
    </row>
    <row r="73" spans="2:38" ht="15.75" x14ac:dyDescent="0.25">
      <c r="B73" s="9"/>
      <c r="C73" s="2"/>
      <c r="D73" s="2"/>
      <c r="E73" s="2"/>
      <c r="F73" s="31"/>
      <c r="G73" s="31"/>
      <c r="H73" s="31"/>
      <c r="I73" s="31"/>
      <c r="J73" s="31"/>
      <c r="K73" s="31"/>
      <c r="L73" s="31"/>
      <c r="M73" s="31"/>
      <c r="N73" s="31"/>
      <c r="O73" s="31"/>
      <c r="P73" s="34"/>
      <c r="Q73" s="45"/>
      <c r="R73" s="2"/>
      <c r="S73" s="46"/>
      <c r="T73" s="46"/>
      <c r="U73" s="2"/>
      <c r="V73" s="8"/>
      <c r="W73" s="8"/>
      <c r="X73" s="8"/>
      <c r="Y73" s="8"/>
      <c r="Z73" s="27"/>
      <c r="AA73" s="8"/>
      <c r="AB73" s="8"/>
      <c r="AC73" s="8"/>
    </row>
    <row r="74" spans="2:38" ht="21" customHeight="1" thickBot="1" x14ac:dyDescent="0.3">
      <c r="B74" s="9"/>
      <c r="C74" s="29" t="s">
        <v>599</v>
      </c>
      <c r="D74" s="29"/>
      <c r="E74" s="29"/>
      <c r="F74" s="29"/>
      <c r="G74" s="29"/>
      <c r="H74" s="29"/>
      <c r="I74" s="29"/>
      <c r="J74" s="29"/>
      <c r="K74" s="29"/>
      <c r="L74" s="29"/>
      <c r="M74" s="29"/>
      <c r="N74" s="29"/>
      <c r="O74" s="29"/>
      <c r="P74" s="29"/>
      <c r="Q74" s="29"/>
      <c r="R74" s="29"/>
      <c r="S74" s="29"/>
      <c r="T74" s="46"/>
      <c r="U74" s="2"/>
      <c r="V74" s="8"/>
      <c r="W74" s="8"/>
      <c r="X74" s="8"/>
      <c r="Y74" s="8"/>
      <c r="Z74" s="27"/>
      <c r="AA74" s="8"/>
      <c r="AB74" s="8"/>
      <c r="AC74" s="8"/>
    </row>
    <row r="75" spans="2:38" ht="21" customHeight="1" x14ac:dyDescent="0.2">
      <c r="B75" s="9"/>
      <c r="C75" s="346" t="s">
        <v>0</v>
      </c>
      <c r="D75" s="348" t="s">
        <v>1</v>
      </c>
      <c r="E75" s="350" t="s">
        <v>2</v>
      </c>
      <c r="F75" s="331" t="s">
        <v>25</v>
      </c>
      <c r="G75" s="343"/>
      <c r="H75" s="332"/>
      <c r="I75" s="344" t="s">
        <v>26</v>
      </c>
      <c r="J75" s="331" t="s">
        <v>595</v>
      </c>
      <c r="K75" s="332"/>
      <c r="L75" s="331" t="s">
        <v>16</v>
      </c>
      <c r="M75" s="332"/>
      <c r="N75" s="331" t="s">
        <v>17</v>
      </c>
      <c r="O75" s="332"/>
      <c r="P75" s="331" t="s">
        <v>18</v>
      </c>
      <c r="Q75" s="332"/>
      <c r="R75" s="333" t="s">
        <v>19</v>
      </c>
      <c r="S75" s="333"/>
      <c r="T75" s="333"/>
      <c r="U75" s="46"/>
      <c r="V75" s="2"/>
      <c r="W75" s="8"/>
      <c r="X75" s="8"/>
      <c r="Y75" s="8"/>
      <c r="Z75" s="27"/>
      <c r="AA75" s="8"/>
      <c r="AB75" s="8"/>
      <c r="AC75" s="8"/>
      <c r="AD75" s="8"/>
      <c r="AL75" s="2"/>
    </row>
    <row r="76" spans="2:38" ht="21" customHeight="1" thickBot="1" x14ac:dyDescent="0.25">
      <c r="B76" s="9"/>
      <c r="C76" s="347"/>
      <c r="D76" s="349"/>
      <c r="E76" s="351"/>
      <c r="F76" s="307" t="s">
        <v>21</v>
      </c>
      <c r="G76" s="309" t="s">
        <v>27</v>
      </c>
      <c r="H76" s="308" t="s">
        <v>28</v>
      </c>
      <c r="I76" s="345"/>
      <c r="J76" s="307" t="s">
        <v>21</v>
      </c>
      <c r="K76" s="308" t="s">
        <v>22</v>
      </c>
      <c r="L76" s="307" t="s">
        <v>21</v>
      </c>
      <c r="M76" s="308" t="s">
        <v>22</v>
      </c>
      <c r="N76" s="307" t="s">
        <v>21</v>
      </c>
      <c r="O76" s="308" t="s">
        <v>22</v>
      </c>
      <c r="P76" s="307" t="s">
        <v>21</v>
      </c>
      <c r="Q76" s="308" t="s">
        <v>22</v>
      </c>
      <c r="R76" s="306" t="s">
        <v>21</v>
      </c>
      <c r="S76" s="306" t="s">
        <v>22</v>
      </c>
      <c r="T76" s="306" t="s">
        <v>24</v>
      </c>
      <c r="U76" s="46"/>
      <c r="V76" s="2"/>
      <c r="W76" s="8"/>
      <c r="X76" s="8"/>
      <c r="Y76" s="8"/>
      <c r="Z76" s="27"/>
      <c r="AA76" s="8"/>
      <c r="AB76" s="8"/>
      <c r="AC76" s="8"/>
      <c r="AD76" s="8"/>
      <c r="AL76" s="2"/>
    </row>
    <row r="77" spans="2:38" ht="15.75" customHeight="1" x14ac:dyDescent="0.2">
      <c r="B77" s="9"/>
      <c r="C77" s="229">
        <v>1</v>
      </c>
      <c r="D77" s="16" t="str">
        <f>INDEX(LookUp!$S$5:$AL$23,$C77,LookUp!$B$5)</f>
        <v>02040104090</v>
      </c>
      <c r="E77" s="37" t="str">
        <f t="shared" ref="E77:E95" si="3">E53</f>
        <v>Shimers Brook / Clove Brook</v>
      </c>
      <c r="F77" s="134">
        <f>IF($D77="","",VLOOKUP($D77,'Current Withdrawals'!$A$6:$AM$158,25,FALSE))</f>
        <v>0</v>
      </c>
      <c r="G77" s="134">
        <f>IF($D77="","",VLOOKUP($D77,'Current Withdrawals'!$A$6:$AM$158,26,FALSE))</f>
        <v>0</v>
      </c>
      <c r="H77" s="133">
        <f>IF($D77="","",VLOOKUP($D77,'Current Withdrawals'!$A$6:$AM$158,27,FALSE))</f>
        <v>0</v>
      </c>
      <c r="I77" s="144">
        <f>IF($D77="","",VLOOKUP($D77,'Current Withdrawals'!$A$6:$AM$158,28,FALSE))</f>
        <v>0.10284708003943034</v>
      </c>
      <c r="J77" s="132">
        <f>IF($D77="","",VLOOKUP($D77,'Current Withdrawals'!$A$6:$AM$158,29,FALSE))</f>
        <v>0</v>
      </c>
      <c r="K77" s="133">
        <f>IF($D77="","",VLOOKUP($D77,'Current Withdrawals'!$A$6:$AM$158,30,FALSE))</f>
        <v>0</v>
      </c>
      <c r="L77" s="132">
        <f>IF($D77="","",VLOOKUP($D77,'Current Withdrawals'!$A$6:$AM$158,31,FALSE))</f>
        <v>0</v>
      </c>
      <c r="M77" s="133">
        <f>IF($D77="","",VLOOKUP($D77,'Current Withdrawals'!$A$6:$AM$158,32,FALSE))</f>
        <v>0</v>
      </c>
      <c r="N77" s="132">
        <f>IF($D77="","",VLOOKUP($D77,'Current Withdrawals'!$A$6:$AM$158,33,FALSE))</f>
        <v>4.7820900435189081E-4</v>
      </c>
      <c r="O77" s="133">
        <f>IF($D77="","",VLOOKUP($D77,'Current Withdrawals'!$A$6:$AM$158,34,FALSE))</f>
        <v>5.3146409801835146E-2</v>
      </c>
      <c r="P77" s="132">
        <f>IF($D77="","",VLOOKUP($D77,'Current Withdrawals'!$A$6:$AM$158,35,FALSE))</f>
        <v>0</v>
      </c>
      <c r="Q77" s="133">
        <f>IF($D77="","",VLOOKUP($D77,'Current Withdrawals'!$A$6:$AM$158,36,FALSE))</f>
        <v>0</v>
      </c>
      <c r="R77" s="132">
        <f>IF($D77="","",VLOOKUP($D77,'Current Withdrawals'!$A$6:$AM$158,37,FALSE))</f>
        <v>0.10332528904378223</v>
      </c>
      <c r="S77" s="134">
        <f>IF($D77="","",VLOOKUP($D77,'Current Withdrawals'!$A$6:$AM$158,38,FALSE))</f>
        <v>5.3146409801835146E-2</v>
      </c>
      <c r="T77" s="134">
        <f>IF($D77="","",VLOOKUP($D77,'Current Withdrawals'!$A$6:$AM$158,39,FALSE))</f>
        <v>0.15647169884561737</v>
      </c>
      <c r="U77" s="46"/>
      <c r="V77" s="2"/>
      <c r="W77" s="8"/>
      <c r="X77" s="8"/>
      <c r="Y77" s="8"/>
      <c r="Z77" s="27"/>
      <c r="AA77" s="8"/>
      <c r="AB77" s="8"/>
      <c r="AC77" s="8"/>
      <c r="AD77" s="8"/>
      <c r="AL77" s="2"/>
    </row>
    <row r="78" spans="2:38" ht="15.75" customHeight="1" x14ac:dyDescent="0.2">
      <c r="B78" s="9"/>
      <c r="C78" s="228">
        <v>2</v>
      </c>
      <c r="D78" s="116" t="str">
        <f>INDEX(LookUp!$S$5:$AL$23,$C78,LookUp!$B$5)</f>
        <v>02040104110</v>
      </c>
      <c r="E78" s="125" t="str">
        <f t="shared" si="3"/>
        <v>Walpack Bend / Montague Riverfront</v>
      </c>
      <c r="F78" s="137">
        <f>IF($D78="","",VLOOKUP($D78,'Current Withdrawals'!$A$6:$AM$158,25,FALSE))</f>
        <v>1.075970003260515E-3</v>
      </c>
      <c r="G78" s="137">
        <f>IF($D78="","",VLOOKUP($D78,'Current Withdrawals'!$A$6:$AM$158,26,FALSE))</f>
        <v>0</v>
      </c>
      <c r="H78" s="137">
        <f>IF($D78="","",VLOOKUP($D78,'Current Withdrawals'!$A$6:$AM$158,27,FALSE))</f>
        <v>0</v>
      </c>
      <c r="I78" s="145">
        <f>IF($D78="","",VLOOKUP($D78,'Current Withdrawals'!$A$6:$AM$158,28,FALSE))</f>
        <v>6.0424644813973111E-2</v>
      </c>
      <c r="J78" s="137">
        <f>IF($D78="","",VLOOKUP($D78,'Current Withdrawals'!$A$6:$AM$158,29,FALSE))</f>
        <v>0</v>
      </c>
      <c r="K78" s="137">
        <f>IF($D78="","",VLOOKUP($D78,'Current Withdrawals'!$A$6:$AM$158,30,FALSE))</f>
        <v>0</v>
      </c>
      <c r="L78" s="135">
        <f>IF($D78="","",VLOOKUP($D78,'Current Withdrawals'!$A$6:$AM$158,31,FALSE))</f>
        <v>0</v>
      </c>
      <c r="M78" s="136">
        <f>IF($D78="","",VLOOKUP($D78,'Current Withdrawals'!$A$6:$AM$158,32,FALSE))</f>
        <v>0</v>
      </c>
      <c r="N78" s="137">
        <f>IF($D78="","",VLOOKUP($D78,'Current Withdrawals'!$A$6:$AM$158,33,FALSE))</f>
        <v>0</v>
      </c>
      <c r="O78" s="137">
        <f>IF($D78="","",VLOOKUP($D78,'Current Withdrawals'!$A$6:$AM$158,34,FALSE))</f>
        <v>0</v>
      </c>
      <c r="P78" s="135">
        <f>IF($D78="","",VLOOKUP($D78,'Current Withdrawals'!$A$6:$AM$158,35,FALSE))</f>
        <v>0</v>
      </c>
      <c r="Q78" s="136">
        <f>IF($D78="","",VLOOKUP($D78,'Current Withdrawals'!$A$6:$AM$158,36,FALSE))</f>
        <v>0</v>
      </c>
      <c r="R78" s="137">
        <f>IF($D78="","",VLOOKUP($D78,'Current Withdrawals'!$A$6:$AM$158,37,FALSE))</f>
        <v>6.1500614817233623E-2</v>
      </c>
      <c r="S78" s="137">
        <f>IF($D78="","",VLOOKUP($D78,'Current Withdrawals'!$A$6:$AM$158,38,FALSE))</f>
        <v>0</v>
      </c>
      <c r="T78" s="137">
        <f>IF($D78="","",VLOOKUP($D78,'Current Withdrawals'!$A$6:$AM$158,39,FALSE))</f>
        <v>6.1500614817233623E-2</v>
      </c>
      <c r="U78" s="46"/>
      <c r="V78" s="2"/>
      <c r="W78" s="8"/>
      <c r="X78" s="8"/>
      <c r="Y78" s="8"/>
      <c r="Z78" s="27"/>
      <c r="AA78" s="8"/>
      <c r="AB78" s="8"/>
      <c r="AC78" s="8"/>
      <c r="AD78" s="8"/>
      <c r="AL78" s="2"/>
    </row>
    <row r="79" spans="2:38" ht="15.75" customHeight="1" x14ac:dyDescent="0.2">
      <c r="B79" s="9"/>
      <c r="C79" s="26">
        <v>3</v>
      </c>
      <c r="D79" s="16" t="str">
        <f>INDEX(LookUp!$S$5:$AL$23,$C79,LookUp!$B$5)</f>
        <v>02040104130</v>
      </c>
      <c r="E79" s="126" t="str">
        <f t="shared" si="3"/>
        <v>Little Flat Brook</v>
      </c>
      <c r="F79" s="140">
        <f>IF($D79="","",VLOOKUP($D79,'Current Withdrawals'!$A$6:$AM$158,25,FALSE))</f>
        <v>0</v>
      </c>
      <c r="G79" s="140">
        <f>IF($D79="","",VLOOKUP($D79,'Current Withdrawals'!$A$6:$AM$158,26,FALSE))</f>
        <v>0</v>
      </c>
      <c r="H79" s="140">
        <f>IF($D79="","",VLOOKUP($D79,'Current Withdrawals'!$A$6:$AM$158,27,FALSE))</f>
        <v>0</v>
      </c>
      <c r="I79" s="146">
        <f>IF($D79="","",VLOOKUP($D79,'Current Withdrawals'!$A$6:$AM$158,28,FALSE))</f>
        <v>7.9866656270637687E-2</v>
      </c>
      <c r="J79" s="140">
        <f>IF($D79="","",VLOOKUP($D79,'Current Withdrawals'!$A$6:$AM$158,29,FALSE))</f>
        <v>0</v>
      </c>
      <c r="K79" s="140">
        <f>IF($D79="","",VLOOKUP($D79,'Current Withdrawals'!$A$6:$AM$158,30,FALSE))</f>
        <v>0</v>
      </c>
      <c r="L79" s="138">
        <f>IF($D79="","",VLOOKUP($D79,'Current Withdrawals'!$A$6:$AM$158,31,FALSE))</f>
        <v>0</v>
      </c>
      <c r="M79" s="139">
        <f>IF($D79="","",VLOOKUP($D79,'Current Withdrawals'!$A$6:$AM$158,32,FALSE))</f>
        <v>0</v>
      </c>
      <c r="N79" s="140">
        <f>IF($D79="","",VLOOKUP($D79,'Current Withdrawals'!$A$6:$AM$158,33,FALSE))</f>
        <v>0</v>
      </c>
      <c r="O79" s="140">
        <f>IF($D79="","",VLOOKUP($D79,'Current Withdrawals'!$A$6:$AM$158,34,FALSE))</f>
        <v>0</v>
      </c>
      <c r="P79" s="138">
        <f>IF($D79="","",VLOOKUP($D79,'Current Withdrawals'!$A$6:$AM$158,35,FALSE))</f>
        <v>0</v>
      </c>
      <c r="Q79" s="139">
        <f>IF($D79="","",VLOOKUP($D79,'Current Withdrawals'!$A$6:$AM$158,36,FALSE))</f>
        <v>0</v>
      </c>
      <c r="R79" s="140">
        <f>IF($D79="","",VLOOKUP($D79,'Current Withdrawals'!$A$6:$AM$158,37,FALSE))</f>
        <v>7.9866656270637687E-2</v>
      </c>
      <c r="S79" s="140">
        <f>IF($D79="","",VLOOKUP($D79,'Current Withdrawals'!$A$6:$AM$158,38,FALSE))</f>
        <v>0</v>
      </c>
      <c r="T79" s="140">
        <f>IF($D79="","",VLOOKUP($D79,'Current Withdrawals'!$A$6:$AM$158,39,FALSE))</f>
        <v>7.9866656270637687E-2</v>
      </c>
      <c r="U79" s="46"/>
      <c r="V79" s="2"/>
      <c r="W79" s="8"/>
      <c r="X79" s="8"/>
      <c r="Y79" s="8"/>
      <c r="Z79" s="27"/>
      <c r="AA79" s="8"/>
      <c r="AB79" s="8"/>
      <c r="AC79" s="8"/>
      <c r="AD79" s="8"/>
      <c r="AL79" s="2"/>
    </row>
    <row r="80" spans="2:38" ht="15.75" customHeight="1" x14ac:dyDescent="0.2">
      <c r="B80" s="9"/>
      <c r="C80" s="228">
        <v>4</v>
      </c>
      <c r="D80" s="116" t="str">
        <f>INDEX(LookUp!$S$5:$AL$23,$C80,LookUp!$B$5)</f>
        <v>02040104140</v>
      </c>
      <c r="E80" s="125" t="str">
        <f t="shared" si="3"/>
        <v>Big Flat Brook</v>
      </c>
      <c r="F80" s="137">
        <f>IF($D80="","",VLOOKUP($D80,'Current Withdrawals'!$A$6:$AM$158,25,FALSE))</f>
        <v>6.5210303227910009E-4</v>
      </c>
      <c r="G80" s="137">
        <f>IF($D80="","",VLOOKUP($D80,'Current Withdrawals'!$A$6:$AM$158,26,FALSE))</f>
        <v>0</v>
      </c>
      <c r="H80" s="137">
        <f>IF($D80="","",VLOOKUP($D80,'Current Withdrawals'!$A$6:$AM$158,27,FALSE))</f>
        <v>0</v>
      </c>
      <c r="I80" s="145">
        <f>IF($D80="","",VLOOKUP($D80,'Current Withdrawals'!$A$6:$AM$158,28,FALSE))</f>
        <v>0.16048666955257937</v>
      </c>
      <c r="J80" s="137">
        <f>IF($D80="","",VLOOKUP($D80,'Current Withdrawals'!$A$6:$AM$158,29,FALSE))</f>
        <v>0</v>
      </c>
      <c r="K80" s="137">
        <f>IF($D80="","",VLOOKUP($D80,'Current Withdrawals'!$A$6:$AM$158,30,FALSE))</f>
        <v>0</v>
      </c>
      <c r="L80" s="135">
        <f>IF($D80="","",VLOOKUP($D80,'Current Withdrawals'!$A$6:$AM$158,31,FALSE))</f>
        <v>0</v>
      </c>
      <c r="M80" s="136">
        <f>IF($D80="","",VLOOKUP($D80,'Current Withdrawals'!$A$6:$AM$158,32,FALSE))</f>
        <v>0</v>
      </c>
      <c r="N80" s="137">
        <f>IF($D80="","",VLOOKUP($D80,'Current Withdrawals'!$A$6:$AM$158,33,FALSE))</f>
        <v>0</v>
      </c>
      <c r="O80" s="137">
        <f>IF($D80="","",VLOOKUP($D80,'Current Withdrawals'!$A$6:$AM$158,34,FALSE))</f>
        <v>0</v>
      </c>
      <c r="P80" s="135">
        <f>IF($D80="","",VLOOKUP($D80,'Current Withdrawals'!$A$6:$AM$158,35,FALSE))</f>
        <v>0</v>
      </c>
      <c r="Q80" s="136">
        <f>IF($D80="","",VLOOKUP($D80,'Current Withdrawals'!$A$6:$AM$158,36,FALSE))</f>
        <v>0</v>
      </c>
      <c r="R80" s="137">
        <f>IF($D80="","",VLOOKUP($D80,'Current Withdrawals'!$A$6:$AM$158,37,FALSE))</f>
        <v>0.16113877258485848</v>
      </c>
      <c r="S80" s="137">
        <f>IF($D80="","",VLOOKUP($D80,'Current Withdrawals'!$A$6:$AM$158,38,FALSE))</f>
        <v>0</v>
      </c>
      <c r="T80" s="137">
        <f>IF($D80="","",VLOOKUP($D80,'Current Withdrawals'!$A$6:$AM$158,39,FALSE))</f>
        <v>0.16113877258485848</v>
      </c>
      <c r="U80" s="46"/>
      <c r="V80" s="2"/>
      <c r="W80" s="8"/>
      <c r="X80" s="8"/>
      <c r="Y80" s="8"/>
      <c r="Z80" s="27"/>
      <c r="AA80" s="8"/>
      <c r="AB80" s="8"/>
      <c r="AC80" s="8"/>
      <c r="AD80" s="8"/>
      <c r="AL80" s="2"/>
    </row>
    <row r="81" spans="2:38" ht="15.75" customHeight="1" x14ac:dyDescent="0.2">
      <c r="B81" s="9"/>
      <c r="C81" s="26">
        <v>5</v>
      </c>
      <c r="D81" s="16" t="str">
        <f>INDEX(LookUp!$S$5:$AL$23,$C81,LookUp!$B$5)</f>
        <v>02040104150</v>
      </c>
      <c r="E81" s="126" t="str">
        <f t="shared" si="3"/>
        <v>Flat Brook</v>
      </c>
      <c r="F81" s="140">
        <f>IF($D81="","",VLOOKUP($D81,'Current Withdrawals'!$A$6:$AM$158,25,FALSE))</f>
        <v>5.9667427453537657E-5</v>
      </c>
      <c r="G81" s="140">
        <f>IF($D81="","",VLOOKUP($D81,'Current Withdrawals'!$A$6:$AM$158,26,FALSE))</f>
        <v>0</v>
      </c>
      <c r="H81" s="140">
        <f>IF($D81="","",VLOOKUP($D81,'Current Withdrawals'!$A$6:$AM$158,27,FALSE))</f>
        <v>0</v>
      </c>
      <c r="I81" s="146">
        <f>IF($D81="","",VLOOKUP($D81,'Current Withdrawals'!$A$6:$AM$158,28,FALSE))</f>
        <v>2.4264238735097077E-2</v>
      </c>
      <c r="J81" s="140">
        <f>IF($D81="","",VLOOKUP($D81,'Current Withdrawals'!$A$6:$AM$158,29,FALSE))</f>
        <v>0</v>
      </c>
      <c r="K81" s="140">
        <f>IF($D81="","",VLOOKUP($D81,'Current Withdrawals'!$A$6:$AM$158,30,FALSE))</f>
        <v>0</v>
      </c>
      <c r="L81" s="138">
        <f>IF($D81="","",VLOOKUP($D81,'Current Withdrawals'!$A$6:$AM$158,31,FALSE))</f>
        <v>0</v>
      </c>
      <c r="M81" s="139">
        <f>IF($D81="","",VLOOKUP($D81,'Current Withdrawals'!$A$6:$AM$158,32,FALSE))</f>
        <v>0</v>
      </c>
      <c r="N81" s="140">
        <f>IF($D81="","",VLOOKUP($D81,'Current Withdrawals'!$A$6:$AM$158,33,FALSE))</f>
        <v>0</v>
      </c>
      <c r="O81" s="140">
        <f>IF($D81="","",VLOOKUP($D81,'Current Withdrawals'!$A$6:$AM$158,34,FALSE))</f>
        <v>0</v>
      </c>
      <c r="P81" s="138">
        <f>IF($D81="","",VLOOKUP($D81,'Current Withdrawals'!$A$6:$AM$158,35,FALSE))</f>
        <v>0</v>
      </c>
      <c r="Q81" s="139">
        <f>IF($D81="","",VLOOKUP($D81,'Current Withdrawals'!$A$6:$AM$158,36,FALSE))</f>
        <v>0</v>
      </c>
      <c r="R81" s="140">
        <f>IF($D81="","",VLOOKUP($D81,'Current Withdrawals'!$A$6:$AM$158,37,FALSE))</f>
        <v>2.4323906162550615E-2</v>
      </c>
      <c r="S81" s="140">
        <f>IF($D81="","",VLOOKUP($D81,'Current Withdrawals'!$A$6:$AM$158,38,FALSE))</f>
        <v>0</v>
      </c>
      <c r="T81" s="140">
        <f>IF($D81="","",VLOOKUP($D81,'Current Withdrawals'!$A$6:$AM$158,39,FALSE))</f>
        <v>2.4323906162550615E-2</v>
      </c>
      <c r="U81" s="46"/>
      <c r="V81" s="2"/>
      <c r="W81" s="2"/>
      <c r="X81" s="2"/>
      <c r="Z81" s="47"/>
      <c r="AC81" s="2"/>
      <c r="AD81" s="1"/>
      <c r="AL81" s="2"/>
    </row>
    <row r="82" spans="2:38" ht="15.75" customHeight="1" x14ac:dyDescent="0.2">
      <c r="B82" s="9"/>
      <c r="C82" s="228">
        <v>6</v>
      </c>
      <c r="D82" s="116" t="str">
        <f>INDEX(LookUp!$S$5:$AL$23,$C82,LookUp!$B$5)</f>
        <v>02040104240</v>
      </c>
      <c r="E82" s="125" t="str">
        <f t="shared" si="3"/>
        <v>Van Campens Brook / Dunnfield Creek</v>
      </c>
      <c r="F82" s="137">
        <f>IF($D82="","",VLOOKUP($D82,'Current Withdrawals'!$A$6:$AM$158,25,FALSE))</f>
        <v>0</v>
      </c>
      <c r="G82" s="137">
        <f>IF($D82="","",VLOOKUP($D82,'Current Withdrawals'!$A$6:$AM$158,26,FALSE))</f>
        <v>0</v>
      </c>
      <c r="H82" s="137">
        <f>IF($D82="","",VLOOKUP($D82,'Current Withdrawals'!$A$6:$AM$158,27,FALSE))</f>
        <v>0</v>
      </c>
      <c r="I82" s="145">
        <f>IF($D82="","",VLOOKUP($D82,'Current Withdrawals'!$A$6:$AM$158,28,FALSE))</f>
        <v>6.9792913875879714E-2</v>
      </c>
      <c r="J82" s="137">
        <f>IF($D82="","",VLOOKUP($D82,'Current Withdrawals'!$A$6:$AM$158,29,FALSE))</f>
        <v>0</v>
      </c>
      <c r="K82" s="137">
        <f>IF($D82="","",VLOOKUP($D82,'Current Withdrawals'!$A$6:$AM$158,30,FALSE))</f>
        <v>0</v>
      </c>
      <c r="L82" s="135">
        <f>IF($D82="","",VLOOKUP($D82,'Current Withdrawals'!$A$6:$AM$158,31,FALSE))</f>
        <v>0</v>
      </c>
      <c r="M82" s="136">
        <f>IF($D82="","",VLOOKUP($D82,'Current Withdrawals'!$A$6:$AM$158,32,FALSE))</f>
        <v>0</v>
      </c>
      <c r="N82" s="137">
        <f>IF($D82="","",VLOOKUP($D82,'Current Withdrawals'!$A$6:$AM$158,33,FALSE))</f>
        <v>0</v>
      </c>
      <c r="O82" s="137">
        <f>IF($D82="","",VLOOKUP($D82,'Current Withdrawals'!$A$6:$AM$158,34,FALSE))</f>
        <v>0</v>
      </c>
      <c r="P82" s="135">
        <f>IF($D82="","",VLOOKUP($D82,'Current Withdrawals'!$A$6:$AM$158,35,FALSE))</f>
        <v>0</v>
      </c>
      <c r="Q82" s="136">
        <f>IF($D82="","",VLOOKUP($D82,'Current Withdrawals'!$A$6:$AM$158,36,FALSE))</f>
        <v>0</v>
      </c>
      <c r="R82" s="137">
        <f>IF($D82="","",VLOOKUP($D82,'Current Withdrawals'!$A$6:$AM$158,37,FALSE))</f>
        <v>6.9792913875879714E-2</v>
      </c>
      <c r="S82" s="137">
        <f>IF($D82="","",VLOOKUP($D82,'Current Withdrawals'!$A$6:$AM$158,38,FALSE))</f>
        <v>0</v>
      </c>
      <c r="T82" s="137">
        <f>IF($D82="","",VLOOKUP($D82,'Current Withdrawals'!$A$6:$AM$158,39,FALSE))</f>
        <v>6.9792913875879714E-2</v>
      </c>
      <c r="U82" s="46"/>
      <c r="V82" s="2"/>
      <c r="W82" s="2"/>
      <c r="X82" s="2"/>
      <c r="Z82" s="47"/>
      <c r="AC82" s="2"/>
      <c r="AL82" s="2"/>
    </row>
    <row r="83" spans="2:38" ht="15.75" customHeight="1" x14ac:dyDescent="0.2">
      <c r="B83" s="9"/>
      <c r="C83" s="26">
        <v>7</v>
      </c>
      <c r="D83" s="16" t="str">
        <f>INDEX(LookUp!$S$5:$AL$23,$C83,LookUp!$B$5)</f>
        <v>02040105030</v>
      </c>
      <c r="E83" s="126" t="str">
        <f t="shared" si="3"/>
        <v>Trout Brook / Swartswood Lake</v>
      </c>
      <c r="F83" s="140">
        <f>IF($D83="","",VLOOKUP($D83,'Current Withdrawals'!$A$6:$AM$158,25,FALSE))</f>
        <v>0</v>
      </c>
      <c r="G83" s="140">
        <f>IF($D83="","",VLOOKUP($D83,'Current Withdrawals'!$A$6:$AM$158,26,FALSE))</f>
        <v>0</v>
      </c>
      <c r="H83" s="140">
        <f>IF($D83="","",VLOOKUP($D83,'Current Withdrawals'!$A$6:$AM$158,27,FALSE))</f>
        <v>0</v>
      </c>
      <c r="I83" s="146">
        <f>IF($D83="","",VLOOKUP($D83,'Current Withdrawals'!$A$6:$AM$158,28,FALSE))</f>
        <v>0.24886522715646436</v>
      </c>
      <c r="J83" s="140">
        <f>IF($D83="","",VLOOKUP($D83,'Current Withdrawals'!$A$6:$AM$158,29,FALSE))</f>
        <v>0</v>
      </c>
      <c r="K83" s="140">
        <f>IF($D83="","",VLOOKUP($D83,'Current Withdrawals'!$A$6:$AM$158,30,FALSE))</f>
        <v>0</v>
      </c>
      <c r="L83" s="138">
        <f>IF($D83="","",VLOOKUP($D83,'Current Withdrawals'!$A$6:$AM$158,31,FALSE))</f>
        <v>0</v>
      </c>
      <c r="M83" s="139">
        <f>IF($D83="","",VLOOKUP($D83,'Current Withdrawals'!$A$6:$AM$158,32,FALSE))</f>
        <v>0</v>
      </c>
      <c r="N83" s="140">
        <f>IF($D83="","",VLOOKUP($D83,'Current Withdrawals'!$A$6:$AM$158,33,FALSE))</f>
        <v>0</v>
      </c>
      <c r="O83" s="140">
        <f>IF($D83="","",VLOOKUP($D83,'Current Withdrawals'!$A$6:$AM$158,34,FALSE))</f>
        <v>0</v>
      </c>
      <c r="P83" s="138">
        <f>IF($D83="","",VLOOKUP($D83,'Current Withdrawals'!$A$6:$AM$158,35,FALSE))</f>
        <v>0</v>
      </c>
      <c r="Q83" s="139">
        <f>IF($D83="","",VLOOKUP($D83,'Current Withdrawals'!$A$6:$AM$158,36,FALSE))</f>
        <v>0</v>
      </c>
      <c r="R83" s="140">
        <f>IF($D83="","",VLOOKUP($D83,'Current Withdrawals'!$A$6:$AM$158,37,FALSE))</f>
        <v>0.24886522715646436</v>
      </c>
      <c r="S83" s="140">
        <f>IF($D83="","",VLOOKUP($D83,'Current Withdrawals'!$A$6:$AM$158,38,FALSE))</f>
        <v>0</v>
      </c>
      <c r="T83" s="140">
        <f>IF($D83="","",VLOOKUP($D83,'Current Withdrawals'!$A$6:$AM$158,39,FALSE))</f>
        <v>0.24886522715646436</v>
      </c>
      <c r="U83" s="46"/>
      <c r="V83" s="2"/>
      <c r="W83" s="2"/>
      <c r="X83" s="2"/>
      <c r="Z83" s="47"/>
      <c r="AC83" s="2"/>
      <c r="AL83" s="2"/>
    </row>
    <row r="84" spans="2:38" ht="15.75" customHeight="1" x14ac:dyDescent="0.2">
      <c r="B84" s="9"/>
      <c r="C84" s="228">
        <v>8</v>
      </c>
      <c r="D84" s="116" t="str">
        <f>INDEX(LookUp!$S$5:$AL$23,$C84,LookUp!$B$5)</f>
        <v>02040105040</v>
      </c>
      <c r="E84" s="125" t="str">
        <f t="shared" si="3"/>
        <v>Paulins Kill (above Stillwater Village)</v>
      </c>
      <c r="F84" s="137">
        <f>IF($D84="","",VLOOKUP($D84,'Current Withdrawals'!$A$6:$AM$158,25,FALSE))</f>
        <v>5.9290837952396466E-2</v>
      </c>
      <c r="G84" s="137">
        <f>IF($D84="","",VLOOKUP($D84,'Current Withdrawals'!$A$6:$AM$158,26,FALSE))</f>
        <v>0.98202804043038783</v>
      </c>
      <c r="H84" s="137">
        <f>IF($D84="","",VLOOKUP($D84,'Current Withdrawals'!$A$6:$AM$158,27,FALSE))</f>
        <v>0</v>
      </c>
      <c r="I84" s="145">
        <f>IF($D84="","",VLOOKUP($D84,'Current Withdrawals'!$A$6:$AM$158,28,FALSE))</f>
        <v>1.0018966504690077</v>
      </c>
      <c r="J84" s="137">
        <f>IF($D84="","",VLOOKUP($D84,'Current Withdrawals'!$A$6:$AM$158,29,FALSE))</f>
        <v>4.4945201662286771E-2</v>
      </c>
      <c r="K84" s="137">
        <f>IF($D84="","",VLOOKUP($D84,'Current Withdrawals'!$A$6:$AM$158,30,FALSE))</f>
        <v>0</v>
      </c>
      <c r="L84" s="135">
        <f>IF($D84="","",VLOOKUP($D84,'Current Withdrawals'!$A$6:$AM$158,31,FALSE))</f>
        <v>0</v>
      </c>
      <c r="M84" s="136">
        <f>IF($D84="","",VLOOKUP($D84,'Current Withdrawals'!$A$6:$AM$158,32,FALSE))</f>
        <v>0</v>
      </c>
      <c r="N84" s="137">
        <f>IF($D84="","",VLOOKUP($D84,'Current Withdrawals'!$A$6:$AM$158,33,FALSE))</f>
        <v>8.4436494427496366E-3</v>
      </c>
      <c r="O84" s="137">
        <f>IF($D84="","",VLOOKUP($D84,'Current Withdrawals'!$A$6:$AM$158,34,FALSE))</f>
        <v>2.742289535455918E-2</v>
      </c>
      <c r="P84" s="135">
        <f>IF($D84="","",VLOOKUP($D84,'Current Withdrawals'!$A$6:$AM$158,35,FALSE))</f>
        <v>0</v>
      </c>
      <c r="Q84" s="136">
        <f>IF($D84="","",VLOOKUP($D84,'Current Withdrawals'!$A$6:$AM$158,36,FALSE))</f>
        <v>0</v>
      </c>
      <c r="R84" s="137">
        <f>IF($D84="","",VLOOKUP($D84,'Current Withdrawals'!$A$6:$AM$158,37,FALSE))</f>
        <v>1.1145763395264403</v>
      </c>
      <c r="S84" s="137">
        <f>IF($D84="","",VLOOKUP($D84,'Current Withdrawals'!$A$6:$AM$158,38,FALSE))</f>
        <v>1.009450935784947</v>
      </c>
      <c r="T84" s="137">
        <f>IF($D84="","",VLOOKUP($D84,'Current Withdrawals'!$A$6:$AM$158,39,FALSE))</f>
        <v>2.1240272753113874</v>
      </c>
      <c r="U84" s="46"/>
      <c r="V84" s="2"/>
      <c r="W84" s="2"/>
      <c r="X84" s="2"/>
      <c r="Z84" s="47"/>
      <c r="AC84" s="2"/>
      <c r="AL84" s="2"/>
    </row>
    <row r="85" spans="2:38" ht="15.75" customHeight="1" x14ac:dyDescent="0.2">
      <c r="B85" s="9"/>
      <c r="C85" s="26">
        <v>9</v>
      </c>
      <c r="D85" s="16" t="str">
        <f>INDEX(LookUp!$S$5:$AL$23,$C85,LookUp!$B$5)</f>
        <v>02040105050</v>
      </c>
      <c r="E85" s="126" t="str">
        <f t="shared" si="3"/>
        <v>Paulins Kill (below Stillwater Village)</v>
      </c>
      <c r="F85" s="140">
        <f>IF($D85="","",VLOOKUP($D85,'Current Withdrawals'!$A$6:$AM$158,25,FALSE))</f>
        <v>5.171503097489402E-3</v>
      </c>
      <c r="G85" s="140">
        <f>IF($D85="","",VLOOKUP($D85,'Current Withdrawals'!$A$6:$AM$158,26,FALSE))</f>
        <v>2.6175415715683076E-2</v>
      </c>
      <c r="H85" s="140">
        <f>IF($D85="","",VLOOKUP($D85,'Current Withdrawals'!$A$6:$AM$158,27,FALSE))</f>
        <v>0</v>
      </c>
      <c r="I85" s="146">
        <f>IF($D85="","",VLOOKUP($D85,'Current Withdrawals'!$A$6:$AM$158,28,FALSE))</f>
        <v>0.6230366990572509</v>
      </c>
      <c r="J85" s="140">
        <f>IF($D85="","",VLOOKUP($D85,'Current Withdrawals'!$A$6:$AM$158,29,FALSE))</f>
        <v>0</v>
      </c>
      <c r="K85" s="140">
        <f>IF($D85="","",VLOOKUP($D85,'Current Withdrawals'!$A$6:$AM$158,30,FALSE))</f>
        <v>0</v>
      </c>
      <c r="L85" s="138">
        <f>IF($D85="","",VLOOKUP($D85,'Current Withdrawals'!$A$6:$AM$158,31,FALSE))</f>
        <v>0</v>
      </c>
      <c r="M85" s="139">
        <f>IF($D85="","",VLOOKUP($D85,'Current Withdrawals'!$A$6:$AM$158,32,FALSE))</f>
        <v>0</v>
      </c>
      <c r="N85" s="140">
        <f>IF($D85="","",VLOOKUP($D85,'Current Withdrawals'!$A$6:$AM$158,33,FALSE))</f>
        <v>0</v>
      </c>
      <c r="O85" s="140">
        <f>IF($D85="","",VLOOKUP($D85,'Current Withdrawals'!$A$6:$AM$158,34,FALSE))</f>
        <v>6.1297699648742371E-3</v>
      </c>
      <c r="P85" s="138">
        <f>IF($D85="","",VLOOKUP($D85,'Current Withdrawals'!$A$6:$AM$158,35,FALSE))</f>
        <v>0</v>
      </c>
      <c r="Q85" s="139">
        <f>IF($D85="","",VLOOKUP($D85,'Current Withdrawals'!$A$6:$AM$158,36,FALSE))</f>
        <v>0</v>
      </c>
      <c r="R85" s="140">
        <f>IF($D85="","",VLOOKUP($D85,'Current Withdrawals'!$A$6:$AM$158,37,FALSE))</f>
        <v>0.62820820215474027</v>
      </c>
      <c r="S85" s="140">
        <f>IF($D85="","",VLOOKUP($D85,'Current Withdrawals'!$A$6:$AM$158,38,FALSE))</f>
        <v>3.2305185680557312E-2</v>
      </c>
      <c r="T85" s="140">
        <f>IF($D85="","",VLOOKUP($D85,'Current Withdrawals'!$A$6:$AM$158,39,FALSE))</f>
        <v>0.66051338783529756</v>
      </c>
      <c r="U85" s="46"/>
      <c r="V85" s="2"/>
      <c r="W85" s="2"/>
      <c r="X85" s="2"/>
      <c r="Z85" s="47"/>
      <c r="AC85" s="2"/>
      <c r="AL85" s="2"/>
    </row>
    <row r="86" spans="2:38" ht="15.75" customHeight="1" x14ac:dyDescent="0.2">
      <c r="B86" s="9"/>
      <c r="C86" s="228">
        <v>10</v>
      </c>
      <c r="D86" s="116" t="str">
        <f>INDEX(LookUp!$S$5:$AL$23,$C86,LookUp!$B$5)</f>
        <v>02040105060</v>
      </c>
      <c r="E86" s="125" t="str">
        <f t="shared" si="3"/>
        <v>Stony Brook / Delawanna Creek</v>
      </c>
      <c r="F86" s="137">
        <f>IF($D86="","",VLOOKUP($D86,'Current Withdrawals'!$A$6:$AM$158,25,FALSE))</f>
        <v>0</v>
      </c>
      <c r="G86" s="137">
        <f>IF($D86="","",VLOOKUP($D86,'Current Withdrawals'!$A$6:$AM$158,26,FALSE))</f>
        <v>0</v>
      </c>
      <c r="H86" s="137">
        <f>IF($D86="","",VLOOKUP($D86,'Current Withdrawals'!$A$6:$AM$158,27,FALSE))</f>
        <v>0</v>
      </c>
      <c r="I86" s="145">
        <f>IF($D86="","",VLOOKUP($D86,'Current Withdrawals'!$A$6:$AM$158,28,FALSE))</f>
        <v>0.17981512248657702</v>
      </c>
      <c r="J86" s="137">
        <f>IF($D86="","",VLOOKUP($D86,'Current Withdrawals'!$A$6:$AM$158,29,FALSE))</f>
        <v>0.8535376575369249</v>
      </c>
      <c r="K86" s="137">
        <f>IF($D86="","",VLOOKUP($D86,'Current Withdrawals'!$A$6:$AM$158,30,FALSE))</f>
        <v>0</v>
      </c>
      <c r="L86" s="135">
        <f>IF($D86="","",VLOOKUP($D86,'Current Withdrawals'!$A$6:$AM$158,31,FALSE))</f>
        <v>7.390502794529223E-5</v>
      </c>
      <c r="M86" s="136">
        <f>IF($D86="","",VLOOKUP($D86,'Current Withdrawals'!$A$6:$AM$158,32,FALSE))</f>
        <v>0</v>
      </c>
      <c r="N86" s="137">
        <f>IF($D86="","",VLOOKUP($D86,'Current Withdrawals'!$A$6:$AM$158,33,FALSE))</f>
        <v>0</v>
      </c>
      <c r="O86" s="137">
        <f>IF($D86="","",VLOOKUP($D86,'Current Withdrawals'!$A$6:$AM$158,34,FALSE))</f>
        <v>0</v>
      </c>
      <c r="P86" s="135">
        <f>IF($D86="","",VLOOKUP($D86,'Current Withdrawals'!$A$6:$AM$158,35,FALSE))</f>
        <v>0</v>
      </c>
      <c r="Q86" s="136">
        <f>IF($D86="","",VLOOKUP($D86,'Current Withdrawals'!$A$6:$AM$158,36,FALSE))</f>
        <v>142.25627649168567</v>
      </c>
      <c r="R86" s="137">
        <f>IF($D86="","",VLOOKUP($D86,'Current Withdrawals'!$A$6:$AM$158,37,FALSE))</f>
        <v>1.0334266850514471</v>
      </c>
      <c r="S86" s="137">
        <f>IF($D86="","",VLOOKUP($D86,'Current Withdrawals'!$A$6:$AM$158,38,FALSE))</f>
        <v>142.25627649168567</v>
      </c>
      <c r="T86" s="137">
        <f>IF($D86="","",VLOOKUP($D86,'Current Withdrawals'!$A$6:$AM$158,39,FALSE))</f>
        <v>143.28970317673711</v>
      </c>
      <c r="U86" s="46"/>
      <c r="V86" s="2"/>
      <c r="W86" s="2"/>
      <c r="X86" s="2"/>
      <c r="Z86" s="47"/>
      <c r="AC86" s="2"/>
      <c r="AL86" s="2"/>
    </row>
    <row r="87" spans="2:38" ht="15.75" customHeight="1" x14ac:dyDescent="0.2">
      <c r="B87" s="9"/>
      <c r="C87" s="26">
        <v>11</v>
      </c>
      <c r="D87" s="16" t="str">
        <f>INDEX(LookUp!$S$5:$AL$23,$C87,LookUp!$B$5)</f>
        <v>02040105070</v>
      </c>
      <c r="E87" s="126" t="str">
        <f t="shared" si="3"/>
        <v>Pequest River (above/incl Bear Swamp)</v>
      </c>
      <c r="F87" s="140">
        <f>IF($D87="","",VLOOKUP($D87,'Current Withdrawals'!$A$6:$AM$158,25,FALSE))</f>
        <v>9.6113465927616555E-3</v>
      </c>
      <c r="G87" s="140">
        <f>IF($D87="","",VLOOKUP($D87,'Current Withdrawals'!$A$6:$AM$158,26,FALSE))</f>
        <v>0.24452983371372677</v>
      </c>
      <c r="H87" s="140">
        <f>IF($D87="","",VLOOKUP($D87,'Current Withdrawals'!$A$6:$AM$158,27,FALSE))</f>
        <v>0</v>
      </c>
      <c r="I87" s="146">
        <f>IF($D87="","",VLOOKUP($D87,'Current Withdrawals'!$A$6:$AM$158,28,FALSE))</f>
        <v>0.74290738902525344</v>
      </c>
      <c r="J87" s="140">
        <f>IF($D87="","",VLOOKUP($D87,'Current Withdrawals'!$A$6:$AM$158,29,FALSE))</f>
        <v>0</v>
      </c>
      <c r="K87" s="140">
        <f>IF($D87="","",VLOOKUP($D87,'Current Withdrawals'!$A$6:$AM$158,30,FALSE))</f>
        <v>0</v>
      </c>
      <c r="L87" s="138">
        <f>IF($D87="","",VLOOKUP($D87,'Current Withdrawals'!$A$6:$AM$158,31,FALSE))</f>
        <v>5.3630052999418303E-2</v>
      </c>
      <c r="M87" s="139">
        <f>IF($D87="","",VLOOKUP($D87,'Current Withdrawals'!$A$6:$AM$158,32,FALSE))</f>
        <v>9.2381284931615272E-3</v>
      </c>
      <c r="N87" s="140">
        <f>IF($D87="","",VLOOKUP($D87,'Current Withdrawals'!$A$6:$AM$158,33,FALSE))</f>
        <v>0</v>
      </c>
      <c r="O87" s="140">
        <f>IF($D87="","",VLOOKUP($D87,'Current Withdrawals'!$A$6:$AM$158,34,FALSE))</f>
        <v>3.0714060143146446E-3</v>
      </c>
      <c r="P87" s="138">
        <f>IF($D87="","",VLOOKUP($D87,'Current Withdrawals'!$A$6:$AM$158,35,FALSE))</f>
        <v>0</v>
      </c>
      <c r="Q87" s="139">
        <f>IF($D87="","",VLOOKUP($D87,'Current Withdrawals'!$A$6:$AM$158,36,FALSE))</f>
        <v>0</v>
      </c>
      <c r="R87" s="140">
        <f>IF($D87="","",VLOOKUP($D87,'Current Withdrawals'!$A$6:$AM$158,37,FALSE))</f>
        <v>0.80614878861743333</v>
      </c>
      <c r="S87" s="140">
        <f>IF($D87="","",VLOOKUP($D87,'Current Withdrawals'!$A$6:$AM$158,38,FALSE))</f>
        <v>0.25683936822120296</v>
      </c>
      <c r="T87" s="140">
        <f>IF($D87="","",VLOOKUP($D87,'Current Withdrawals'!$A$6:$AM$158,39,FALSE))</f>
        <v>1.0629881568386363</v>
      </c>
      <c r="U87" s="46"/>
      <c r="V87" s="2"/>
      <c r="W87" s="2"/>
      <c r="X87" s="2"/>
      <c r="Z87" s="47"/>
      <c r="AC87" s="2"/>
      <c r="AL87" s="2"/>
    </row>
    <row r="88" spans="2:38" ht="15.75" customHeight="1" x14ac:dyDescent="0.2">
      <c r="B88" s="9"/>
      <c r="C88" s="228">
        <v>12</v>
      </c>
      <c r="D88" s="116" t="str">
        <f>INDEX(LookUp!$S$5:$AL$23,$C88,LookUp!$B$5)</f>
        <v>02040105080</v>
      </c>
      <c r="E88" s="125" t="str">
        <f t="shared" si="3"/>
        <v>Bear Creek</v>
      </c>
      <c r="F88" s="137">
        <f>IF($D88="","",VLOOKUP($D88,'Current Withdrawals'!$A$6:$AM$158,25,FALSE))</f>
        <v>1.9158134985327681E-2</v>
      </c>
      <c r="G88" s="137">
        <f>IF($D88="","",VLOOKUP($D88,'Current Withdrawals'!$A$6:$AM$158,26,FALSE))</f>
        <v>0</v>
      </c>
      <c r="H88" s="137">
        <f>IF($D88="","",VLOOKUP($D88,'Current Withdrawals'!$A$6:$AM$158,27,FALSE))</f>
        <v>0</v>
      </c>
      <c r="I88" s="145">
        <f>IF($D88="","",VLOOKUP($D88,'Current Withdrawals'!$A$6:$AM$158,28,FALSE))</f>
        <v>0.16064908611107226</v>
      </c>
      <c r="J88" s="137">
        <f>IF($D88="","",VLOOKUP($D88,'Current Withdrawals'!$A$6:$AM$158,29,FALSE))</f>
        <v>0</v>
      </c>
      <c r="K88" s="137">
        <f>IF($D88="","",VLOOKUP($D88,'Current Withdrawals'!$A$6:$AM$158,30,FALSE))</f>
        <v>0</v>
      </c>
      <c r="L88" s="135">
        <f>IF($D88="","",VLOOKUP($D88,'Current Withdrawals'!$A$6:$AM$158,31,FALSE))</f>
        <v>0</v>
      </c>
      <c r="M88" s="136">
        <f>IF($D88="","",VLOOKUP($D88,'Current Withdrawals'!$A$6:$AM$158,32,FALSE))</f>
        <v>9.7815478162886771E-3</v>
      </c>
      <c r="N88" s="137">
        <f>IF($D88="","",VLOOKUP($D88,'Current Withdrawals'!$A$6:$AM$158,33,FALSE))</f>
        <v>0</v>
      </c>
      <c r="O88" s="137">
        <f>IF($D88="","",VLOOKUP($D88,'Current Withdrawals'!$A$6:$AM$158,34,FALSE))</f>
        <v>0</v>
      </c>
      <c r="P88" s="135">
        <f>IF($D88="","",VLOOKUP($D88,'Current Withdrawals'!$A$6:$AM$158,35,FALSE))</f>
        <v>0</v>
      </c>
      <c r="Q88" s="136">
        <f>IF($D88="","",VLOOKUP($D88,'Current Withdrawals'!$A$6:$AM$158,36,FALSE))</f>
        <v>0</v>
      </c>
      <c r="R88" s="137">
        <f>IF($D88="","",VLOOKUP($D88,'Current Withdrawals'!$A$6:$AM$158,37,FALSE))</f>
        <v>0.17980722109639993</v>
      </c>
      <c r="S88" s="137">
        <f>IF($D88="","",VLOOKUP($D88,'Current Withdrawals'!$A$6:$AM$158,38,FALSE))</f>
        <v>9.7815478162886771E-3</v>
      </c>
      <c r="T88" s="137">
        <f>IF($D88="","",VLOOKUP($D88,'Current Withdrawals'!$A$6:$AM$158,39,FALSE))</f>
        <v>0.18958876891268861</v>
      </c>
      <c r="U88" s="46"/>
      <c r="V88" s="2"/>
      <c r="W88" s="2"/>
      <c r="X88" s="2"/>
      <c r="Z88" s="47"/>
      <c r="AC88" s="2"/>
      <c r="AL88" s="2"/>
    </row>
    <row r="89" spans="2:38" ht="15.75" customHeight="1" x14ac:dyDescent="0.2">
      <c r="B89" s="9"/>
      <c r="C89" s="26">
        <v>13</v>
      </c>
      <c r="D89" s="16" t="str">
        <f>INDEX(LookUp!$S$5:$AL$23,$C89,LookUp!$B$5)</f>
        <v>02040105090</v>
      </c>
      <c r="E89" s="126" t="str">
        <f t="shared" si="3"/>
        <v>Pequest River (below Bear Swamp)</v>
      </c>
      <c r="F89" s="140">
        <f>IF($D89="","",VLOOKUP($D89,'Current Withdrawals'!$A$6:$AM$158,25,FALSE))</f>
        <v>6.1526899250081511E-3</v>
      </c>
      <c r="G89" s="140">
        <f>IF($D89="","",VLOOKUP($D89,'Current Withdrawals'!$A$6:$AM$158,26,FALSE))</f>
        <v>0.27094880991196607</v>
      </c>
      <c r="H89" s="140">
        <f>IF($D89="","",VLOOKUP($D89,'Current Withdrawals'!$A$6:$AM$158,27,FALSE))</f>
        <v>0</v>
      </c>
      <c r="I89" s="146">
        <f>IF($D89="","",VLOOKUP($D89,'Current Withdrawals'!$A$6:$AM$158,28,FALSE))</f>
        <v>0.69126832433883745</v>
      </c>
      <c r="J89" s="140">
        <f>IF($D89="","",VLOOKUP($D89,'Current Withdrawals'!$A$6:$AM$158,29,FALSE))</f>
        <v>0.25823280035497154</v>
      </c>
      <c r="K89" s="140">
        <f>IF($D89="","",VLOOKUP($D89,'Current Withdrawals'!$A$6:$AM$158,30,FALSE))</f>
        <v>0</v>
      </c>
      <c r="L89" s="138">
        <f>IF($D89="","",VLOOKUP($D89,'Current Withdrawals'!$A$6:$AM$158,31,FALSE))</f>
        <v>8.2210412018908805</v>
      </c>
      <c r="M89" s="139">
        <f>IF($D89="","",VLOOKUP($D89,'Current Withdrawals'!$A$6:$AM$158,32,FALSE))</f>
        <v>1.7606786069319619E-2</v>
      </c>
      <c r="N89" s="140">
        <f>IF($D89="","",VLOOKUP($D89,'Current Withdrawals'!$A$6:$AM$158,33,FALSE))</f>
        <v>0</v>
      </c>
      <c r="O89" s="140">
        <f>IF($D89="","",VLOOKUP($D89,'Current Withdrawals'!$A$6:$AM$158,34,FALSE))</f>
        <v>0</v>
      </c>
      <c r="P89" s="138">
        <f>IF($D89="","",VLOOKUP($D89,'Current Withdrawals'!$A$6:$AM$158,35,FALSE))</f>
        <v>0</v>
      </c>
      <c r="Q89" s="139">
        <f>IF($D89="","",VLOOKUP($D89,'Current Withdrawals'!$A$6:$AM$158,36,FALSE))</f>
        <v>0</v>
      </c>
      <c r="R89" s="140">
        <f>IF($D89="","",VLOOKUP($D89,'Current Withdrawals'!$A$6:$AM$158,37,FALSE))</f>
        <v>9.1766950165096972</v>
      </c>
      <c r="S89" s="140">
        <f>IF($D89="","",VLOOKUP($D89,'Current Withdrawals'!$A$6:$AM$158,38,FALSE))</f>
        <v>0.28855559598128566</v>
      </c>
      <c r="T89" s="140">
        <f>IF($D89="","",VLOOKUP($D89,'Current Withdrawals'!$A$6:$AM$158,39,FALSE))</f>
        <v>9.4652506124909834</v>
      </c>
      <c r="U89" s="46"/>
      <c r="V89" s="2"/>
      <c r="W89" s="2"/>
      <c r="X89" s="2"/>
      <c r="Z89" s="47"/>
      <c r="AC89" s="2"/>
      <c r="AL89" s="2"/>
    </row>
    <row r="90" spans="2:38" ht="15.75" customHeight="1" x14ac:dyDescent="0.2">
      <c r="B90" s="9"/>
      <c r="C90" s="228">
        <v>14</v>
      </c>
      <c r="D90" s="116" t="str">
        <f>INDEX(LookUp!$S$5:$AL$23,$C90,LookUp!$B$5)</f>
        <v>02040105100</v>
      </c>
      <c r="E90" s="125" t="str">
        <f t="shared" si="3"/>
        <v>Beaver Brook</v>
      </c>
      <c r="F90" s="137">
        <f>IF($D90="","",VLOOKUP($D90,'Current Withdrawals'!$A$6:$AM$158,25,FALSE))</f>
        <v>0</v>
      </c>
      <c r="G90" s="137">
        <f>IF($D90="","",VLOOKUP($D90,'Current Withdrawals'!$A$6:$AM$158,26,FALSE))</f>
        <v>0</v>
      </c>
      <c r="H90" s="137">
        <f>IF($D90="","",VLOOKUP($D90,'Current Withdrawals'!$A$6:$AM$158,27,FALSE))</f>
        <v>0</v>
      </c>
      <c r="I90" s="145">
        <f>IF($D90="","",VLOOKUP($D90,'Current Withdrawals'!$A$6:$AM$158,28,FALSE))</f>
        <v>0.3507328950411171</v>
      </c>
      <c r="J90" s="137">
        <f>IF($D90="","",VLOOKUP($D90,'Current Withdrawals'!$A$6:$AM$158,29,FALSE))</f>
        <v>0</v>
      </c>
      <c r="K90" s="137">
        <f>IF($D90="","",VLOOKUP($D90,'Current Withdrawals'!$A$6:$AM$158,30,FALSE))</f>
        <v>0</v>
      </c>
      <c r="L90" s="135">
        <f>IF($D90="","",VLOOKUP($D90,'Current Withdrawals'!$A$6:$AM$158,31,FALSE))</f>
        <v>1.2716012161175278E-3</v>
      </c>
      <c r="M90" s="136">
        <f>IF($D90="","",VLOOKUP($D90,'Current Withdrawals'!$A$6:$AM$158,32,FALSE))</f>
        <v>9.7815478162886771E-3</v>
      </c>
      <c r="N90" s="137">
        <f>IF($D90="","",VLOOKUP($D90,'Current Withdrawals'!$A$6:$AM$158,33,FALSE))</f>
        <v>0</v>
      </c>
      <c r="O90" s="137">
        <f>IF($D90="","",VLOOKUP($D90,'Current Withdrawals'!$A$6:$AM$158,34,FALSE))</f>
        <v>0</v>
      </c>
      <c r="P90" s="135">
        <f>IF($D90="","",VLOOKUP($D90,'Current Withdrawals'!$A$6:$AM$158,35,FALSE))</f>
        <v>0</v>
      </c>
      <c r="Q90" s="136">
        <f>IF($D90="","",VLOOKUP($D90,'Current Withdrawals'!$A$6:$AM$158,36,FALSE))</f>
        <v>0</v>
      </c>
      <c r="R90" s="137">
        <f>IF($D90="","",VLOOKUP($D90,'Current Withdrawals'!$A$6:$AM$158,37,FALSE))</f>
        <v>0.35200449625723462</v>
      </c>
      <c r="S90" s="137">
        <f>IF($D90="","",VLOOKUP($D90,'Current Withdrawals'!$A$6:$AM$158,38,FALSE))</f>
        <v>9.7815478162886771E-3</v>
      </c>
      <c r="T90" s="137">
        <f>IF($D90="","",VLOOKUP($D90,'Current Withdrawals'!$A$6:$AM$158,39,FALSE))</f>
        <v>0.36178604407352333</v>
      </c>
      <c r="U90" s="46"/>
      <c r="V90" s="2"/>
      <c r="W90" s="2"/>
      <c r="X90" s="2"/>
      <c r="Z90" s="47"/>
      <c r="AC90" s="2"/>
      <c r="AL90" s="2"/>
    </row>
    <row r="91" spans="2:38" ht="15.75" customHeight="1" x14ac:dyDescent="0.2">
      <c r="B91" s="9"/>
      <c r="C91" s="26">
        <v>15</v>
      </c>
      <c r="D91" s="16" t="str">
        <f>INDEX(LookUp!$S$5:$AL$23,$C91,LookUp!$B$5)</f>
        <v>02040105110</v>
      </c>
      <c r="E91" s="126" t="str">
        <f t="shared" si="3"/>
        <v>Pophandusing Brook / Buckhorn Creek</v>
      </c>
      <c r="F91" s="140">
        <f>IF($D91="","",VLOOKUP($D91,'Current Withdrawals'!$A$6:$AM$158,25,FALSE))</f>
        <v>1.0759700032605152E-3</v>
      </c>
      <c r="G91" s="140">
        <f>IF($D91="","",VLOOKUP($D91,'Current Withdrawals'!$A$6:$AM$158,26,FALSE))</f>
        <v>0.27192696446038472</v>
      </c>
      <c r="H91" s="140">
        <f>IF($D91="","",VLOOKUP($D91,'Current Withdrawals'!$A$6:$AM$158,27,FALSE))</f>
        <v>0</v>
      </c>
      <c r="I91" s="146">
        <f>IF($D91="","",VLOOKUP($D91,'Current Withdrawals'!$A$6:$AM$158,28,FALSE))</f>
        <v>0.28145122539479234</v>
      </c>
      <c r="J91" s="140">
        <f>IF($D91="","",VLOOKUP($D91,'Current Withdrawals'!$A$6:$AM$158,29,FALSE))</f>
        <v>2.2457890108605305</v>
      </c>
      <c r="K91" s="140">
        <f>IF($D91="","",VLOOKUP($D91,'Current Withdrawals'!$A$6:$AM$158,30,FALSE))</f>
        <v>1.0564069105430654E-2</v>
      </c>
      <c r="L91" s="138">
        <f>IF($D91="","",VLOOKUP($D91,'Current Withdrawals'!$A$6:$AM$158,31,FALSE))</f>
        <v>0</v>
      </c>
      <c r="M91" s="139">
        <f>IF($D91="","",VLOOKUP($D91,'Current Withdrawals'!$A$6:$AM$158,32,FALSE))</f>
        <v>2.5360292971697781E-2</v>
      </c>
      <c r="N91" s="140">
        <f>IF($D91="","",VLOOKUP($D91,'Current Withdrawals'!$A$6:$AM$158,33,FALSE))</f>
        <v>1.7995874304678658E-3</v>
      </c>
      <c r="O91" s="140">
        <f>IF($D91="","",VLOOKUP($D91,'Current Withdrawals'!$A$6:$AM$158,34,FALSE))</f>
        <v>1.05966768009794E-3</v>
      </c>
      <c r="P91" s="138">
        <f>IF($D91="","",VLOOKUP($D91,'Current Withdrawals'!$A$6:$AM$158,35,FALSE))</f>
        <v>0</v>
      </c>
      <c r="Q91" s="139">
        <f>IF($D91="","",VLOOKUP($D91,'Current Withdrawals'!$A$6:$AM$158,36,FALSE))</f>
        <v>0</v>
      </c>
      <c r="R91" s="140">
        <f>IF($D91="","",VLOOKUP($D91,'Current Withdrawals'!$A$6:$AM$158,37,FALSE))</f>
        <v>2.5301157936890513</v>
      </c>
      <c r="S91" s="140">
        <f>IF($D91="","",VLOOKUP($D91,'Current Withdrawals'!$A$6:$AM$158,38,FALSE))</f>
        <v>0.30891099421761115</v>
      </c>
      <c r="T91" s="140">
        <f>IF($D91="","",VLOOKUP($D91,'Current Withdrawals'!$A$6:$AM$158,39,FALSE))</f>
        <v>2.8390267879066622</v>
      </c>
      <c r="U91" s="46"/>
      <c r="V91" s="2"/>
      <c r="W91" s="2"/>
      <c r="X91" s="2"/>
      <c r="Z91" s="47"/>
      <c r="AC91" s="2"/>
      <c r="AL91" s="2"/>
    </row>
    <row r="92" spans="2:38" ht="15.75" customHeight="1" x14ac:dyDescent="0.2">
      <c r="B92" s="9"/>
      <c r="C92" s="228">
        <v>16</v>
      </c>
      <c r="D92" s="116" t="str">
        <f>INDEX(LookUp!$S$5:$AL$23,$C92,LookUp!$B$5)</f>
        <v>02040105120</v>
      </c>
      <c r="E92" s="125" t="str">
        <f t="shared" si="3"/>
        <v>Lopatcong Creek</v>
      </c>
      <c r="F92" s="137">
        <f>IF($D92="","",VLOOKUP($D92,'Current Withdrawals'!$A$6:$AM$158,25,FALSE))</f>
        <v>0</v>
      </c>
      <c r="G92" s="137">
        <f>IF($D92="","",VLOOKUP($D92,'Current Withdrawals'!$A$6:$AM$158,26,FALSE))</f>
        <v>1.8213237691555264</v>
      </c>
      <c r="H92" s="137">
        <f>IF($D92="","",VLOOKUP($D92,'Current Withdrawals'!$A$6:$AM$158,27,FALSE))</f>
        <v>0</v>
      </c>
      <c r="I92" s="145">
        <f>IF($D92="","",VLOOKUP($D92,'Current Withdrawals'!$A$6:$AM$158,28,FALSE))</f>
        <v>0.17986765279078173</v>
      </c>
      <c r="J92" s="137">
        <f>IF($D92="","",VLOOKUP($D92,'Current Withdrawals'!$A$6:$AM$158,29,FALSE))</f>
        <v>2.2539897863380141E-2</v>
      </c>
      <c r="K92" s="137">
        <f>IF($D92="","",VLOOKUP($D92,'Current Withdrawals'!$A$6:$AM$158,30,FALSE))</f>
        <v>2.3182262759139493E-2</v>
      </c>
      <c r="L92" s="135">
        <f>IF($D92="","",VLOOKUP($D92,'Current Withdrawals'!$A$6:$AM$158,31,FALSE))</f>
        <v>1.0868386462542974E-3</v>
      </c>
      <c r="M92" s="136">
        <f>IF($D92="","",VLOOKUP($D92,'Current Withdrawals'!$A$6:$AM$158,32,FALSE))</f>
        <v>0</v>
      </c>
      <c r="N92" s="137">
        <f>IF($D92="","",VLOOKUP($D92,'Current Withdrawals'!$A$6:$AM$158,33,FALSE))</f>
        <v>1.3192409767783413E-3</v>
      </c>
      <c r="O92" s="137">
        <f>IF($D92="","",VLOOKUP($D92,'Current Withdrawals'!$A$6:$AM$158,34,FALSE))</f>
        <v>4.4516041479659022E-3</v>
      </c>
      <c r="P92" s="135">
        <f>IF($D92="","",VLOOKUP($D92,'Current Withdrawals'!$A$6:$AM$158,35,FALSE))</f>
        <v>0</v>
      </c>
      <c r="Q92" s="136">
        <f>IF($D92="","",VLOOKUP($D92,'Current Withdrawals'!$A$6:$AM$158,36,FALSE))</f>
        <v>0</v>
      </c>
      <c r="R92" s="137">
        <f>IF($D92="","",VLOOKUP($D92,'Current Withdrawals'!$A$6:$AM$158,37,FALSE))</f>
        <v>0.20481363027719454</v>
      </c>
      <c r="S92" s="137">
        <f>IF($D92="","",VLOOKUP($D92,'Current Withdrawals'!$A$6:$AM$158,38,FALSE))</f>
        <v>1.8489576360626319</v>
      </c>
      <c r="T92" s="137">
        <f>IF($D92="","",VLOOKUP($D92,'Current Withdrawals'!$A$6:$AM$158,39,FALSE))</f>
        <v>2.0537712663398264</v>
      </c>
      <c r="U92" s="46"/>
      <c r="V92" s="2"/>
      <c r="W92" s="2"/>
      <c r="X92" s="2"/>
      <c r="Z92" s="47"/>
      <c r="AC92" s="2"/>
      <c r="AL92" s="2"/>
    </row>
    <row r="93" spans="2:38" ht="15.75" customHeight="1" x14ac:dyDescent="0.2">
      <c r="B93" s="9"/>
      <c r="C93" s="26">
        <v>17</v>
      </c>
      <c r="D93" s="16" t="str">
        <f>INDEX(LookUp!$S$5:$AL$23,$C93,LookUp!$B$5)</f>
        <v>02040105140</v>
      </c>
      <c r="E93" s="126" t="str">
        <f t="shared" si="3"/>
        <v>Pohatcong Creek</v>
      </c>
      <c r="F93" s="140">
        <f>IF($D93="","",VLOOKUP($D93,'Current Withdrawals'!$A$6:$AM$158,25,FALSE))</f>
        <v>4.2178024127812186E-3</v>
      </c>
      <c r="G93" s="140">
        <f>IF($D93="","",VLOOKUP($D93,'Current Withdrawals'!$A$6:$AM$158,26,FALSE))</f>
        <v>0.68666449298989229</v>
      </c>
      <c r="H93" s="140">
        <f>IF($D93="","",VLOOKUP($D93,'Current Withdrawals'!$A$6:$AM$158,27,FALSE))</f>
        <v>0</v>
      </c>
      <c r="I93" s="146">
        <f>IF($D93="","",VLOOKUP($D93,'Current Withdrawals'!$A$6:$AM$158,28,FALSE))</f>
        <v>0.54862358737950745</v>
      </c>
      <c r="J93" s="140">
        <f>IF($D93="","",VLOOKUP($D93,'Current Withdrawals'!$A$6:$AM$158,29,FALSE))</f>
        <v>0.4391913915128115</v>
      </c>
      <c r="K93" s="140">
        <f>IF($D93="","",VLOOKUP($D93,'Current Withdrawals'!$A$6:$AM$158,30,FALSE))</f>
        <v>0</v>
      </c>
      <c r="L93" s="138">
        <f>IF($D93="","",VLOOKUP($D93,'Current Withdrawals'!$A$6:$AM$158,31,FALSE))</f>
        <v>2.8225199643224098E-2</v>
      </c>
      <c r="M93" s="139">
        <f>IF($D93="","",VLOOKUP($D93,'Current Withdrawals'!$A$6:$AM$158,32,FALSE))</f>
        <v>0</v>
      </c>
      <c r="N93" s="140">
        <f>IF($D93="","",VLOOKUP($D93,'Current Withdrawals'!$A$6:$AM$158,33,FALSE))</f>
        <v>0</v>
      </c>
      <c r="O93" s="140">
        <f>IF($D93="","",VLOOKUP($D93,'Current Withdrawals'!$A$6:$AM$158,34,FALSE))</f>
        <v>8.4773414407835206E-4</v>
      </c>
      <c r="P93" s="138">
        <f>IF($D93="","",VLOOKUP($D93,'Current Withdrawals'!$A$6:$AM$158,35,FALSE))</f>
        <v>0</v>
      </c>
      <c r="Q93" s="139">
        <f>IF($D93="","",VLOOKUP($D93,'Current Withdrawals'!$A$6:$AM$158,36,FALSE))</f>
        <v>0</v>
      </c>
      <c r="R93" s="140">
        <f>IF($D93="","",VLOOKUP($D93,'Current Withdrawals'!$A$6:$AM$158,37,FALSE))</f>
        <v>1.0202579809483243</v>
      </c>
      <c r="S93" s="140">
        <f>IF($D93="","",VLOOKUP($D93,'Current Withdrawals'!$A$6:$AM$158,38,FALSE))</f>
        <v>0.68751222713397064</v>
      </c>
      <c r="T93" s="140">
        <f>IF($D93="","",VLOOKUP($D93,'Current Withdrawals'!$A$6:$AM$158,39,FALSE))</f>
        <v>1.707770208082295</v>
      </c>
      <c r="U93" s="46"/>
      <c r="V93" s="2"/>
      <c r="W93" s="2"/>
      <c r="X93" s="2"/>
      <c r="Z93" s="47"/>
      <c r="AC93" s="2"/>
      <c r="AL93" s="2"/>
    </row>
    <row r="94" spans="2:38" ht="15.75" customHeight="1" x14ac:dyDescent="0.2">
      <c r="B94" s="9"/>
      <c r="C94" s="228">
        <v>18</v>
      </c>
      <c r="D94" s="116" t="str">
        <f>INDEX(LookUp!$S$5:$AL$23,$C94,LookUp!$B$5)</f>
        <v>02040105150</v>
      </c>
      <c r="E94" s="125" t="str">
        <f t="shared" si="3"/>
        <v>Musconetcong River (above Trout Brook)</v>
      </c>
      <c r="F94" s="137">
        <f>IF($D94="","",VLOOKUP($D94,'Current Withdrawals'!$A$6:$AM$158,25,FALSE))</f>
        <v>3.5741444408216493E-2</v>
      </c>
      <c r="G94" s="137">
        <f>IF($D94="","",VLOOKUP($D94,'Current Withdrawals'!$A$6:$AM$158,26,FALSE))</f>
        <v>1.7004649494620148</v>
      </c>
      <c r="H94" s="137">
        <f>IF($D94="","",VLOOKUP($D94,'Current Withdrawals'!$A$6:$AM$158,27,FALSE))</f>
        <v>0</v>
      </c>
      <c r="I94" s="145">
        <f>IF($D94="","",VLOOKUP($D94,'Current Withdrawals'!$A$6:$AM$158,28,FALSE))</f>
        <v>2.0344484603339237</v>
      </c>
      <c r="J94" s="137">
        <f>IF($D94="","",VLOOKUP($D94,'Current Withdrawals'!$A$6:$AM$158,29,FALSE))</f>
        <v>3.5674383327949567E-2</v>
      </c>
      <c r="K94" s="137">
        <f>IF($D94="","",VLOOKUP($D94,'Current Withdrawals'!$A$6:$AM$158,30,FALSE))</f>
        <v>8.1871535567087567E-2</v>
      </c>
      <c r="L94" s="135">
        <f>IF($D94="","",VLOOKUP($D94,'Current Withdrawals'!$A$6:$AM$158,31,FALSE))</f>
        <v>0</v>
      </c>
      <c r="M94" s="136">
        <f>IF($D94="","",VLOOKUP($D94,'Current Withdrawals'!$A$6:$AM$158,32,FALSE))</f>
        <v>6.5210318775257853E-5</v>
      </c>
      <c r="N94" s="137">
        <f>IF($D94="","",VLOOKUP($D94,'Current Withdrawals'!$A$6:$AM$158,33,FALSE))</f>
        <v>7.1731350652783623E-3</v>
      </c>
      <c r="O94" s="137">
        <f>IF($D94="","",VLOOKUP($D94,'Current Withdrawals'!$A$6:$AM$158,34,FALSE))</f>
        <v>0</v>
      </c>
      <c r="P94" s="135">
        <f>IF($D94="","",VLOOKUP($D94,'Current Withdrawals'!$A$6:$AM$158,35,FALSE))</f>
        <v>0</v>
      </c>
      <c r="Q94" s="136">
        <f>IF($D94="","",VLOOKUP($D94,'Current Withdrawals'!$A$6:$AM$158,36,FALSE))</f>
        <v>0</v>
      </c>
      <c r="R94" s="137">
        <f>IF($D94="","",VLOOKUP($D94,'Current Withdrawals'!$A$6:$AM$158,37,FALSE))</f>
        <v>2.1130374231353684</v>
      </c>
      <c r="S94" s="137">
        <f>IF($D94="","",VLOOKUP($D94,'Current Withdrawals'!$A$6:$AM$158,38,FALSE))</f>
        <v>1.7824016953478776</v>
      </c>
      <c r="T94" s="137">
        <f>IF($D94="","",VLOOKUP($D94,'Current Withdrawals'!$A$6:$AM$158,39,FALSE))</f>
        <v>3.895439118483246</v>
      </c>
      <c r="U94" s="46"/>
      <c r="V94" s="2"/>
      <c r="W94" s="2"/>
      <c r="X94" s="46"/>
      <c r="Z94" s="47"/>
      <c r="AC94" s="2"/>
      <c r="AD94" s="1"/>
      <c r="AG94" s="48"/>
      <c r="AL94" s="2"/>
    </row>
    <row r="95" spans="2:38" ht="15.75" customHeight="1" thickBot="1" x14ac:dyDescent="0.25">
      <c r="B95" s="9"/>
      <c r="C95" s="157">
        <v>19</v>
      </c>
      <c r="D95" s="24" t="str">
        <f>INDEX(LookUp!$S$5:$AL$23,$C95,LookUp!$B$5)</f>
        <v>02040105160</v>
      </c>
      <c r="E95" s="44" t="str">
        <f t="shared" si="3"/>
        <v>Musconetcong River (below incl Trout Bk)</v>
      </c>
      <c r="F95" s="143">
        <f>IF($D95="","",VLOOKUP($D95,'Current Withdrawals'!$A$6:$AM$158,25,FALSE))</f>
        <v>4.8243560482556236E-2</v>
      </c>
      <c r="G95" s="143">
        <f>IF($D95="","",VLOOKUP($D95,'Current Withdrawals'!$A$6:$AM$158,26,FALSE))</f>
        <v>2.1392239973915879</v>
      </c>
      <c r="H95" s="143">
        <f>IF($D95="","",VLOOKUP($D95,'Current Withdrawals'!$A$6:$AM$158,27,FALSE))</f>
        <v>0</v>
      </c>
      <c r="I95" s="147">
        <f>IF($D95="","",VLOOKUP($D95,'Current Withdrawals'!$A$6:$AM$158,28,FALSE))</f>
        <v>0.92139661197338685</v>
      </c>
      <c r="J95" s="143">
        <f>IF($D95="","",VLOOKUP($D95,'Current Withdrawals'!$A$6:$AM$158,29,FALSE))</f>
        <v>0.43420280332413586</v>
      </c>
      <c r="K95" s="143">
        <f>IF($D95="","",VLOOKUP($D95,'Current Withdrawals'!$A$6:$AM$158,30,FALSE))</f>
        <v>1.16400392486173E-3</v>
      </c>
      <c r="L95" s="141">
        <f>IF($D95="","",VLOOKUP($D95,'Current Withdrawals'!$A$6:$AM$158,31,FALSE))</f>
        <v>1.7389418340068758E-4</v>
      </c>
      <c r="M95" s="142">
        <f>IF($D95="","",VLOOKUP($D95,'Current Withdrawals'!$A$6:$AM$158,32,FALSE))</f>
        <v>0</v>
      </c>
      <c r="N95" s="143">
        <f>IF($D95="","",VLOOKUP($D95,'Current Withdrawals'!$A$6:$AM$158,33,FALSE))</f>
        <v>9.9663103861519064E-3</v>
      </c>
      <c r="O95" s="143">
        <f>IF($D95="","",VLOOKUP($D95,'Current Withdrawals'!$A$6:$AM$158,34,FALSE))</f>
        <v>1.7280734475443329E-3</v>
      </c>
      <c r="P95" s="141">
        <f>IF($D95="","",VLOOKUP($D95,'Current Withdrawals'!$A$6:$AM$158,35,FALSE))</f>
        <v>0</v>
      </c>
      <c r="Q95" s="142">
        <f>IF($D95="","",VLOOKUP($D95,'Current Withdrawals'!$A$6:$AM$158,36,FALSE))</f>
        <v>2.9018584936419952E-2</v>
      </c>
      <c r="R95" s="143">
        <f>IF($D95="","",VLOOKUP($D95,'Current Withdrawals'!$A$6:$AM$158,37,FALSE))</f>
        <v>1.4139831803496314</v>
      </c>
      <c r="S95" s="143">
        <f>IF($D95="","",VLOOKUP($D95,'Current Withdrawals'!$A$6:$AM$158,38,FALSE))</f>
        <v>2.1711346597004142</v>
      </c>
      <c r="T95" s="143">
        <f>IF($D95="","",VLOOKUP($D95,'Current Withdrawals'!$A$6:$AM$158,39,FALSE))</f>
        <v>3.5851178400500459</v>
      </c>
      <c r="U95" s="2"/>
      <c r="V95" s="2"/>
      <c r="W95" s="2"/>
      <c r="X95" s="59">
        <f ca="1">TODAY()</f>
        <v>41800</v>
      </c>
      <c r="Z95" s="47"/>
      <c r="AC95" s="2"/>
      <c r="AD95" s="1"/>
      <c r="AL95" s="2"/>
    </row>
    <row r="96" spans="2:38" s="16" customFormat="1" ht="15.75" thickBot="1" x14ac:dyDescent="0.25">
      <c r="B96" s="49"/>
      <c r="C96" s="36"/>
      <c r="D96" s="299" t="s">
        <v>566</v>
      </c>
      <c r="E96" s="36"/>
      <c r="F96" s="50"/>
      <c r="G96" s="50"/>
      <c r="H96" s="50"/>
      <c r="I96" s="50"/>
      <c r="J96" s="50"/>
      <c r="K96" s="50"/>
      <c r="L96" s="50"/>
      <c r="M96" s="50"/>
      <c r="N96" s="50"/>
      <c r="O96" s="50"/>
      <c r="P96" s="50"/>
      <c r="Q96" s="50"/>
      <c r="R96" s="50"/>
      <c r="S96" s="50"/>
      <c r="T96" s="50"/>
      <c r="U96" s="50"/>
      <c r="V96" s="50"/>
      <c r="W96" s="50"/>
      <c r="X96" s="50"/>
      <c r="Y96" s="51"/>
      <c r="Z96" s="52"/>
    </row>
    <row r="97" spans="3:29" ht="11.25" customHeight="1" thickTop="1" x14ac:dyDescent="0.2">
      <c r="C97" s="227"/>
      <c r="D97" s="227"/>
      <c r="E97" s="227"/>
      <c r="W97" s="2"/>
      <c r="X97" s="2"/>
      <c r="AC97" s="2"/>
    </row>
    <row r="112" spans="3:29" x14ac:dyDescent="0.2">
      <c r="E112" s="53" t="s">
        <v>571</v>
      </c>
    </row>
    <row r="113" spans="5:5" x14ac:dyDescent="0.2">
      <c r="E113" s="53" t="s">
        <v>572</v>
      </c>
    </row>
    <row r="114" spans="5:5" x14ac:dyDescent="0.2">
      <c r="E114" s="53" t="s">
        <v>573</v>
      </c>
    </row>
    <row r="115" spans="5:5" x14ac:dyDescent="0.2">
      <c r="E115" s="53" t="s">
        <v>574</v>
      </c>
    </row>
    <row r="116" spans="5:5" x14ac:dyDescent="0.2">
      <c r="E116" s="53" t="s">
        <v>575</v>
      </c>
    </row>
    <row r="117" spans="5:5" x14ac:dyDescent="0.2">
      <c r="E117" s="53" t="s">
        <v>576</v>
      </c>
    </row>
    <row r="118" spans="5:5" x14ac:dyDescent="0.2">
      <c r="E118" s="53" t="s">
        <v>577</v>
      </c>
    </row>
    <row r="119" spans="5:5" x14ac:dyDescent="0.2">
      <c r="E119" s="53" t="s">
        <v>578</v>
      </c>
    </row>
    <row r="120" spans="5:5" x14ac:dyDescent="0.2">
      <c r="E120" s="53" t="s">
        <v>579</v>
      </c>
    </row>
    <row r="121" spans="5:5" x14ac:dyDescent="0.2">
      <c r="E121" s="53" t="s">
        <v>580</v>
      </c>
    </row>
    <row r="122" spans="5:5" x14ac:dyDescent="0.2">
      <c r="E122" s="53" t="s">
        <v>581</v>
      </c>
    </row>
    <row r="123" spans="5:5" x14ac:dyDescent="0.2">
      <c r="E123" s="53" t="s">
        <v>582</v>
      </c>
    </row>
    <row r="124" spans="5:5" x14ac:dyDescent="0.2">
      <c r="E124" s="53" t="s">
        <v>583</v>
      </c>
    </row>
    <row r="125" spans="5:5" x14ac:dyDescent="0.2">
      <c r="E125" s="53" t="s">
        <v>584</v>
      </c>
    </row>
    <row r="126" spans="5:5" x14ac:dyDescent="0.2">
      <c r="E126" s="53" t="s">
        <v>585</v>
      </c>
    </row>
    <row r="127" spans="5:5" x14ac:dyDescent="0.2">
      <c r="E127" s="53" t="s">
        <v>586</v>
      </c>
    </row>
    <row r="128" spans="5:5" x14ac:dyDescent="0.2">
      <c r="E128" s="53" t="s">
        <v>587</v>
      </c>
    </row>
    <row r="129" spans="5:5" x14ac:dyDescent="0.2">
      <c r="E129" s="53" t="s">
        <v>588</v>
      </c>
    </row>
    <row r="130" spans="5:5" x14ac:dyDescent="0.2">
      <c r="E130" s="53" t="s">
        <v>589</v>
      </c>
    </row>
    <row r="131" spans="5:5" x14ac:dyDescent="0.2">
      <c r="E131" s="53" t="s">
        <v>570</v>
      </c>
    </row>
  </sheetData>
  <mergeCells count="31">
    <mergeCell ref="C75:C76"/>
    <mergeCell ref="D75:D76"/>
    <mergeCell ref="E75:E76"/>
    <mergeCell ref="E51:E52"/>
    <mergeCell ref="D51:D52"/>
    <mergeCell ref="C51:C52"/>
    <mergeCell ref="I3:N3"/>
    <mergeCell ref="F75:H75"/>
    <mergeCell ref="F51:G51"/>
    <mergeCell ref="I51:J51"/>
    <mergeCell ref="K51:L51"/>
    <mergeCell ref="I75:I76"/>
    <mergeCell ref="J75:K75"/>
    <mergeCell ref="L75:M75"/>
    <mergeCell ref="N75:O75"/>
    <mergeCell ref="AG29:AI29"/>
    <mergeCell ref="AG30:AI32"/>
    <mergeCell ref="AG33:AI36"/>
    <mergeCell ref="AG37:AI39"/>
    <mergeCell ref="X5:Y5"/>
    <mergeCell ref="P75:Q75"/>
    <mergeCell ref="R75:T75"/>
    <mergeCell ref="Q32:Q33"/>
    <mergeCell ref="R32:R33"/>
    <mergeCell ref="M51:N51"/>
    <mergeCell ref="U51:U52"/>
    <mergeCell ref="O51:P51"/>
    <mergeCell ref="Q51:T51"/>
    <mergeCell ref="R30:R31"/>
    <mergeCell ref="R38:R39"/>
    <mergeCell ref="R40:R41"/>
  </mergeCells>
  <phoneticPr fontId="2" type="noConversion"/>
  <conditionalFormatting sqref="S6">
    <cfRule type="cellIs" dxfId="19" priority="55" stopIfTrue="1" operator="equal">
      <formula>"Net Gain"</formula>
    </cfRule>
    <cfRule type="cellIs" dxfId="18" priority="56" stopIfTrue="1" operator="greaterThan">
      <formula>1</formula>
    </cfRule>
  </conditionalFormatting>
  <conditionalFormatting sqref="V6:V27 V48 R32">
    <cfRule type="cellIs" dxfId="17" priority="39" stopIfTrue="1" operator="equal">
      <formula>"Net Gain"</formula>
    </cfRule>
    <cfRule type="cellIs" dxfId="16" priority="40" stopIfTrue="1" operator="lessThanOrEqual">
      <formula>1</formula>
    </cfRule>
    <cfRule type="cellIs" dxfId="15" priority="41" stopIfTrue="1" operator="greaterThan">
      <formula>1</formula>
    </cfRule>
  </conditionalFormatting>
  <conditionalFormatting sqref="S29:S37">
    <cfRule type="cellIs" dxfId="14" priority="34" stopIfTrue="1" operator="equal">
      <formula>"Net Gain"</formula>
    </cfRule>
    <cfRule type="cellIs" dxfId="13" priority="35" stopIfTrue="1" operator="greaterThan">
      <formula>1</formula>
    </cfRule>
  </conditionalFormatting>
  <conditionalFormatting sqref="J29:J47">
    <cfRule type="cellIs" priority="1" stopIfTrue="1" operator="equal">
      <formula>""</formula>
    </cfRule>
    <cfRule type="cellIs" dxfId="12" priority="21" stopIfTrue="1" operator="lessThanOrEqual">
      <formula>0</formula>
    </cfRule>
  </conditionalFormatting>
  <conditionalFormatting sqref="N29:N47">
    <cfRule type="cellIs" dxfId="11" priority="11" stopIfTrue="1" operator="lessThanOrEqual">
      <formula>0</formula>
    </cfRule>
  </conditionalFormatting>
  <conditionalFormatting sqref="N6:O24">
    <cfRule type="cellIs" dxfId="10" priority="10" operator="equal">
      <formula>"Yes"</formula>
    </cfRule>
  </conditionalFormatting>
  <conditionalFormatting sqref="R40">
    <cfRule type="cellIs" dxfId="9" priority="7" stopIfTrue="1" operator="equal">
      <formula>"Net Gain"</formula>
    </cfRule>
    <cfRule type="cellIs" dxfId="8" priority="8" stopIfTrue="1" operator="lessThanOrEqual">
      <formula>1</formula>
    </cfRule>
    <cfRule type="cellIs" dxfId="7" priority="9" stopIfTrue="1" operator="greaterThan">
      <formula>1</formula>
    </cfRule>
  </conditionalFormatting>
  <conditionalFormatting sqref="K6:M24">
    <cfRule type="cellIs" dxfId="6" priority="59" stopIfTrue="1" operator="equal">
      <formula>"All"</formula>
    </cfRule>
    <cfRule type="cellIs" dxfId="5" priority="60" stopIfTrue="1" operator="equal">
      <formula>"Partial"</formula>
    </cfRule>
    <cfRule type="cellIs" dxfId="4" priority="61" operator="equal">
      <formula>"Yes"</formula>
    </cfRule>
  </conditionalFormatting>
  <conditionalFormatting sqref="M29:M47">
    <cfRule type="cellIs" priority="2" stopIfTrue="1" operator="equal">
      <formula>""</formula>
    </cfRule>
    <cfRule type="cellIs" priority="4" stopIfTrue="1" operator="lessThan">
      <formula>1</formula>
    </cfRule>
    <cfRule type="cellIs" dxfId="3" priority="18" stopIfTrue="1" operator="equal">
      <formula>"Net Gain"</formula>
    </cfRule>
    <cfRule type="cellIs" dxfId="2" priority="20" stopIfTrue="1" operator="greaterThanOrEqual">
      <formula>1</formula>
    </cfRule>
  </conditionalFormatting>
  <conditionalFormatting sqref="I29:I47">
    <cfRule type="expression" dxfId="1" priority="3">
      <formula>"if($D$29&lt;&gt;"""")"</formula>
    </cfRule>
  </conditionalFormatting>
  <dataValidations count="1">
    <dataValidation type="list" allowBlank="1" showInputMessage="1" showErrorMessage="1" sqref="I3:N3">
      <formula1>$E$112:$E$131</formula1>
    </dataValidation>
  </dataValidations>
  <pageMargins left="0.42" right="0.21" top="0.53" bottom="0.25" header="0.5" footer="0.3"/>
  <pageSetup paperSize="17" scale="34"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35" r:id="rId4" name="Spinner 11">
              <controlPr defaultSize="0" autoPict="0">
                <anchor moveWithCells="1" sizeWithCells="1">
                  <from>
                    <xdr:col>15</xdr:col>
                    <xdr:colOff>390525</xdr:colOff>
                    <xdr:row>34</xdr:row>
                    <xdr:rowOff>66675</xdr:rowOff>
                  </from>
                  <to>
                    <xdr:col>16</xdr:col>
                    <xdr:colOff>504825</xdr:colOff>
                    <xdr:row>48</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LookUp!$E$5:$E$24</xm:f>
          </x14:formula1>
          <xm:sqref>S8</xm:sqref>
        </x14:dataValidation>
        <x14:dataValidation type="list" allowBlank="1" showInputMessage="1" showErrorMessage="1">
          <x14:formula1>
            <xm:f>LookUp!$C$5:$C$24</xm:f>
          </x14:formula1>
          <xm:sqref>T14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AM160"/>
  <sheetViews>
    <sheetView workbookViewId="0"/>
  </sheetViews>
  <sheetFormatPr defaultRowHeight="12.75" x14ac:dyDescent="0.2"/>
  <cols>
    <col min="1" max="1" width="5.5703125" bestFit="1" customWidth="1"/>
    <col min="2" max="2" width="7.85546875" bestFit="1" customWidth="1"/>
    <col min="3" max="3" width="6.7109375" bestFit="1" customWidth="1"/>
    <col min="4" max="4" width="30.85546875" bestFit="1" customWidth="1"/>
    <col min="5" max="5" width="12" bestFit="1" customWidth="1"/>
    <col min="6" max="6" width="40.42578125" bestFit="1" customWidth="1"/>
    <col min="7" max="7" width="10.42578125" style="72" customWidth="1"/>
    <col min="8" max="11" width="9.140625" style="72"/>
    <col min="13" max="14" width="9.140625" style="73"/>
    <col min="15" max="15" width="10.28515625" style="72" customWidth="1"/>
    <col min="16" max="17" width="10.28515625" style="148" customWidth="1"/>
    <col min="18" max="18" width="19" style="72" customWidth="1"/>
    <col min="19" max="19" width="9.140625" style="72"/>
  </cols>
  <sheetData>
    <row r="2" spans="1:39" x14ac:dyDescent="0.2">
      <c r="A2" s="355" t="s">
        <v>537</v>
      </c>
      <c r="B2" s="355"/>
      <c r="C2" s="355"/>
      <c r="D2" s="355"/>
      <c r="E2" s="355"/>
      <c r="F2" s="355"/>
      <c r="G2" s="355"/>
      <c r="H2" s="355"/>
    </row>
    <row r="4" spans="1:39" ht="15.75" x14ac:dyDescent="0.25">
      <c r="A4" s="356" t="s">
        <v>365</v>
      </c>
      <c r="B4" s="356"/>
      <c r="C4" s="356"/>
      <c r="D4" s="356"/>
      <c r="E4" s="356"/>
      <c r="F4" s="356"/>
      <c r="G4" s="356"/>
      <c r="H4" s="356"/>
      <c r="I4" s="356"/>
      <c r="J4" s="356"/>
      <c r="K4" s="356"/>
      <c r="L4" s="356"/>
      <c r="M4" s="83"/>
      <c r="N4" s="83"/>
      <c r="O4" s="352" t="s">
        <v>366</v>
      </c>
      <c r="P4" s="353"/>
      <c r="Q4" s="353"/>
      <c r="R4" s="353"/>
      <c r="S4" s="354"/>
      <c r="T4" s="73"/>
    </row>
    <row r="5" spans="1:39" ht="51" x14ac:dyDescent="0.2">
      <c r="A5" s="75" t="s">
        <v>53</v>
      </c>
      <c r="B5" s="75" t="s">
        <v>54</v>
      </c>
      <c r="C5" s="75" t="s">
        <v>30</v>
      </c>
      <c r="D5" s="75" t="s">
        <v>31</v>
      </c>
      <c r="E5" s="75" t="s">
        <v>1</v>
      </c>
      <c r="F5" s="75" t="s">
        <v>55</v>
      </c>
      <c r="G5" s="98" t="s">
        <v>549</v>
      </c>
      <c r="H5" s="98" t="s">
        <v>548</v>
      </c>
      <c r="I5" s="120" t="s">
        <v>547</v>
      </c>
      <c r="J5" s="99" t="s">
        <v>6</v>
      </c>
      <c r="K5" s="100" t="s">
        <v>7</v>
      </c>
      <c r="L5" s="99" t="s">
        <v>539</v>
      </c>
      <c r="M5" s="99"/>
      <c r="N5" s="99"/>
      <c r="O5" s="92" t="s">
        <v>560</v>
      </c>
      <c r="P5" s="93" t="s">
        <v>559</v>
      </c>
      <c r="Q5" s="93" t="s">
        <v>558</v>
      </c>
      <c r="R5" s="93" t="s">
        <v>550</v>
      </c>
      <c r="S5" s="94" t="s">
        <v>551</v>
      </c>
      <c r="T5" s="85"/>
      <c r="U5" s="85"/>
      <c r="V5" s="86"/>
      <c r="W5" s="85"/>
      <c r="X5" s="85"/>
      <c r="Y5" s="85"/>
      <c r="Z5" s="85"/>
      <c r="AA5" s="85"/>
      <c r="AC5" s="85"/>
      <c r="AD5" s="86"/>
      <c r="AE5" s="85"/>
      <c r="AF5" s="85"/>
      <c r="AG5" s="85"/>
      <c r="AH5" s="85"/>
    </row>
    <row r="6" spans="1:39" x14ac:dyDescent="0.2">
      <c r="A6" s="84" t="s">
        <v>401</v>
      </c>
      <c r="B6" s="84">
        <v>1</v>
      </c>
      <c r="C6" s="84">
        <v>2</v>
      </c>
      <c r="D6" s="84" t="s">
        <v>34</v>
      </c>
      <c r="E6" s="84" t="s">
        <v>94</v>
      </c>
      <c r="F6" s="84" t="s">
        <v>95</v>
      </c>
      <c r="G6" s="101">
        <v>3.23</v>
      </c>
      <c r="H6" s="101">
        <v>3.2</v>
      </c>
      <c r="I6" s="121" t="s">
        <v>402</v>
      </c>
      <c r="J6" s="101" t="s">
        <v>402</v>
      </c>
      <c r="K6" s="102">
        <v>0.32</v>
      </c>
      <c r="L6" s="119">
        <v>0</v>
      </c>
      <c r="M6" s="101"/>
      <c r="N6" s="101"/>
      <c r="O6" s="96" t="s">
        <v>379</v>
      </c>
      <c r="P6" s="237" t="s">
        <v>379</v>
      </c>
      <c r="Q6" s="97" t="s">
        <v>379</v>
      </c>
      <c r="R6" s="97" t="s">
        <v>379</v>
      </c>
      <c r="S6" s="95" t="s">
        <v>379</v>
      </c>
      <c r="T6" s="74"/>
      <c r="U6" s="74"/>
      <c r="V6" s="74"/>
      <c r="W6" s="74"/>
      <c r="X6" s="74"/>
      <c r="Y6" s="74"/>
      <c r="Z6" s="74"/>
      <c r="AA6" s="74"/>
      <c r="AC6" s="74"/>
      <c r="AD6" s="74"/>
      <c r="AE6" s="74"/>
      <c r="AF6" s="74"/>
      <c r="AG6" s="74"/>
      <c r="AH6" s="74"/>
      <c r="AL6" s="230"/>
      <c r="AM6" s="230"/>
    </row>
    <row r="7" spans="1:39" x14ac:dyDescent="0.2">
      <c r="A7" s="84" t="s">
        <v>403</v>
      </c>
      <c r="B7" s="84">
        <v>2</v>
      </c>
      <c r="C7" s="84">
        <v>2</v>
      </c>
      <c r="D7" s="84" t="s">
        <v>34</v>
      </c>
      <c r="E7" s="84" t="s">
        <v>96</v>
      </c>
      <c r="F7" s="84" t="s">
        <v>97</v>
      </c>
      <c r="G7" s="101">
        <v>60.986600000000003</v>
      </c>
      <c r="H7" s="101">
        <v>60.98</v>
      </c>
      <c r="I7" s="121">
        <v>11.101800000000001</v>
      </c>
      <c r="J7" s="101">
        <v>2.6779999999999999</v>
      </c>
      <c r="K7" s="102">
        <v>8.4238</v>
      </c>
      <c r="L7" s="119">
        <v>0</v>
      </c>
      <c r="M7" s="101"/>
      <c r="N7" s="101"/>
      <c r="O7" s="96" t="s">
        <v>388</v>
      </c>
      <c r="P7" s="97" t="s">
        <v>379</v>
      </c>
      <c r="Q7" s="97" t="s">
        <v>379</v>
      </c>
      <c r="R7" s="97" t="s">
        <v>379</v>
      </c>
      <c r="S7" s="95" t="s">
        <v>380</v>
      </c>
      <c r="T7" s="74"/>
      <c r="U7" s="74"/>
      <c r="V7" s="74"/>
      <c r="W7" s="74"/>
      <c r="X7" s="74"/>
      <c r="Y7" s="74"/>
      <c r="Z7" s="74"/>
      <c r="AA7" s="74"/>
      <c r="AC7" s="74"/>
      <c r="AD7" s="74"/>
      <c r="AE7" s="74"/>
      <c r="AF7" s="74"/>
      <c r="AG7" s="74"/>
      <c r="AH7" s="74"/>
      <c r="AL7" s="230"/>
      <c r="AM7" s="230"/>
    </row>
    <row r="8" spans="1:39" x14ac:dyDescent="0.2">
      <c r="A8" s="84" t="s">
        <v>404</v>
      </c>
      <c r="B8" s="84">
        <v>3</v>
      </c>
      <c r="C8" s="84">
        <v>2</v>
      </c>
      <c r="D8" s="84" t="s">
        <v>34</v>
      </c>
      <c r="E8" s="84" t="s">
        <v>98</v>
      </c>
      <c r="F8" s="84" t="s">
        <v>99</v>
      </c>
      <c r="G8" s="101">
        <v>60.588000000000001</v>
      </c>
      <c r="H8" s="101">
        <v>60.58</v>
      </c>
      <c r="I8" s="121">
        <v>6.2</v>
      </c>
      <c r="J8" s="101">
        <v>1.23</v>
      </c>
      <c r="K8" s="102">
        <v>4.97</v>
      </c>
      <c r="L8" s="119">
        <v>0</v>
      </c>
      <c r="M8" s="101"/>
      <c r="N8" s="101"/>
      <c r="O8" s="96" t="s">
        <v>379</v>
      </c>
      <c r="P8" s="97" t="s">
        <v>379</v>
      </c>
      <c r="Q8" s="97" t="s">
        <v>379</v>
      </c>
      <c r="R8" s="97" t="s">
        <v>379</v>
      </c>
      <c r="S8" s="95" t="s">
        <v>380</v>
      </c>
      <c r="T8" s="74"/>
      <c r="U8" s="74"/>
      <c r="V8" s="74"/>
      <c r="W8" s="74"/>
      <c r="X8" s="74"/>
      <c r="Y8" s="74"/>
      <c r="Z8" s="74"/>
      <c r="AA8" s="74"/>
      <c r="AC8" s="74"/>
      <c r="AD8" s="74"/>
      <c r="AE8" s="74"/>
      <c r="AF8" s="74"/>
      <c r="AG8" s="74"/>
      <c r="AH8" s="74"/>
      <c r="AL8" s="230"/>
      <c r="AM8" s="230"/>
    </row>
    <row r="9" spans="1:39" x14ac:dyDescent="0.2">
      <c r="A9" s="84" t="s">
        <v>405</v>
      </c>
      <c r="B9" s="84">
        <v>4</v>
      </c>
      <c r="C9" s="84">
        <v>2</v>
      </c>
      <c r="D9" s="84" t="s">
        <v>34</v>
      </c>
      <c r="E9" s="84" t="s">
        <v>100</v>
      </c>
      <c r="F9" s="84" t="s">
        <v>101</v>
      </c>
      <c r="G9" s="101">
        <v>32.163499999999999</v>
      </c>
      <c r="H9" s="101">
        <v>153.72</v>
      </c>
      <c r="I9" s="121">
        <v>4.1384999999999996</v>
      </c>
      <c r="J9" s="101">
        <v>0.85799999999999998</v>
      </c>
      <c r="K9" s="102">
        <v>3.2805</v>
      </c>
      <c r="L9" s="119">
        <v>0</v>
      </c>
      <c r="M9" s="101"/>
      <c r="N9" s="101"/>
      <c r="O9" s="96" t="s">
        <v>388</v>
      </c>
      <c r="P9" s="97" t="s">
        <v>379</v>
      </c>
      <c r="Q9" s="97" t="s">
        <v>379</v>
      </c>
      <c r="R9" s="97" t="s">
        <v>379</v>
      </c>
      <c r="S9" s="95" t="s">
        <v>380</v>
      </c>
      <c r="T9" s="74"/>
      <c r="U9" s="74"/>
      <c r="V9" s="74"/>
      <c r="W9" s="74"/>
      <c r="X9" s="74"/>
      <c r="Y9" s="74"/>
      <c r="Z9" s="74"/>
      <c r="AA9" s="74"/>
      <c r="AC9" s="74"/>
      <c r="AD9" s="74"/>
      <c r="AE9" s="74"/>
      <c r="AF9" s="74"/>
      <c r="AG9" s="74"/>
      <c r="AH9" s="74"/>
      <c r="AL9" s="230"/>
      <c r="AM9" s="230"/>
    </row>
    <row r="10" spans="1:39" x14ac:dyDescent="0.2">
      <c r="A10" s="84" t="s">
        <v>406</v>
      </c>
      <c r="B10" s="84">
        <v>5</v>
      </c>
      <c r="C10" s="84">
        <v>2</v>
      </c>
      <c r="D10" s="84" t="s">
        <v>34</v>
      </c>
      <c r="E10" s="84" t="s">
        <v>102</v>
      </c>
      <c r="F10" s="84" t="s">
        <v>103</v>
      </c>
      <c r="G10" s="101">
        <v>106.0771</v>
      </c>
      <c r="H10" s="101">
        <v>106.07</v>
      </c>
      <c r="I10" s="121">
        <v>20.837299999999999</v>
      </c>
      <c r="J10" s="101">
        <v>5.0113000000000003</v>
      </c>
      <c r="K10" s="102">
        <v>15.825900000000001</v>
      </c>
      <c r="L10" s="119">
        <v>0</v>
      </c>
      <c r="M10" s="101"/>
      <c r="N10" s="101"/>
      <c r="O10" s="96" t="s">
        <v>394</v>
      </c>
      <c r="P10" s="97" t="s">
        <v>379</v>
      </c>
      <c r="Q10" s="97" t="s">
        <v>379</v>
      </c>
      <c r="R10" s="97" t="s">
        <v>379</v>
      </c>
      <c r="S10" s="95" t="s">
        <v>380</v>
      </c>
      <c r="T10" s="74"/>
      <c r="U10" s="74"/>
      <c r="V10" s="74"/>
      <c r="W10" s="74"/>
      <c r="X10" s="74"/>
      <c r="Y10" s="74"/>
      <c r="Z10" s="74"/>
      <c r="AA10" s="74"/>
      <c r="AC10" s="74"/>
      <c r="AD10" s="74"/>
      <c r="AE10" s="74"/>
      <c r="AF10" s="74"/>
      <c r="AG10" s="74"/>
      <c r="AH10" s="74"/>
      <c r="AL10" s="230"/>
      <c r="AM10" s="230"/>
    </row>
    <row r="11" spans="1:39" x14ac:dyDescent="0.2">
      <c r="A11" s="84" t="s">
        <v>414</v>
      </c>
      <c r="B11" s="84">
        <v>1</v>
      </c>
      <c r="C11" s="84">
        <v>5</v>
      </c>
      <c r="D11" s="84" t="s">
        <v>37</v>
      </c>
      <c r="E11" s="84" t="s">
        <v>119</v>
      </c>
      <c r="F11" s="84" t="s">
        <v>120</v>
      </c>
      <c r="G11" s="101">
        <v>44.401299999999999</v>
      </c>
      <c r="H11" s="101">
        <v>44.4</v>
      </c>
      <c r="I11" s="121">
        <v>12.69</v>
      </c>
      <c r="J11" s="101">
        <v>6.28</v>
      </c>
      <c r="K11" s="102">
        <v>6.41</v>
      </c>
      <c r="L11" s="119">
        <v>0</v>
      </c>
      <c r="M11" s="101"/>
      <c r="N11" s="101"/>
      <c r="O11" s="96" t="s">
        <v>379</v>
      </c>
      <c r="P11" s="97" t="s">
        <v>379</v>
      </c>
      <c r="Q11" s="97" t="s">
        <v>379</v>
      </c>
      <c r="R11" s="97" t="s">
        <v>379</v>
      </c>
      <c r="S11" s="95" t="s">
        <v>379</v>
      </c>
      <c r="T11" s="74"/>
      <c r="U11" s="74"/>
      <c r="V11" s="74"/>
      <c r="W11" s="74"/>
      <c r="X11" s="74"/>
      <c r="Y11" s="74"/>
      <c r="Z11" s="74"/>
      <c r="AA11" s="74"/>
      <c r="AC11" s="74"/>
      <c r="AD11" s="74"/>
      <c r="AE11" s="74"/>
      <c r="AF11" s="74"/>
      <c r="AG11" s="74"/>
      <c r="AH11" s="74"/>
      <c r="AL11" s="230"/>
      <c r="AM11" s="230"/>
    </row>
    <row r="12" spans="1:39" x14ac:dyDescent="0.2">
      <c r="A12" s="84" t="s">
        <v>417</v>
      </c>
      <c r="B12" s="84">
        <v>1</v>
      </c>
      <c r="C12" s="84">
        <v>6</v>
      </c>
      <c r="D12" s="84" t="s">
        <v>125</v>
      </c>
      <c r="E12" s="84" t="s">
        <v>126</v>
      </c>
      <c r="F12" s="84" t="s">
        <v>127</v>
      </c>
      <c r="G12" s="101">
        <v>143.08240000000001</v>
      </c>
      <c r="H12" s="101">
        <v>349.41</v>
      </c>
      <c r="I12" s="121">
        <v>29.73</v>
      </c>
      <c r="J12" s="101">
        <v>7.0819000000000001</v>
      </c>
      <c r="K12" s="102">
        <v>22.648</v>
      </c>
      <c r="L12" s="119">
        <v>0</v>
      </c>
      <c r="M12" s="101"/>
      <c r="N12" s="101"/>
      <c r="O12" s="96" t="s">
        <v>388</v>
      </c>
      <c r="P12" s="97" t="s">
        <v>379</v>
      </c>
      <c r="Q12" s="97" t="s">
        <v>379</v>
      </c>
      <c r="R12" s="97" t="s">
        <v>380</v>
      </c>
      <c r="S12" s="95" t="s">
        <v>380</v>
      </c>
      <c r="T12" s="74"/>
      <c r="U12" s="74"/>
      <c r="V12" s="74"/>
      <c r="W12" s="74"/>
      <c r="X12" s="74"/>
      <c r="Y12" s="74"/>
      <c r="Z12" s="74"/>
      <c r="AA12" s="74"/>
      <c r="AC12" s="74"/>
      <c r="AD12" s="74"/>
      <c r="AE12" s="74"/>
      <c r="AF12" s="74"/>
      <c r="AG12" s="74"/>
      <c r="AH12" s="74"/>
      <c r="AL12" s="230"/>
      <c r="AM12" s="230"/>
    </row>
    <row r="13" spans="1:39" x14ac:dyDescent="0.2">
      <c r="A13" s="84" t="s">
        <v>418</v>
      </c>
      <c r="B13" s="84">
        <v>2</v>
      </c>
      <c r="C13" s="84">
        <v>6</v>
      </c>
      <c r="D13" s="84" t="s">
        <v>125</v>
      </c>
      <c r="E13" s="84" t="s">
        <v>128</v>
      </c>
      <c r="F13" s="84" t="s">
        <v>129</v>
      </c>
      <c r="G13" s="101">
        <v>69.600200000000001</v>
      </c>
      <c r="H13" s="101">
        <v>69.599999999999994</v>
      </c>
      <c r="I13" s="121">
        <v>17.7958</v>
      </c>
      <c r="J13" s="101">
        <v>5.6154000000000002</v>
      </c>
      <c r="K13" s="102">
        <v>12.180300000000001</v>
      </c>
      <c r="L13" s="119">
        <v>0</v>
      </c>
      <c r="M13" s="101"/>
      <c r="N13" s="101"/>
      <c r="O13" s="96" t="s">
        <v>388</v>
      </c>
      <c r="P13" s="97" t="s">
        <v>379</v>
      </c>
      <c r="Q13" s="97" t="s">
        <v>379</v>
      </c>
      <c r="R13" s="97" t="s">
        <v>380</v>
      </c>
      <c r="S13" s="95" t="s">
        <v>380</v>
      </c>
      <c r="T13" s="74"/>
      <c r="U13" s="74"/>
      <c r="V13" s="74"/>
      <c r="W13" s="74"/>
      <c r="X13" s="74"/>
      <c r="Y13" s="74"/>
      <c r="Z13" s="74"/>
      <c r="AA13" s="74"/>
      <c r="AC13" s="74"/>
      <c r="AD13" s="74"/>
      <c r="AE13" s="74"/>
      <c r="AF13" s="74"/>
      <c r="AG13" s="74"/>
      <c r="AH13" s="74"/>
      <c r="AL13" s="230"/>
      <c r="AM13" s="230"/>
    </row>
    <row r="14" spans="1:39" x14ac:dyDescent="0.2">
      <c r="A14" s="84" t="s">
        <v>419</v>
      </c>
      <c r="B14" s="84">
        <v>3</v>
      </c>
      <c r="C14" s="84">
        <v>6</v>
      </c>
      <c r="D14" s="84" t="s">
        <v>125</v>
      </c>
      <c r="E14" s="84" t="s">
        <v>130</v>
      </c>
      <c r="F14" s="84" t="s">
        <v>131</v>
      </c>
      <c r="G14" s="101">
        <v>136.73330000000001</v>
      </c>
      <c r="H14" s="101">
        <v>206.33</v>
      </c>
      <c r="I14" s="121">
        <v>30.3978</v>
      </c>
      <c r="J14" s="101">
        <v>7.9096000000000002</v>
      </c>
      <c r="K14" s="102">
        <v>22.488099999999999</v>
      </c>
      <c r="L14" s="119">
        <v>0</v>
      </c>
      <c r="M14" s="101"/>
      <c r="N14" s="101"/>
      <c r="O14" s="96" t="s">
        <v>394</v>
      </c>
      <c r="P14" s="97" t="s">
        <v>379</v>
      </c>
      <c r="Q14" s="97" t="s">
        <v>379</v>
      </c>
      <c r="R14" s="97" t="s">
        <v>380</v>
      </c>
      <c r="S14" s="95" t="s">
        <v>380</v>
      </c>
      <c r="T14" s="74"/>
      <c r="U14" s="74"/>
      <c r="V14" s="74"/>
      <c r="W14" s="74"/>
      <c r="X14" s="74"/>
      <c r="Y14" s="74"/>
      <c r="Z14" s="74"/>
      <c r="AA14" s="74"/>
      <c r="AC14" s="74"/>
      <c r="AD14" s="74"/>
      <c r="AE14" s="74"/>
      <c r="AF14" s="74"/>
      <c r="AG14" s="74"/>
      <c r="AH14" s="74"/>
      <c r="AL14" s="230"/>
      <c r="AM14" s="230"/>
    </row>
    <row r="15" spans="1:39" x14ac:dyDescent="0.2">
      <c r="A15" s="84" t="s">
        <v>420</v>
      </c>
      <c r="B15" s="84">
        <v>4</v>
      </c>
      <c r="C15" s="84">
        <v>6</v>
      </c>
      <c r="D15" s="84" t="s">
        <v>125</v>
      </c>
      <c r="E15" s="84" t="s">
        <v>132</v>
      </c>
      <c r="F15" s="84" t="s">
        <v>133</v>
      </c>
      <c r="G15" s="101">
        <v>11.8719</v>
      </c>
      <c r="H15" s="101">
        <v>361.28</v>
      </c>
      <c r="I15" s="121">
        <v>2.6846000000000001</v>
      </c>
      <c r="J15" s="101">
        <v>0.66659999999999997</v>
      </c>
      <c r="K15" s="102">
        <v>2.0179999999999998</v>
      </c>
      <c r="L15" s="119">
        <v>0</v>
      </c>
      <c r="M15" s="101"/>
      <c r="N15" s="101"/>
      <c r="O15" s="96" t="s">
        <v>388</v>
      </c>
      <c r="P15" s="97" t="s">
        <v>379</v>
      </c>
      <c r="Q15" s="97" t="s">
        <v>379</v>
      </c>
      <c r="R15" s="97" t="s">
        <v>380</v>
      </c>
      <c r="S15" s="95" t="s">
        <v>380</v>
      </c>
      <c r="T15" s="74"/>
      <c r="U15" s="74"/>
      <c r="V15" s="74"/>
      <c r="W15" s="74"/>
      <c r="X15" s="74"/>
      <c r="Y15" s="74"/>
      <c r="Z15" s="74"/>
      <c r="AA15" s="74"/>
      <c r="AC15" s="74"/>
      <c r="AD15" s="74"/>
      <c r="AE15" s="74"/>
      <c r="AF15" s="74"/>
      <c r="AG15" s="74"/>
      <c r="AH15" s="74"/>
      <c r="AL15" s="230"/>
      <c r="AM15" s="230"/>
    </row>
    <row r="16" spans="1:39" x14ac:dyDescent="0.2">
      <c r="A16" s="84" t="s">
        <v>407</v>
      </c>
      <c r="B16" s="84">
        <v>1</v>
      </c>
      <c r="C16" s="84">
        <v>3</v>
      </c>
      <c r="D16" s="84" t="s">
        <v>104</v>
      </c>
      <c r="E16" s="84" t="s">
        <v>105</v>
      </c>
      <c r="F16" s="84" t="s">
        <v>106</v>
      </c>
      <c r="G16" s="101">
        <v>86.785700000000006</v>
      </c>
      <c r="H16" s="101">
        <v>193.59</v>
      </c>
      <c r="I16" s="121">
        <v>18.3764</v>
      </c>
      <c r="J16" s="101">
        <v>4.8548999999999998</v>
      </c>
      <c r="K16" s="102">
        <v>13.5214</v>
      </c>
      <c r="L16" s="119">
        <v>0</v>
      </c>
      <c r="M16" s="101"/>
      <c r="N16" s="101"/>
      <c r="O16" s="96" t="s">
        <v>394</v>
      </c>
      <c r="P16" s="97" t="s">
        <v>379</v>
      </c>
      <c r="Q16" s="97" t="s">
        <v>379</v>
      </c>
      <c r="R16" s="97" t="s">
        <v>380</v>
      </c>
      <c r="S16" s="95" t="s">
        <v>380</v>
      </c>
      <c r="T16" s="74"/>
      <c r="U16" s="74"/>
      <c r="V16" s="74"/>
      <c r="W16" s="74"/>
      <c r="X16" s="74"/>
      <c r="Y16" s="74"/>
      <c r="Z16" s="74"/>
      <c r="AA16" s="74"/>
      <c r="AC16" s="74"/>
      <c r="AD16" s="74"/>
      <c r="AE16" s="74"/>
      <c r="AF16" s="74"/>
      <c r="AG16" s="74"/>
      <c r="AH16" s="74"/>
      <c r="AL16" s="230"/>
      <c r="AM16" s="230"/>
    </row>
    <row r="17" spans="1:39" x14ac:dyDescent="0.2">
      <c r="A17" s="84" t="s">
        <v>408</v>
      </c>
      <c r="B17" s="84">
        <v>2</v>
      </c>
      <c r="C17" s="84">
        <v>3</v>
      </c>
      <c r="D17" s="84" t="s">
        <v>104</v>
      </c>
      <c r="E17" s="84" t="s">
        <v>107</v>
      </c>
      <c r="F17" s="84" t="s">
        <v>108</v>
      </c>
      <c r="G17" s="101">
        <v>106.8154</v>
      </c>
      <c r="H17" s="101">
        <v>106.81</v>
      </c>
      <c r="I17" s="121">
        <v>20.1128</v>
      </c>
      <c r="J17" s="101">
        <v>4.9820000000000002</v>
      </c>
      <c r="K17" s="102">
        <v>15.130800000000001</v>
      </c>
      <c r="L17" s="119">
        <v>0</v>
      </c>
      <c r="M17" s="101"/>
      <c r="N17" s="101"/>
      <c r="O17" s="96" t="s">
        <v>394</v>
      </c>
      <c r="P17" s="97" t="s">
        <v>379</v>
      </c>
      <c r="Q17" s="97" t="s">
        <v>379</v>
      </c>
      <c r="R17" s="97" t="s">
        <v>380</v>
      </c>
      <c r="S17" s="95" t="s">
        <v>380</v>
      </c>
      <c r="T17" s="74"/>
      <c r="U17" s="74"/>
      <c r="V17" s="74"/>
      <c r="W17" s="74"/>
      <c r="X17" s="74"/>
      <c r="Y17" s="74"/>
      <c r="Z17" s="74"/>
      <c r="AA17" s="74"/>
      <c r="AC17" s="74"/>
      <c r="AD17" s="74"/>
      <c r="AE17" s="74"/>
      <c r="AF17" s="74"/>
      <c r="AG17" s="74"/>
      <c r="AH17" s="74"/>
      <c r="AL17" s="230"/>
      <c r="AM17" s="230"/>
    </row>
    <row r="18" spans="1:39" x14ac:dyDescent="0.2">
      <c r="A18" s="84" t="s">
        <v>409</v>
      </c>
      <c r="B18" s="84">
        <v>3</v>
      </c>
      <c r="C18" s="84">
        <v>3</v>
      </c>
      <c r="D18" s="84" t="s">
        <v>104</v>
      </c>
      <c r="E18" s="84" t="s">
        <v>109</v>
      </c>
      <c r="F18" s="84" t="s">
        <v>110</v>
      </c>
      <c r="G18" s="101">
        <v>161.01769999999999</v>
      </c>
      <c r="H18" s="101">
        <v>161.01</v>
      </c>
      <c r="I18" s="121">
        <v>26.91</v>
      </c>
      <c r="J18" s="101">
        <v>10</v>
      </c>
      <c r="K18" s="102">
        <v>16.91</v>
      </c>
      <c r="L18" s="119">
        <v>0</v>
      </c>
      <c r="M18" s="101"/>
      <c r="N18" s="101"/>
      <c r="O18" s="96" t="s">
        <v>388</v>
      </c>
      <c r="P18" s="97" t="s">
        <v>379</v>
      </c>
      <c r="Q18" s="97" t="s">
        <v>379</v>
      </c>
      <c r="R18" s="97" t="s">
        <v>380</v>
      </c>
      <c r="S18" s="95" t="s">
        <v>379</v>
      </c>
      <c r="T18" s="74"/>
      <c r="U18" s="74"/>
      <c r="V18" s="74"/>
      <c r="W18" s="74"/>
      <c r="X18" s="74"/>
      <c r="Y18" s="74"/>
      <c r="Z18" s="74"/>
      <c r="AA18" s="74"/>
      <c r="AC18" s="74"/>
      <c r="AD18" s="74"/>
      <c r="AE18" s="74"/>
      <c r="AF18" s="74"/>
      <c r="AG18" s="74"/>
      <c r="AH18" s="74"/>
      <c r="AL18" s="230"/>
      <c r="AM18" s="230"/>
    </row>
    <row r="19" spans="1:39" x14ac:dyDescent="0.2">
      <c r="A19" s="84" t="s">
        <v>410</v>
      </c>
      <c r="B19" s="84">
        <v>4</v>
      </c>
      <c r="C19" s="84">
        <v>3</v>
      </c>
      <c r="D19" s="84" t="s">
        <v>104</v>
      </c>
      <c r="E19" s="84" t="s">
        <v>111</v>
      </c>
      <c r="F19" s="84" t="s">
        <v>112</v>
      </c>
      <c r="G19" s="101">
        <v>23.983699999999999</v>
      </c>
      <c r="H19" s="101">
        <v>378.58</v>
      </c>
      <c r="I19" s="121">
        <v>4.5919999999999996</v>
      </c>
      <c r="J19" s="101">
        <v>0.89959999999999996</v>
      </c>
      <c r="K19" s="102">
        <v>3.6924000000000001</v>
      </c>
      <c r="L19" s="119">
        <v>0</v>
      </c>
      <c r="M19" s="101"/>
      <c r="N19" s="101"/>
      <c r="O19" s="96" t="s">
        <v>388</v>
      </c>
      <c r="P19" s="97" t="s">
        <v>379</v>
      </c>
      <c r="Q19" s="97" t="s">
        <v>379</v>
      </c>
      <c r="R19" s="97" t="s">
        <v>380</v>
      </c>
      <c r="S19" s="95" t="s">
        <v>380</v>
      </c>
      <c r="T19" s="74"/>
      <c r="U19" s="74"/>
      <c r="V19" s="74"/>
      <c r="W19" s="74"/>
      <c r="X19" s="74"/>
      <c r="Y19" s="74"/>
      <c r="Z19" s="74"/>
      <c r="AA19" s="74"/>
      <c r="AC19" s="74"/>
      <c r="AD19" s="74"/>
      <c r="AE19" s="74"/>
      <c r="AF19" s="74"/>
      <c r="AG19" s="74"/>
      <c r="AH19" s="74"/>
      <c r="AL19" s="230"/>
      <c r="AM19" s="230"/>
    </row>
    <row r="20" spans="1:39" x14ac:dyDescent="0.2">
      <c r="A20" s="84" t="s">
        <v>411</v>
      </c>
      <c r="B20" s="84">
        <v>1</v>
      </c>
      <c r="C20" s="84">
        <v>4</v>
      </c>
      <c r="D20" s="84" t="s">
        <v>36</v>
      </c>
      <c r="E20" s="84" t="s">
        <v>113</v>
      </c>
      <c r="F20" s="84" t="s">
        <v>114</v>
      </c>
      <c r="G20" s="101">
        <v>83.3994</v>
      </c>
      <c r="H20" s="101">
        <v>823.25</v>
      </c>
      <c r="I20" s="121">
        <v>16.34</v>
      </c>
      <c r="J20" s="101">
        <v>6</v>
      </c>
      <c r="K20" s="102">
        <v>10.34</v>
      </c>
      <c r="L20" s="119">
        <v>0</v>
      </c>
      <c r="M20" s="101"/>
      <c r="N20" s="101"/>
      <c r="O20" s="96" t="s">
        <v>379</v>
      </c>
      <c r="P20" s="97" t="s">
        <v>379</v>
      </c>
      <c r="Q20" s="97" t="s">
        <v>379</v>
      </c>
      <c r="R20" s="97" t="s">
        <v>379</v>
      </c>
      <c r="S20" s="95" t="s">
        <v>379</v>
      </c>
      <c r="T20" s="74"/>
      <c r="U20" s="74"/>
      <c r="V20" s="74"/>
      <c r="W20" s="74"/>
      <c r="X20" s="74"/>
      <c r="Y20" s="74"/>
      <c r="Z20" s="74"/>
      <c r="AA20" s="74"/>
      <c r="AC20" s="74"/>
      <c r="AD20" s="74"/>
      <c r="AE20" s="74"/>
      <c r="AF20" s="74"/>
      <c r="AG20" s="74"/>
      <c r="AH20" s="74"/>
      <c r="AL20" s="230"/>
      <c r="AM20" s="230"/>
    </row>
    <row r="21" spans="1:39" x14ac:dyDescent="0.2">
      <c r="A21" s="84" t="s">
        <v>412</v>
      </c>
      <c r="B21" s="84">
        <v>2</v>
      </c>
      <c r="C21" s="84">
        <v>4</v>
      </c>
      <c r="D21" s="84" t="s">
        <v>36</v>
      </c>
      <c r="E21" s="84" t="s">
        <v>115</v>
      </c>
      <c r="F21" s="84" t="s">
        <v>116</v>
      </c>
      <c r="G21" s="101">
        <v>59.543500000000002</v>
      </c>
      <c r="H21" s="101">
        <v>59.54</v>
      </c>
      <c r="I21" s="121">
        <v>33.18</v>
      </c>
      <c r="J21" s="101">
        <v>15.83</v>
      </c>
      <c r="K21" s="102">
        <v>17.350000000000001</v>
      </c>
      <c r="L21" s="119">
        <v>0</v>
      </c>
      <c r="M21" s="101"/>
      <c r="N21" s="101"/>
      <c r="O21" s="96" t="s">
        <v>388</v>
      </c>
      <c r="P21" s="97" t="s">
        <v>379</v>
      </c>
      <c r="Q21" s="97" t="s">
        <v>379</v>
      </c>
      <c r="R21" s="97" t="s">
        <v>380</v>
      </c>
      <c r="S21" s="95" t="s">
        <v>379</v>
      </c>
      <c r="T21" s="74"/>
      <c r="U21" s="74"/>
      <c r="V21" s="74"/>
      <c r="W21" s="74"/>
      <c r="X21" s="74"/>
      <c r="Y21" s="74"/>
      <c r="Z21" s="74"/>
      <c r="AA21" s="74"/>
      <c r="AC21" s="74"/>
      <c r="AD21" s="74"/>
      <c r="AE21" s="74"/>
      <c r="AF21" s="74"/>
      <c r="AG21" s="74"/>
      <c r="AH21" s="74"/>
      <c r="AL21" s="230"/>
      <c r="AM21" s="230"/>
    </row>
    <row r="22" spans="1:39" x14ac:dyDescent="0.2">
      <c r="A22" s="84" t="s">
        <v>413</v>
      </c>
      <c r="B22" s="84">
        <v>3</v>
      </c>
      <c r="C22" s="84">
        <v>4</v>
      </c>
      <c r="D22" s="84" t="s">
        <v>36</v>
      </c>
      <c r="E22" s="84" t="s">
        <v>117</v>
      </c>
      <c r="F22" s="84" t="s">
        <v>118</v>
      </c>
      <c r="G22" s="101">
        <v>53.535400000000003</v>
      </c>
      <c r="H22" s="101">
        <v>936.32</v>
      </c>
      <c r="I22" s="121">
        <v>22.45</v>
      </c>
      <c r="J22" s="101">
        <v>11.93</v>
      </c>
      <c r="K22" s="102">
        <v>10.52</v>
      </c>
      <c r="L22" s="119">
        <v>0</v>
      </c>
      <c r="M22" s="101"/>
      <c r="N22" s="101"/>
      <c r="O22" s="96" t="s">
        <v>379</v>
      </c>
      <c r="P22" s="97" t="s">
        <v>379</v>
      </c>
      <c r="Q22" s="97" t="s">
        <v>379</v>
      </c>
      <c r="R22" s="97" t="s">
        <v>379</v>
      </c>
      <c r="S22" s="95" t="s">
        <v>379</v>
      </c>
      <c r="T22" s="74"/>
      <c r="U22" s="74"/>
      <c r="V22" s="74"/>
      <c r="W22" s="74"/>
      <c r="X22" s="74"/>
      <c r="Y22" s="74"/>
      <c r="Z22" s="74"/>
      <c r="AA22" s="74"/>
      <c r="AC22" s="74"/>
      <c r="AD22" s="74"/>
      <c r="AE22" s="74"/>
      <c r="AF22" s="74"/>
      <c r="AG22" s="74"/>
      <c r="AH22" s="74"/>
      <c r="AL22" s="230"/>
      <c r="AM22" s="230"/>
    </row>
    <row r="23" spans="1:39" x14ac:dyDescent="0.2">
      <c r="A23" s="84" t="s">
        <v>415</v>
      </c>
      <c r="B23" s="84">
        <v>2</v>
      </c>
      <c r="C23" s="84">
        <v>5</v>
      </c>
      <c r="D23" s="84" t="s">
        <v>37</v>
      </c>
      <c r="E23" s="84" t="s">
        <v>121</v>
      </c>
      <c r="F23" s="84" t="s">
        <v>122</v>
      </c>
      <c r="G23" s="101">
        <v>112.42310000000001</v>
      </c>
      <c r="H23" s="101">
        <v>112.41</v>
      </c>
      <c r="I23" s="121">
        <v>45.95</v>
      </c>
      <c r="J23" s="101">
        <v>25.96</v>
      </c>
      <c r="K23" s="102">
        <v>19.989999999999998</v>
      </c>
      <c r="L23" s="119">
        <v>0</v>
      </c>
      <c r="M23" s="101"/>
      <c r="N23" s="101"/>
      <c r="O23" s="96" t="s">
        <v>379</v>
      </c>
      <c r="P23" s="97" t="s">
        <v>379</v>
      </c>
      <c r="Q23" s="97" t="s">
        <v>379</v>
      </c>
      <c r="R23" s="97" t="s">
        <v>380</v>
      </c>
      <c r="S23" s="95" t="s">
        <v>379</v>
      </c>
      <c r="T23" s="74"/>
      <c r="U23" s="74"/>
      <c r="V23" s="74"/>
      <c r="W23" s="74"/>
      <c r="X23" s="74"/>
      <c r="Y23" s="74"/>
      <c r="Z23" s="74"/>
      <c r="AA23" s="74"/>
      <c r="AC23" s="74"/>
      <c r="AD23" s="74"/>
      <c r="AE23" s="74"/>
      <c r="AF23" s="74"/>
      <c r="AG23" s="74"/>
      <c r="AH23" s="74"/>
      <c r="AL23" s="230"/>
      <c r="AM23" s="230"/>
    </row>
    <row r="24" spans="1:39" x14ac:dyDescent="0.2">
      <c r="A24" s="84" t="s">
        <v>416</v>
      </c>
      <c r="B24" s="84">
        <v>3</v>
      </c>
      <c r="C24" s="84">
        <v>5</v>
      </c>
      <c r="D24" s="84" t="s">
        <v>37</v>
      </c>
      <c r="E24" s="84" t="s">
        <v>123</v>
      </c>
      <c r="F24" s="84" t="s">
        <v>124</v>
      </c>
      <c r="G24" s="101">
        <v>84.983900000000006</v>
      </c>
      <c r="H24" s="101">
        <v>197.39</v>
      </c>
      <c r="I24" s="121">
        <v>19.09</v>
      </c>
      <c r="J24" s="101">
        <v>9.11</v>
      </c>
      <c r="K24" s="102">
        <v>9.98</v>
      </c>
      <c r="L24" s="119">
        <v>0</v>
      </c>
      <c r="M24" s="101"/>
      <c r="N24" s="101"/>
      <c r="O24" s="96" t="s">
        <v>379</v>
      </c>
      <c r="P24" s="97" t="s">
        <v>379</v>
      </c>
      <c r="Q24" s="97" t="s">
        <v>379</v>
      </c>
      <c r="R24" s="97" t="s">
        <v>379</v>
      </c>
      <c r="S24" s="95" t="s">
        <v>379</v>
      </c>
      <c r="T24" s="74"/>
      <c r="U24" s="74"/>
      <c r="V24" s="74"/>
      <c r="W24" s="74"/>
      <c r="X24" s="74"/>
      <c r="Y24" s="74"/>
      <c r="Z24" s="74"/>
      <c r="AA24" s="74"/>
      <c r="AC24" s="74"/>
      <c r="AD24" s="74"/>
      <c r="AE24" s="74"/>
      <c r="AF24" s="74"/>
      <c r="AG24" s="74"/>
      <c r="AH24" s="74"/>
      <c r="AL24" s="230"/>
      <c r="AM24" s="230"/>
    </row>
    <row r="25" spans="1:39" x14ac:dyDescent="0.2">
      <c r="A25" s="84" t="s">
        <v>421</v>
      </c>
      <c r="B25" s="84">
        <v>1</v>
      </c>
      <c r="C25" s="84">
        <v>7</v>
      </c>
      <c r="D25" s="84" t="s">
        <v>39</v>
      </c>
      <c r="E25" s="84" t="s">
        <v>134</v>
      </c>
      <c r="F25" s="84" t="s">
        <v>135</v>
      </c>
      <c r="G25" s="101">
        <v>43.57</v>
      </c>
      <c r="H25" s="101">
        <v>967</v>
      </c>
      <c r="I25" s="121" t="s">
        <v>402</v>
      </c>
      <c r="J25" s="101" t="s">
        <v>402</v>
      </c>
      <c r="K25" s="102">
        <v>8.7200000000000006</v>
      </c>
      <c r="L25" s="119">
        <v>0</v>
      </c>
      <c r="M25" s="101"/>
      <c r="N25" s="101"/>
      <c r="O25" s="96" t="s">
        <v>379</v>
      </c>
      <c r="P25" s="97" t="s">
        <v>379</v>
      </c>
      <c r="Q25" s="97" t="s">
        <v>379</v>
      </c>
      <c r="R25" s="97" t="s">
        <v>379</v>
      </c>
      <c r="S25" s="95" t="s">
        <v>379</v>
      </c>
      <c r="T25" s="74"/>
      <c r="U25" s="74"/>
      <c r="V25" s="74"/>
      <c r="W25" s="74"/>
      <c r="X25" s="74"/>
      <c r="Y25" s="74"/>
      <c r="Z25" s="74"/>
      <c r="AA25" s="74"/>
      <c r="AC25" s="74"/>
      <c r="AD25" s="74"/>
      <c r="AE25" s="74"/>
      <c r="AF25" s="74"/>
      <c r="AG25" s="74"/>
      <c r="AH25" s="74"/>
      <c r="AL25" s="230"/>
      <c r="AM25" s="230"/>
    </row>
    <row r="26" spans="1:39" x14ac:dyDescent="0.2">
      <c r="A26" s="84" t="s">
        <v>422</v>
      </c>
      <c r="B26" s="84">
        <v>2</v>
      </c>
      <c r="C26" s="84">
        <v>7</v>
      </c>
      <c r="D26" s="84" t="s">
        <v>39</v>
      </c>
      <c r="E26" s="84" t="s">
        <v>136</v>
      </c>
      <c r="F26" s="84" t="s">
        <v>137</v>
      </c>
      <c r="G26" s="101">
        <v>42.765700000000002</v>
      </c>
      <c r="H26" s="101">
        <v>42.76</v>
      </c>
      <c r="I26" s="121">
        <v>19.38</v>
      </c>
      <c r="J26" s="101">
        <v>10.65</v>
      </c>
      <c r="K26" s="102">
        <v>8.73</v>
      </c>
      <c r="L26" s="119">
        <v>0</v>
      </c>
      <c r="M26" s="101"/>
      <c r="N26" s="101"/>
      <c r="O26" s="96" t="s">
        <v>379</v>
      </c>
      <c r="P26" s="97" t="s">
        <v>379</v>
      </c>
      <c r="Q26" s="97" t="s">
        <v>379</v>
      </c>
      <c r="R26" s="97" t="s">
        <v>379</v>
      </c>
      <c r="S26" s="95" t="s">
        <v>379</v>
      </c>
      <c r="T26" s="74"/>
      <c r="U26" s="74"/>
      <c r="V26" s="74"/>
      <c r="W26" s="74"/>
      <c r="X26" s="74"/>
      <c r="Y26" s="74"/>
      <c r="Z26" s="74"/>
      <c r="AA26" s="74"/>
      <c r="AC26" s="74"/>
      <c r="AD26" s="74"/>
      <c r="AE26" s="74"/>
      <c r="AF26" s="74"/>
      <c r="AG26" s="74"/>
      <c r="AH26" s="74"/>
      <c r="AL26" s="230"/>
      <c r="AM26" s="230"/>
    </row>
    <row r="27" spans="1:39" x14ac:dyDescent="0.2">
      <c r="A27" s="84" t="s">
        <v>423</v>
      </c>
      <c r="B27" s="84">
        <v>3</v>
      </c>
      <c r="C27" s="84">
        <v>7</v>
      </c>
      <c r="D27" s="84" t="s">
        <v>39</v>
      </c>
      <c r="E27" s="84" t="s">
        <v>138</v>
      </c>
      <c r="F27" s="84" t="s">
        <v>139</v>
      </c>
      <c r="G27" s="101">
        <v>11.802899999999999</v>
      </c>
      <c r="H27" s="101">
        <v>11.8</v>
      </c>
      <c r="I27" s="121">
        <v>2.58</v>
      </c>
      <c r="J27" s="101">
        <v>1.23</v>
      </c>
      <c r="K27" s="102">
        <v>1.35</v>
      </c>
      <c r="L27" s="119">
        <v>0</v>
      </c>
      <c r="M27" s="101"/>
      <c r="N27" s="101"/>
      <c r="O27" s="96" t="s">
        <v>379</v>
      </c>
      <c r="P27" s="97" t="s">
        <v>379</v>
      </c>
      <c r="Q27" s="97" t="s">
        <v>379</v>
      </c>
      <c r="R27" s="97" t="s">
        <v>379</v>
      </c>
      <c r="S27" s="95" t="s">
        <v>379</v>
      </c>
      <c r="T27" s="74"/>
      <c r="U27" s="74"/>
      <c r="V27" s="74"/>
      <c r="W27" s="74"/>
      <c r="X27" s="74"/>
      <c r="Y27" s="74"/>
      <c r="Z27" s="74"/>
      <c r="AA27" s="74"/>
      <c r="AC27" s="74"/>
      <c r="AD27" s="74"/>
      <c r="AE27" s="74"/>
      <c r="AF27" s="74"/>
      <c r="AG27" s="74"/>
      <c r="AH27" s="74"/>
      <c r="AL27" s="230"/>
      <c r="AM27" s="230"/>
    </row>
    <row r="28" spans="1:39" x14ac:dyDescent="0.2">
      <c r="A28" s="84" t="s">
        <v>424</v>
      </c>
      <c r="B28" s="84">
        <v>4</v>
      </c>
      <c r="C28" s="84">
        <v>7</v>
      </c>
      <c r="D28" s="84" t="s">
        <v>39</v>
      </c>
      <c r="E28" s="84" t="s">
        <v>140</v>
      </c>
      <c r="F28" s="84" t="s">
        <v>141</v>
      </c>
      <c r="G28" s="101">
        <v>99.245099999999994</v>
      </c>
      <c r="H28" s="101">
        <v>99.24</v>
      </c>
      <c r="I28" s="121">
        <v>15.91</v>
      </c>
      <c r="J28" s="101">
        <v>6.54</v>
      </c>
      <c r="K28" s="102">
        <v>9.3699999999999992</v>
      </c>
      <c r="L28" s="119">
        <v>0</v>
      </c>
      <c r="M28" s="101"/>
      <c r="N28" s="101"/>
      <c r="O28" s="96" t="s">
        <v>379</v>
      </c>
      <c r="P28" s="97" t="s">
        <v>379</v>
      </c>
      <c r="Q28" s="236" t="s">
        <v>388</v>
      </c>
      <c r="R28" s="97" t="s">
        <v>379</v>
      </c>
      <c r="S28" s="95" t="s">
        <v>379</v>
      </c>
      <c r="T28" s="74"/>
      <c r="U28" s="74"/>
      <c r="V28" s="74"/>
      <c r="W28" s="74"/>
      <c r="X28" s="74"/>
      <c r="Y28" s="74"/>
      <c r="Z28" s="74"/>
      <c r="AA28" s="74"/>
      <c r="AC28" s="74"/>
      <c r="AD28" s="74"/>
      <c r="AE28" s="74"/>
      <c r="AF28" s="74"/>
      <c r="AG28" s="74"/>
      <c r="AH28" s="74"/>
      <c r="AL28" s="230"/>
      <c r="AM28" s="230"/>
    </row>
    <row r="29" spans="1:39" x14ac:dyDescent="0.2">
      <c r="A29" s="84" t="s">
        <v>446</v>
      </c>
      <c r="B29" s="84">
        <v>1</v>
      </c>
      <c r="C29" s="84">
        <v>12</v>
      </c>
      <c r="D29" s="84" t="s">
        <v>44</v>
      </c>
      <c r="E29" s="84" t="s">
        <v>185</v>
      </c>
      <c r="F29" s="84" t="s">
        <v>186</v>
      </c>
      <c r="G29" s="101">
        <v>58.49</v>
      </c>
      <c r="H29" s="101">
        <v>58.48</v>
      </c>
      <c r="I29" s="121">
        <v>27.62</v>
      </c>
      <c r="J29" s="101">
        <v>10.65</v>
      </c>
      <c r="K29" s="102">
        <v>16.97</v>
      </c>
      <c r="L29" s="119">
        <v>0.39664399999999977</v>
      </c>
      <c r="M29" s="101"/>
      <c r="N29" s="101"/>
      <c r="O29" s="96" t="s">
        <v>379</v>
      </c>
      <c r="P29" s="97" t="s">
        <v>379</v>
      </c>
      <c r="Q29" s="236" t="s">
        <v>394</v>
      </c>
      <c r="R29" s="97" t="s">
        <v>379</v>
      </c>
      <c r="S29" s="95" t="s">
        <v>379</v>
      </c>
      <c r="T29" s="74"/>
      <c r="U29" s="74"/>
      <c r="V29" s="74"/>
      <c r="W29" s="74"/>
      <c r="X29" s="74"/>
      <c r="Y29" s="74"/>
      <c r="Z29" s="74"/>
      <c r="AA29" s="74"/>
      <c r="AC29" s="74"/>
      <c r="AD29" s="74"/>
      <c r="AE29" s="74"/>
      <c r="AF29" s="74"/>
      <c r="AG29" s="74"/>
      <c r="AH29" s="74"/>
      <c r="AL29" s="230"/>
      <c r="AM29" s="230"/>
    </row>
    <row r="30" spans="1:39" x14ac:dyDescent="0.2">
      <c r="A30" s="84" t="s">
        <v>447</v>
      </c>
      <c r="B30" s="84">
        <v>2</v>
      </c>
      <c r="C30" s="84">
        <v>12</v>
      </c>
      <c r="D30" s="84" t="s">
        <v>44</v>
      </c>
      <c r="E30" s="84" t="s">
        <v>187</v>
      </c>
      <c r="F30" s="84" t="s">
        <v>188</v>
      </c>
      <c r="G30" s="101">
        <v>94.579099999999997</v>
      </c>
      <c r="H30" s="101">
        <v>94.57</v>
      </c>
      <c r="I30" s="121">
        <v>42.8</v>
      </c>
      <c r="J30" s="101">
        <v>18.34</v>
      </c>
      <c r="K30" s="102">
        <v>24.46</v>
      </c>
      <c r="L30" s="119">
        <v>1.2293379999999998</v>
      </c>
      <c r="M30" s="101"/>
      <c r="N30" s="101"/>
      <c r="O30" s="96" t="s">
        <v>379</v>
      </c>
      <c r="P30" s="97" t="s">
        <v>379</v>
      </c>
      <c r="Q30" s="236" t="s">
        <v>394</v>
      </c>
      <c r="R30" s="97" t="s">
        <v>380</v>
      </c>
      <c r="S30" s="95" t="s">
        <v>379</v>
      </c>
      <c r="T30" s="74"/>
      <c r="U30" s="74"/>
      <c r="V30" s="74"/>
      <c r="W30" s="74"/>
      <c r="X30" s="74"/>
      <c r="Y30" s="74"/>
      <c r="Z30" s="74"/>
      <c r="AA30" s="74"/>
      <c r="AC30" s="74"/>
      <c r="AD30" s="74"/>
      <c r="AE30" s="74"/>
      <c r="AF30" s="74"/>
      <c r="AG30" s="74"/>
      <c r="AH30" s="74"/>
      <c r="AL30" s="230"/>
      <c r="AM30" s="230"/>
    </row>
    <row r="31" spans="1:39" x14ac:dyDescent="0.2">
      <c r="A31" s="84" t="s">
        <v>448</v>
      </c>
      <c r="B31" s="84">
        <v>3</v>
      </c>
      <c r="C31" s="84">
        <v>12</v>
      </c>
      <c r="D31" s="84" t="s">
        <v>44</v>
      </c>
      <c r="E31" s="84" t="s">
        <v>189</v>
      </c>
      <c r="F31" s="84" t="s">
        <v>190</v>
      </c>
      <c r="G31" s="101">
        <v>29.4236</v>
      </c>
      <c r="H31" s="101">
        <v>29.42</v>
      </c>
      <c r="I31" s="121">
        <v>15.74</v>
      </c>
      <c r="J31" s="101">
        <v>7.01</v>
      </c>
      <c r="K31" s="102">
        <v>8.73</v>
      </c>
      <c r="L31" s="119">
        <v>0.28553200000000001</v>
      </c>
      <c r="M31" s="101"/>
      <c r="N31" s="101"/>
      <c r="O31" s="96" t="s">
        <v>379</v>
      </c>
      <c r="P31" s="97" t="s">
        <v>379</v>
      </c>
      <c r="Q31" s="236" t="s">
        <v>394</v>
      </c>
      <c r="R31" s="97" t="s">
        <v>380</v>
      </c>
      <c r="S31" s="95" t="s">
        <v>379</v>
      </c>
      <c r="T31" s="74"/>
      <c r="U31" s="74"/>
      <c r="V31" s="74"/>
      <c r="W31" s="74"/>
      <c r="X31" s="74"/>
      <c r="Y31" s="74"/>
      <c r="Z31" s="74"/>
      <c r="AA31" s="74"/>
      <c r="AC31" s="74"/>
      <c r="AD31" s="74"/>
      <c r="AE31" s="74"/>
      <c r="AF31" s="74"/>
      <c r="AG31" s="74"/>
      <c r="AH31" s="74"/>
      <c r="AL31" s="230"/>
      <c r="AM31" s="230"/>
    </row>
    <row r="32" spans="1:39" x14ac:dyDescent="0.2">
      <c r="A32" s="84" t="s">
        <v>449</v>
      </c>
      <c r="B32" s="84">
        <v>4</v>
      </c>
      <c r="C32" s="84">
        <v>12</v>
      </c>
      <c r="D32" s="84" t="s">
        <v>44</v>
      </c>
      <c r="E32" s="84" t="s">
        <v>191</v>
      </c>
      <c r="F32" s="84" t="s">
        <v>192</v>
      </c>
      <c r="G32" s="101">
        <v>60.689900000000002</v>
      </c>
      <c r="H32" s="101">
        <v>60.68</v>
      </c>
      <c r="I32" s="121">
        <v>29.62</v>
      </c>
      <c r="J32" s="101">
        <v>16.079999999999998</v>
      </c>
      <c r="K32" s="102">
        <v>13.54</v>
      </c>
      <c r="L32" s="119">
        <v>0.12403200000000003</v>
      </c>
      <c r="M32" s="101"/>
      <c r="N32" s="101"/>
      <c r="O32" s="96" t="s">
        <v>379</v>
      </c>
      <c r="P32" s="97" t="s">
        <v>379</v>
      </c>
      <c r="Q32" s="236" t="s">
        <v>394</v>
      </c>
      <c r="R32" s="97" t="s">
        <v>380</v>
      </c>
      <c r="S32" s="95" t="s">
        <v>379</v>
      </c>
      <c r="T32" s="74"/>
      <c r="U32" s="74"/>
      <c r="V32" s="74"/>
      <c r="W32" s="74"/>
      <c r="X32" s="74"/>
      <c r="Y32" s="74"/>
      <c r="Z32" s="74"/>
      <c r="AA32" s="74"/>
      <c r="AC32" s="74"/>
      <c r="AD32" s="74"/>
      <c r="AE32" s="74"/>
      <c r="AF32" s="74"/>
      <c r="AG32" s="74"/>
      <c r="AH32" s="74"/>
      <c r="AL32" s="230"/>
      <c r="AM32" s="230"/>
    </row>
    <row r="33" spans="1:39" x14ac:dyDescent="0.2">
      <c r="A33" s="84" t="s">
        <v>450</v>
      </c>
      <c r="B33" s="84">
        <v>5</v>
      </c>
      <c r="C33" s="84">
        <v>12</v>
      </c>
      <c r="D33" s="84" t="s">
        <v>44</v>
      </c>
      <c r="E33" s="84" t="s">
        <v>193</v>
      </c>
      <c r="F33" s="84" t="s">
        <v>194</v>
      </c>
      <c r="G33" s="101">
        <v>82.478999999999999</v>
      </c>
      <c r="H33" s="101">
        <v>82.47</v>
      </c>
      <c r="I33" s="121">
        <v>38.479999999999997</v>
      </c>
      <c r="J33" s="101">
        <v>18.260000000000002</v>
      </c>
      <c r="K33" s="102">
        <v>20.22</v>
      </c>
      <c r="L33" s="119">
        <v>0.7810140000000001</v>
      </c>
      <c r="M33" s="101"/>
      <c r="N33" s="101"/>
      <c r="O33" s="96" t="s">
        <v>379</v>
      </c>
      <c r="P33" s="97" t="s">
        <v>379</v>
      </c>
      <c r="Q33" s="236" t="s">
        <v>394</v>
      </c>
      <c r="R33" s="97" t="s">
        <v>380</v>
      </c>
      <c r="S33" s="95" t="s">
        <v>379</v>
      </c>
      <c r="T33" s="74"/>
      <c r="U33" s="74"/>
      <c r="V33" s="74"/>
      <c r="W33" s="74"/>
      <c r="X33" s="74"/>
      <c r="Y33" s="74"/>
      <c r="Z33" s="74"/>
      <c r="AA33" s="74"/>
      <c r="AC33" s="74"/>
      <c r="AD33" s="74"/>
      <c r="AE33" s="74"/>
      <c r="AF33" s="74"/>
      <c r="AG33" s="74"/>
      <c r="AH33" s="74"/>
      <c r="AL33" s="230"/>
      <c r="AM33" s="230"/>
    </row>
    <row r="34" spans="1:39" x14ac:dyDescent="0.2">
      <c r="A34" s="84" t="s">
        <v>451</v>
      </c>
      <c r="B34" s="84">
        <v>6</v>
      </c>
      <c r="C34" s="84">
        <v>12</v>
      </c>
      <c r="D34" s="84" t="s">
        <v>44</v>
      </c>
      <c r="E34" s="84" t="s">
        <v>195</v>
      </c>
      <c r="F34" s="84" t="s">
        <v>196</v>
      </c>
      <c r="G34" s="101">
        <v>50.5</v>
      </c>
      <c r="H34" s="101">
        <v>50.5</v>
      </c>
      <c r="I34" s="121" t="s">
        <v>402</v>
      </c>
      <c r="J34" s="101" t="s">
        <v>402</v>
      </c>
      <c r="K34" s="102">
        <v>1E-4</v>
      </c>
      <c r="L34" s="119">
        <v>7.7519999999999998E-4</v>
      </c>
      <c r="M34" s="101"/>
      <c r="N34" s="101"/>
      <c r="O34" s="96" t="s">
        <v>379</v>
      </c>
      <c r="P34" s="97" t="s">
        <v>379</v>
      </c>
      <c r="Q34" s="236" t="s">
        <v>388</v>
      </c>
      <c r="R34" s="97" t="s">
        <v>379</v>
      </c>
      <c r="S34" s="95" t="s">
        <v>379</v>
      </c>
      <c r="T34" s="74"/>
      <c r="U34" s="74"/>
      <c r="V34" s="74"/>
      <c r="W34" s="74"/>
      <c r="X34" s="74"/>
      <c r="Y34" s="74"/>
      <c r="Z34" s="74"/>
      <c r="AA34" s="74"/>
      <c r="AC34" s="74"/>
      <c r="AD34" s="74"/>
      <c r="AE34" s="74"/>
      <c r="AF34" s="74"/>
      <c r="AG34" s="74"/>
      <c r="AH34" s="74"/>
      <c r="AL34" s="230"/>
      <c r="AM34" s="230"/>
    </row>
    <row r="35" spans="1:39" x14ac:dyDescent="0.2">
      <c r="A35" s="84" t="s">
        <v>452</v>
      </c>
      <c r="B35" s="84">
        <v>7</v>
      </c>
      <c r="C35" s="84">
        <v>12</v>
      </c>
      <c r="D35" s="84" t="s">
        <v>44</v>
      </c>
      <c r="E35" s="84" t="s">
        <v>197</v>
      </c>
      <c r="F35" s="84" t="s">
        <v>198</v>
      </c>
      <c r="G35" s="101">
        <v>93.4</v>
      </c>
      <c r="H35" s="101">
        <v>93.4</v>
      </c>
      <c r="I35" s="121" t="s">
        <v>402</v>
      </c>
      <c r="J35" s="101" t="s">
        <v>402</v>
      </c>
      <c r="K35" s="102">
        <v>1E-4</v>
      </c>
      <c r="L35" s="119">
        <v>0</v>
      </c>
      <c r="M35" s="101"/>
      <c r="N35" s="101"/>
      <c r="O35" s="96" t="s">
        <v>379</v>
      </c>
      <c r="P35" s="97" t="s">
        <v>379</v>
      </c>
      <c r="Q35" s="236" t="s">
        <v>388</v>
      </c>
      <c r="R35" s="97" t="s">
        <v>379</v>
      </c>
      <c r="S35" s="95" t="s">
        <v>379</v>
      </c>
      <c r="T35" s="74"/>
      <c r="U35" s="74"/>
      <c r="V35" s="74"/>
      <c r="W35" s="74"/>
      <c r="X35" s="74"/>
      <c r="Y35" s="74"/>
      <c r="Z35" s="74"/>
      <c r="AA35" s="74"/>
      <c r="AC35" s="74"/>
      <c r="AD35" s="74"/>
      <c r="AE35" s="74"/>
      <c r="AF35" s="74"/>
      <c r="AG35" s="74"/>
      <c r="AH35" s="74"/>
      <c r="AL35" s="230"/>
      <c r="AM35" s="230"/>
    </row>
    <row r="36" spans="1:39" x14ac:dyDescent="0.2">
      <c r="A36" s="84" t="s">
        <v>453</v>
      </c>
      <c r="B36" s="84">
        <v>8</v>
      </c>
      <c r="C36" s="84">
        <v>12</v>
      </c>
      <c r="D36" s="84" t="s">
        <v>44</v>
      </c>
      <c r="E36" s="84" t="s">
        <v>199</v>
      </c>
      <c r="F36" s="84" t="s">
        <v>200</v>
      </c>
      <c r="G36" s="101">
        <v>64.7</v>
      </c>
      <c r="H36" s="101">
        <v>64.7</v>
      </c>
      <c r="I36" s="121" t="s">
        <v>402</v>
      </c>
      <c r="J36" s="101" t="s">
        <v>402</v>
      </c>
      <c r="K36" s="102">
        <v>1E-4</v>
      </c>
      <c r="L36" s="119">
        <v>0</v>
      </c>
      <c r="M36" s="101"/>
      <c r="N36" s="101"/>
      <c r="O36" s="96" t="s">
        <v>379</v>
      </c>
      <c r="P36" s="97" t="s">
        <v>379</v>
      </c>
      <c r="Q36" s="236" t="s">
        <v>388</v>
      </c>
      <c r="R36" s="97" t="s">
        <v>379</v>
      </c>
      <c r="S36" s="95" t="s">
        <v>379</v>
      </c>
      <c r="T36" s="74"/>
      <c r="U36" s="74"/>
      <c r="V36" s="74"/>
      <c r="W36" s="74"/>
      <c r="X36" s="74"/>
      <c r="Y36" s="74"/>
      <c r="Z36" s="74"/>
      <c r="AA36" s="74"/>
      <c r="AC36" s="74"/>
      <c r="AD36" s="74"/>
      <c r="AE36" s="74"/>
      <c r="AF36" s="74"/>
      <c r="AG36" s="74"/>
      <c r="AH36" s="74"/>
      <c r="AL36" s="230"/>
      <c r="AM36" s="230"/>
    </row>
    <row r="37" spans="1:39" x14ac:dyDescent="0.2">
      <c r="A37" s="84" t="s">
        <v>425</v>
      </c>
      <c r="B37" s="84">
        <v>1</v>
      </c>
      <c r="C37" s="84">
        <v>8</v>
      </c>
      <c r="D37" s="84" t="s">
        <v>40</v>
      </c>
      <c r="E37" s="84" t="s">
        <v>142</v>
      </c>
      <c r="F37" s="84" t="s">
        <v>143</v>
      </c>
      <c r="G37" s="101">
        <v>70.912599999999998</v>
      </c>
      <c r="H37" s="101">
        <v>70.91</v>
      </c>
      <c r="I37" s="121">
        <v>24.059100000000001</v>
      </c>
      <c r="J37" s="101">
        <v>8.3237000000000005</v>
      </c>
      <c r="K37" s="102">
        <v>15.735300000000001</v>
      </c>
      <c r="L37" s="119">
        <v>0</v>
      </c>
      <c r="M37" s="101"/>
      <c r="N37" s="101"/>
      <c r="O37" s="96" t="s">
        <v>394</v>
      </c>
      <c r="P37" s="97" t="s">
        <v>379</v>
      </c>
      <c r="Q37" s="97" t="s">
        <v>379</v>
      </c>
      <c r="R37" s="97" t="s">
        <v>380</v>
      </c>
      <c r="S37" s="95" t="s">
        <v>379</v>
      </c>
      <c r="T37" s="74"/>
      <c r="U37" s="74"/>
      <c r="V37" s="74"/>
      <c r="W37" s="74"/>
      <c r="X37" s="74"/>
      <c r="Y37" s="74"/>
      <c r="Z37" s="74"/>
      <c r="AA37" s="74"/>
      <c r="AC37" s="74"/>
      <c r="AD37" s="74"/>
      <c r="AE37" s="74"/>
      <c r="AF37" s="74"/>
      <c r="AG37" s="74"/>
      <c r="AH37" s="74"/>
      <c r="AL37" s="230"/>
      <c r="AM37" s="230"/>
    </row>
    <row r="38" spans="1:39" x14ac:dyDescent="0.2">
      <c r="A38" s="84" t="s">
        <v>426</v>
      </c>
      <c r="B38" s="84">
        <v>2</v>
      </c>
      <c r="C38" s="84">
        <v>8</v>
      </c>
      <c r="D38" s="84" t="s">
        <v>40</v>
      </c>
      <c r="E38" s="84" t="s">
        <v>144</v>
      </c>
      <c r="F38" s="84" t="s">
        <v>145</v>
      </c>
      <c r="G38" s="101">
        <v>110.8892</v>
      </c>
      <c r="H38" s="101">
        <v>181.79</v>
      </c>
      <c r="I38" s="121">
        <v>26.389199999999999</v>
      </c>
      <c r="J38" s="101">
        <v>8.2558000000000007</v>
      </c>
      <c r="K38" s="102">
        <v>18.133299999999998</v>
      </c>
      <c r="L38" s="119">
        <v>0</v>
      </c>
      <c r="M38" s="101"/>
      <c r="N38" s="101"/>
      <c r="O38" s="96" t="s">
        <v>388</v>
      </c>
      <c r="P38" s="97" t="s">
        <v>379</v>
      </c>
      <c r="Q38" s="97" t="s">
        <v>379</v>
      </c>
      <c r="R38" s="97" t="s">
        <v>380</v>
      </c>
      <c r="S38" s="95" t="s">
        <v>380</v>
      </c>
      <c r="T38" s="74"/>
      <c r="U38" s="74"/>
      <c r="V38" s="74"/>
      <c r="W38" s="74"/>
      <c r="X38" s="74"/>
      <c r="Y38" s="74"/>
      <c r="Z38" s="74"/>
      <c r="AA38" s="74"/>
      <c r="AC38" s="74"/>
      <c r="AD38" s="74"/>
      <c r="AE38" s="74"/>
      <c r="AF38" s="74"/>
      <c r="AG38" s="74"/>
      <c r="AH38" s="74"/>
      <c r="AL38" s="230"/>
      <c r="AM38" s="230"/>
    </row>
    <row r="39" spans="1:39" x14ac:dyDescent="0.2">
      <c r="A39" s="84" t="s">
        <v>427</v>
      </c>
      <c r="B39" s="84">
        <v>3</v>
      </c>
      <c r="C39" s="84">
        <v>8</v>
      </c>
      <c r="D39" s="84" t="s">
        <v>40</v>
      </c>
      <c r="E39" s="84" t="s">
        <v>146</v>
      </c>
      <c r="F39" s="84" t="s">
        <v>147</v>
      </c>
      <c r="G39" s="101">
        <v>55.693899999999999</v>
      </c>
      <c r="H39" s="101">
        <v>55.69</v>
      </c>
      <c r="I39" s="121">
        <v>3.39</v>
      </c>
      <c r="J39" s="101">
        <v>0.26</v>
      </c>
      <c r="K39" s="102">
        <v>3.13</v>
      </c>
      <c r="L39" s="119">
        <v>0</v>
      </c>
      <c r="M39" s="101"/>
      <c r="N39" s="101"/>
      <c r="O39" s="96" t="s">
        <v>379</v>
      </c>
      <c r="P39" s="97" t="s">
        <v>379</v>
      </c>
      <c r="Q39" s="97" t="s">
        <v>379</v>
      </c>
      <c r="R39" s="97" t="s">
        <v>380</v>
      </c>
      <c r="S39" s="95" t="s">
        <v>380</v>
      </c>
      <c r="T39" s="74"/>
      <c r="U39" s="74"/>
      <c r="V39" s="74"/>
      <c r="W39" s="74"/>
      <c r="X39" s="74"/>
      <c r="Y39" s="74"/>
      <c r="Z39" s="74"/>
      <c r="AA39" s="74"/>
      <c r="AC39" s="74"/>
      <c r="AD39" s="74"/>
      <c r="AE39" s="74"/>
      <c r="AF39" s="74"/>
      <c r="AG39" s="74"/>
      <c r="AH39" s="74"/>
      <c r="AL39" s="230"/>
      <c r="AM39" s="230"/>
    </row>
    <row r="40" spans="1:39" x14ac:dyDescent="0.2">
      <c r="A40" s="84" t="s">
        <v>428</v>
      </c>
      <c r="B40" s="84">
        <v>4</v>
      </c>
      <c r="C40" s="84">
        <v>8</v>
      </c>
      <c r="D40" s="84" t="s">
        <v>40</v>
      </c>
      <c r="E40" s="84" t="s">
        <v>148</v>
      </c>
      <c r="F40" s="84" t="s">
        <v>149</v>
      </c>
      <c r="G40" s="101">
        <v>41.811</v>
      </c>
      <c r="H40" s="101">
        <v>279.29000000000002</v>
      </c>
      <c r="I40" s="121">
        <v>7.9562999999999997</v>
      </c>
      <c r="J40" s="101">
        <v>1.8448</v>
      </c>
      <c r="K40" s="102">
        <v>6.1113999999999997</v>
      </c>
      <c r="L40" s="119">
        <v>0</v>
      </c>
      <c r="M40" s="101"/>
      <c r="N40" s="101"/>
      <c r="O40" s="96" t="s">
        <v>388</v>
      </c>
      <c r="P40" s="97" t="s">
        <v>379</v>
      </c>
      <c r="Q40" s="97" t="s">
        <v>379</v>
      </c>
      <c r="R40" s="97" t="s">
        <v>380</v>
      </c>
      <c r="S40" s="95" t="s">
        <v>380</v>
      </c>
      <c r="T40" s="74"/>
      <c r="U40" s="74"/>
      <c r="V40" s="74"/>
      <c r="W40" s="74"/>
      <c r="X40" s="74"/>
      <c r="Y40" s="74"/>
      <c r="Z40" s="74"/>
      <c r="AA40" s="74"/>
      <c r="AC40" s="74"/>
      <c r="AD40" s="74"/>
      <c r="AE40" s="74"/>
      <c r="AF40" s="74"/>
      <c r="AG40" s="74"/>
      <c r="AH40" s="74"/>
      <c r="AL40" s="230"/>
      <c r="AM40" s="230"/>
    </row>
    <row r="41" spans="1:39" x14ac:dyDescent="0.2">
      <c r="A41" s="84" t="s">
        <v>429</v>
      </c>
      <c r="B41" s="84">
        <v>5</v>
      </c>
      <c r="C41" s="84">
        <v>8</v>
      </c>
      <c r="D41" s="84" t="s">
        <v>40</v>
      </c>
      <c r="E41" s="84" t="s">
        <v>150</v>
      </c>
      <c r="F41" s="84" t="s">
        <v>151</v>
      </c>
      <c r="G41" s="101">
        <v>99.247399999999999</v>
      </c>
      <c r="H41" s="101">
        <v>99.24</v>
      </c>
      <c r="I41" s="121">
        <v>32.717100000000002</v>
      </c>
      <c r="J41" s="101">
        <v>9.5219000000000005</v>
      </c>
      <c r="K41" s="102">
        <v>23.1951</v>
      </c>
      <c r="L41" s="119">
        <v>0</v>
      </c>
      <c r="M41" s="101"/>
      <c r="N41" s="101"/>
      <c r="O41" s="96" t="s">
        <v>388</v>
      </c>
      <c r="P41" s="97" t="s">
        <v>379</v>
      </c>
      <c r="Q41" s="97" t="s">
        <v>379</v>
      </c>
      <c r="R41" s="97" t="s">
        <v>380</v>
      </c>
      <c r="S41" s="95" t="s">
        <v>380</v>
      </c>
      <c r="T41" s="74"/>
      <c r="U41" s="74"/>
      <c r="V41" s="74"/>
      <c r="W41" s="74"/>
      <c r="X41" s="74"/>
      <c r="Y41" s="74"/>
      <c r="Z41" s="74"/>
      <c r="AA41" s="74"/>
      <c r="AC41" s="74"/>
      <c r="AD41" s="74"/>
      <c r="AE41" s="74"/>
      <c r="AF41" s="74"/>
      <c r="AG41" s="74"/>
      <c r="AH41" s="74"/>
      <c r="AL41" s="230"/>
      <c r="AM41" s="230"/>
    </row>
    <row r="42" spans="1:39" x14ac:dyDescent="0.2">
      <c r="A42" s="84" t="s">
        <v>430</v>
      </c>
      <c r="B42" s="84">
        <v>6</v>
      </c>
      <c r="C42" s="84">
        <v>8</v>
      </c>
      <c r="D42" s="84" t="s">
        <v>40</v>
      </c>
      <c r="E42" s="84" t="s">
        <v>152</v>
      </c>
      <c r="F42" s="84" t="s">
        <v>153</v>
      </c>
      <c r="G42" s="101">
        <v>63.924900000000001</v>
      </c>
      <c r="H42" s="101">
        <v>63.92</v>
      </c>
      <c r="I42" s="121">
        <v>19.636600000000001</v>
      </c>
      <c r="J42" s="101">
        <v>5.3917999999999999</v>
      </c>
      <c r="K42" s="102">
        <v>14.2448</v>
      </c>
      <c r="L42" s="119">
        <v>0</v>
      </c>
      <c r="M42" s="101"/>
      <c r="N42" s="101"/>
      <c r="O42" s="96" t="s">
        <v>394</v>
      </c>
      <c r="P42" s="97" t="s">
        <v>379</v>
      </c>
      <c r="Q42" s="97" t="s">
        <v>379</v>
      </c>
      <c r="R42" s="97" t="s">
        <v>380</v>
      </c>
      <c r="S42" s="95" t="s">
        <v>380</v>
      </c>
      <c r="T42" s="74"/>
      <c r="U42" s="74"/>
      <c r="V42" s="74"/>
      <c r="W42" s="74"/>
      <c r="X42" s="74"/>
      <c r="Y42" s="74"/>
      <c r="Z42" s="74"/>
      <c r="AA42" s="74"/>
      <c r="AC42" s="74"/>
      <c r="AD42" s="74"/>
      <c r="AE42" s="74"/>
      <c r="AF42" s="74"/>
      <c r="AG42" s="74"/>
      <c r="AH42" s="74"/>
      <c r="AL42" s="230"/>
      <c r="AM42" s="230"/>
    </row>
    <row r="43" spans="1:39" x14ac:dyDescent="0.2">
      <c r="A43" s="84" t="s">
        <v>431</v>
      </c>
      <c r="B43" s="84">
        <v>7</v>
      </c>
      <c r="C43" s="84">
        <v>8</v>
      </c>
      <c r="D43" s="84" t="s">
        <v>40</v>
      </c>
      <c r="E43" s="84" t="s">
        <v>154</v>
      </c>
      <c r="F43" s="84" t="s">
        <v>155</v>
      </c>
      <c r="G43" s="101">
        <v>25.534600000000001</v>
      </c>
      <c r="H43" s="101">
        <v>188.69</v>
      </c>
      <c r="I43" s="121">
        <v>2.11</v>
      </c>
      <c r="J43" s="101">
        <v>0.34</v>
      </c>
      <c r="K43" s="102">
        <v>1.77</v>
      </c>
      <c r="L43" s="119">
        <v>0</v>
      </c>
      <c r="M43" s="101"/>
      <c r="N43" s="101"/>
      <c r="O43" s="96" t="s">
        <v>388</v>
      </c>
      <c r="P43" s="97" t="s">
        <v>379</v>
      </c>
      <c r="Q43" s="97" t="s">
        <v>379</v>
      </c>
      <c r="R43" s="97" t="s">
        <v>380</v>
      </c>
      <c r="S43" s="95" t="s">
        <v>380</v>
      </c>
      <c r="T43" s="74"/>
      <c r="U43" s="74"/>
      <c r="V43" s="74"/>
      <c r="W43" s="74"/>
      <c r="X43" s="74"/>
      <c r="Y43" s="74"/>
      <c r="Z43" s="74"/>
      <c r="AA43" s="74"/>
      <c r="AC43" s="74"/>
      <c r="AD43" s="74"/>
      <c r="AE43" s="74"/>
      <c r="AF43" s="74"/>
      <c r="AG43" s="74"/>
      <c r="AH43" s="74"/>
      <c r="AL43" s="230"/>
      <c r="AM43" s="230"/>
    </row>
    <row r="44" spans="1:39" x14ac:dyDescent="0.2">
      <c r="A44" s="84" t="s">
        <v>432</v>
      </c>
      <c r="B44" s="84">
        <v>1</v>
      </c>
      <c r="C44" s="84">
        <v>9</v>
      </c>
      <c r="D44" s="84" t="s">
        <v>156</v>
      </c>
      <c r="E44" s="84" t="s">
        <v>157</v>
      </c>
      <c r="F44" s="84" t="s">
        <v>158</v>
      </c>
      <c r="G44" s="101">
        <v>24.6448</v>
      </c>
      <c r="H44" s="101">
        <v>492.62</v>
      </c>
      <c r="I44" s="121">
        <v>1.3</v>
      </c>
      <c r="J44" s="101">
        <v>0.12</v>
      </c>
      <c r="K44" s="102">
        <v>1.18</v>
      </c>
      <c r="L44" s="119">
        <v>0</v>
      </c>
      <c r="M44" s="101"/>
      <c r="N44" s="101"/>
      <c r="O44" s="96" t="s">
        <v>379</v>
      </c>
      <c r="P44" s="97" t="s">
        <v>379</v>
      </c>
      <c r="Q44" s="97" t="s">
        <v>379</v>
      </c>
      <c r="R44" s="97" t="s">
        <v>380</v>
      </c>
      <c r="S44" s="95" t="s">
        <v>380</v>
      </c>
      <c r="T44" s="74"/>
      <c r="U44" s="74"/>
      <c r="V44" s="74"/>
      <c r="W44" s="74"/>
      <c r="X44" s="74"/>
      <c r="Y44" s="74"/>
      <c r="Z44" s="74"/>
      <c r="AA44" s="74"/>
      <c r="AC44" s="74"/>
      <c r="AD44" s="74"/>
      <c r="AE44" s="74"/>
      <c r="AF44" s="74"/>
      <c r="AG44" s="74"/>
      <c r="AH44" s="74"/>
      <c r="AL44" s="230"/>
      <c r="AM44" s="230"/>
    </row>
    <row r="45" spans="1:39" x14ac:dyDescent="0.2">
      <c r="A45" s="84" t="s">
        <v>438</v>
      </c>
      <c r="B45" s="84">
        <v>1</v>
      </c>
      <c r="C45" s="84">
        <v>10</v>
      </c>
      <c r="D45" s="84" t="s">
        <v>42</v>
      </c>
      <c r="E45" s="84" t="s">
        <v>169</v>
      </c>
      <c r="F45" s="84" t="s">
        <v>170</v>
      </c>
      <c r="G45" s="101">
        <v>55.335299999999997</v>
      </c>
      <c r="H45" s="101">
        <v>55.33</v>
      </c>
      <c r="I45" s="121">
        <v>3.37</v>
      </c>
      <c r="J45" s="101">
        <v>0.16</v>
      </c>
      <c r="K45" s="102">
        <v>3.21</v>
      </c>
      <c r="L45" s="119">
        <v>0</v>
      </c>
      <c r="M45" s="101"/>
      <c r="N45" s="101"/>
      <c r="O45" s="96" t="s">
        <v>379</v>
      </c>
      <c r="P45" s="97" t="s">
        <v>379</v>
      </c>
      <c r="Q45" s="97" t="s">
        <v>379</v>
      </c>
      <c r="R45" s="97" t="s">
        <v>380</v>
      </c>
      <c r="S45" s="95" t="s">
        <v>380</v>
      </c>
      <c r="T45" s="74"/>
      <c r="U45" s="74"/>
      <c r="V45" s="74"/>
      <c r="W45" s="74"/>
      <c r="X45" s="74"/>
      <c r="Y45" s="74"/>
      <c r="Z45" s="74"/>
      <c r="AA45" s="74"/>
      <c r="AC45" s="74"/>
      <c r="AD45" s="74"/>
      <c r="AE45" s="74"/>
      <c r="AF45" s="74"/>
      <c r="AG45" s="74"/>
      <c r="AH45" s="74"/>
      <c r="AL45" s="230"/>
      <c r="AM45" s="230"/>
    </row>
    <row r="46" spans="1:39" x14ac:dyDescent="0.2">
      <c r="A46" s="84" t="s">
        <v>439</v>
      </c>
      <c r="B46" s="84">
        <v>2</v>
      </c>
      <c r="C46" s="84">
        <v>10</v>
      </c>
      <c r="D46" s="84" t="s">
        <v>42</v>
      </c>
      <c r="E46" s="84" t="s">
        <v>171</v>
      </c>
      <c r="F46" s="84" t="s">
        <v>172</v>
      </c>
      <c r="G46" s="101">
        <v>98.783799999999999</v>
      </c>
      <c r="H46" s="101">
        <v>98.78</v>
      </c>
      <c r="I46" s="121">
        <v>18.62</v>
      </c>
      <c r="J46" s="101">
        <v>4.37</v>
      </c>
      <c r="K46" s="102">
        <v>14.25</v>
      </c>
      <c r="L46" s="119">
        <v>3.2067439999999996</v>
      </c>
      <c r="M46" s="101"/>
      <c r="N46" s="101"/>
      <c r="O46" s="96" t="s">
        <v>379</v>
      </c>
      <c r="P46" s="97" t="s">
        <v>379</v>
      </c>
      <c r="Q46" s="236" t="s">
        <v>388</v>
      </c>
      <c r="R46" s="97" t="s">
        <v>380</v>
      </c>
      <c r="S46" s="95" t="s">
        <v>380</v>
      </c>
      <c r="T46" s="74"/>
      <c r="U46" s="74"/>
      <c r="V46" s="74"/>
      <c r="W46" s="74"/>
      <c r="X46" s="74"/>
      <c r="Y46" s="74"/>
      <c r="Z46" s="74"/>
      <c r="AA46" s="74"/>
      <c r="AC46" s="74"/>
      <c r="AD46" s="74"/>
      <c r="AE46" s="74"/>
      <c r="AF46" s="74"/>
      <c r="AG46" s="74"/>
      <c r="AH46" s="74"/>
      <c r="AL46" s="230"/>
      <c r="AM46" s="230"/>
    </row>
    <row r="47" spans="1:39" x14ac:dyDescent="0.2">
      <c r="A47" s="84" t="s">
        <v>440</v>
      </c>
      <c r="B47" s="84">
        <v>3</v>
      </c>
      <c r="C47" s="84">
        <v>10</v>
      </c>
      <c r="D47" s="84" t="s">
        <v>42</v>
      </c>
      <c r="E47" s="84" t="s">
        <v>173</v>
      </c>
      <c r="F47" s="84" t="s">
        <v>174</v>
      </c>
      <c r="G47" s="101">
        <v>130.31899999999999</v>
      </c>
      <c r="H47" s="101">
        <v>284.42</v>
      </c>
      <c r="I47" s="121">
        <v>16.97</v>
      </c>
      <c r="J47" s="101">
        <v>4</v>
      </c>
      <c r="K47" s="102">
        <v>12.97</v>
      </c>
      <c r="L47" s="119">
        <v>0</v>
      </c>
      <c r="M47" s="101"/>
      <c r="N47" s="101"/>
      <c r="O47" s="96" t="s">
        <v>379</v>
      </c>
      <c r="P47" s="97" t="s">
        <v>379</v>
      </c>
      <c r="Q47" s="97" t="s">
        <v>379</v>
      </c>
      <c r="R47" s="97" t="s">
        <v>380</v>
      </c>
      <c r="S47" s="95" t="s">
        <v>380</v>
      </c>
      <c r="T47" s="74"/>
      <c r="U47" s="74"/>
      <c r="V47" s="74"/>
      <c r="W47" s="74"/>
      <c r="X47" s="74"/>
      <c r="Y47" s="74"/>
      <c r="Z47" s="74"/>
      <c r="AA47" s="74"/>
      <c r="AC47" s="74"/>
      <c r="AD47" s="74"/>
      <c r="AE47" s="74"/>
      <c r="AF47" s="74"/>
      <c r="AG47" s="74"/>
      <c r="AH47" s="74"/>
      <c r="AL47" s="230"/>
      <c r="AM47" s="230"/>
    </row>
    <row r="48" spans="1:39" x14ac:dyDescent="0.2">
      <c r="A48" s="84" t="s">
        <v>433</v>
      </c>
      <c r="B48" s="84">
        <v>2</v>
      </c>
      <c r="C48" s="84">
        <v>9</v>
      </c>
      <c r="D48" s="84" t="s">
        <v>156</v>
      </c>
      <c r="E48" s="84" t="s">
        <v>159</v>
      </c>
      <c r="F48" s="84" t="s">
        <v>160</v>
      </c>
      <c r="G48" s="101">
        <v>119.2732</v>
      </c>
      <c r="H48" s="101">
        <v>896.31</v>
      </c>
      <c r="I48" s="121">
        <v>18.61</v>
      </c>
      <c r="J48" s="101">
        <v>5.04</v>
      </c>
      <c r="K48" s="102">
        <v>13.57</v>
      </c>
      <c r="L48" s="119">
        <v>0</v>
      </c>
      <c r="M48" s="101"/>
      <c r="N48" s="101"/>
      <c r="O48" s="96" t="s">
        <v>388</v>
      </c>
      <c r="P48" s="97" t="s">
        <v>379</v>
      </c>
      <c r="Q48" s="236" t="s">
        <v>388</v>
      </c>
      <c r="R48" s="97" t="s">
        <v>380</v>
      </c>
      <c r="S48" s="95" t="s">
        <v>380</v>
      </c>
      <c r="T48" s="74"/>
      <c r="U48" s="74"/>
      <c r="V48" s="74"/>
      <c r="W48" s="74"/>
      <c r="X48" s="74"/>
      <c r="Y48" s="74"/>
      <c r="Z48" s="74"/>
      <c r="AA48" s="74"/>
      <c r="AC48" s="74"/>
      <c r="AD48" s="74"/>
      <c r="AE48" s="74"/>
      <c r="AF48" s="74"/>
      <c r="AG48" s="74"/>
      <c r="AH48" s="74"/>
      <c r="AL48" s="230"/>
      <c r="AM48" s="230"/>
    </row>
    <row r="49" spans="1:39" x14ac:dyDescent="0.2">
      <c r="A49" s="84" t="s">
        <v>434</v>
      </c>
      <c r="B49" s="84">
        <v>3</v>
      </c>
      <c r="C49" s="84">
        <v>9</v>
      </c>
      <c r="D49" s="84" t="s">
        <v>156</v>
      </c>
      <c r="E49" s="84" t="s">
        <v>161</v>
      </c>
      <c r="F49" s="84" t="s">
        <v>162</v>
      </c>
      <c r="G49" s="101">
        <v>46.179299999999998</v>
      </c>
      <c r="H49" s="101">
        <v>46.17</v>
      </c>
      <c r="I49" s="121">
        <v>7.4</v>
      </c>
      <c r="J49" s="101">
        <v>2.0699999999999998</v>
      </c>
      <c r="K49" s="102">
        <v>5.33</v>
      </c>
      <c r="L49" s="119">
        <v>1.0109900000000001</v>
      </c>
      <c r="M49" s="101"/>
      <c r="N49" s="101"/>
      <c r="O49" s="96" t="s">
        <v>379</v>
      </c>
      <c r="P49" s="97" t="s">
        <v>379</v>
      </c>
      <c r="Q49" s="236" t="s">
        <v>388</v>
      </c>
      <c r="R49" s="97" t="s">
        <v>379</v>
      </c>
      <c r="S49" s="95" t="s">
        <v>380</v>
      </c>
      <c r="T49" s="74"/>
      <c r="U49" s="74"/>
      <c r="V49" s="74"/>
      <c r="W49" s="74"/>
      <c r="X49" s="74"/>
      <c r="Y49" s="74"/>
      <c r="Z49" s="74"/>
      <c r="AA49" s="74"/>
      <c r="AC49" s="74"/>
      <c r="AD49" s="74"/>
      <c r="AE49" s="74"/>
      <c r="AF49" s="74"/>
      <c r="AG49" s="74"/>
      <c r="AH49" s="74"/>
      <c r="AL49" s="230"/>
      <c r="AM49" s="230"/>
    </row>
    <row r="50" spans="1:39" x14ac:dyDescent="0.2">
      <c r="A50" s="84" t="s">
        <v>435</v>
      </c>
      <c r="B50" s="84">
        <v>4</v>
      </c>
      <c r="C50" s="84">
        <v>9</v>
      </c>
      <c r="D50" s="84" t="s">
        <v>156</v>
      </c>
      <c r="E50" s="84" t="s">
        <v>163</v>
      </c>
      <c r="F50" s="84" t="s">
        <v>164</v>
      </c>
      <c r="G50" s="101">
        <v>43.898800000000001</v>
      </c>
      <c r="H50" s="101">
        <v>43.89</v>
      </c>
      <c r="I50" s="121">
        <v>16.2</v>
      </c>
      <c r="J50" s="101">
        <v>5.91</v>
      </c>
      <c r="K50" s="102">
        <v>10.29</v>
      </c>
      <c r="L50" s="119">
        <v>2.1292160000000004</v>
      </c>
      <c r="M50" s="101"/>
      <c r="N50" s="101"/>
      <c r="O50" s="96" t="s">
        <v>379</v>
      </c>
      <c r="P50" s="97" t="s">
        <v>379</v>
      </c>
      <c r="Q50" s="236" t="s">
        <v>388</v>
      </c>
      <c r="R50" s="97" t="s">
        <v>379</v>
      </c>
      <c r="S50" s="95" t="s">
        <v>379</v>
      </c>
      <c r="T50" s="74"/>
      <c r="U50" s="74"/>
      <c r="V50" s="74"/>
      <c r="W50" s="74"/>
      <c r="X50" s="74"/>
      <c r="Y50" s="74"/>
      <c r="Z50" s="74"/>
      <c r="AA50" s="74"/>
      <c r="AC50" s="74"/>
      <c r="AD50" s="74"/>
      <c r="AE50" s="74"/>
      <c r="AF50" s="74"/>
      <c r="AG50" s="74"/>
      <c r="AH50" s="74"/>
      <c r="AL50" s="230"/>
      <c r="AM50" s="230"/>
    </row>
    <row r="51" spans="1:39" x14ac:dyDescent="0.2">
      <c r="A51" s="84" t="s">
        <v>436</v>
      </c>
      <c r="B51" s="84">
        <v>5</v>
      </c>
      <c r="C51" s="84">
        <v>9</v>
      </c>
      <c r="D51" s="84" t="s">
        <v>156</v>
      </c>
      <c r="E51" s="84" t="s">
        <v>165</v>
      </c>
      <c r="F51" s="84" t="s">
        <v>166</v>
      </c>
      <c r="G51" s="101">
        <v>44.230699999999999</v>
      </c>
      <c r="H51" s="101">
        <v>44.23</v>
      </c>
      <c r="I51" s="121">
        <v>20.440000000000001</v>
      </c>
      <c r="J51" s="101">
        <v>10.37</v>
      </c>
      <c r="K51" s="102">
        <v>10.07</v>
      </c>
      <c r="L51" s="119">
        <v>1.2073740000000004</v>
      </c>
      <c r="M51" s="101"/>
      <c r="N51" s="101"/>
      <c r="O51" s="96" t="s">
        <v>379</v>
      </c>
      <c r="P51" s="97" t="s">
        <v>379</v>
      </c>
      <c r="Q51" s="236" t="s">
        <v>394</v>
      </c>
      <c r="R51" s="97" t="s">
        <v>379</v>
      </c>
      <c r="S51" s="95" t="s">
        <v>379</v>
      </c>
      <c r="T51" s="74"/>
      <c r="U51" s="74"/>
      <c r="V51" s="74"/>
      <c r="W51" s="74"/>
      <c r="X51" s="74"/>
      <c r="Y51" s="74"/>
      <c r="Z51" s="74"/>
      <c r="AA51" s="74"/>
      <c r="AC51" s="74"/>
      <c r="AD51" s="74"/>
      <c r="AE51" s="74"/>
      <c r="AF51" s="74"/>
      <c r="AG51" s="74"/>
      <c r="AH51" s="74"/>
      <c r="AL51" s="230"/>
      <c r="AM51" s="230"/>
    </row>
    <row r="52" spans="1:39" x14ac:dyDescent="0.2">
      <c r="A52" s="84" t="s">
        <v>437</v>
      </c>
      <c r="B52" s="84">
        <v>6</v>
      </c>
      <c r="C52" s="84">
        <v>9</v>
      </c>
      <c r="D52" s="84" t="s">
        <v>156</v>
      </c>
      <c r="E52" s="84" t="s">
        <v>167</v>
      </c>
      <c r="F52" s="84" t="s">
        <v>168</v>
      </c>
      <c r="G52" s="101">
        <v>73.182400000000001</v>
      </c>
      <c r="H52" s="101">
        <v>1103.78</v>
      </c>
      <c r="I52" s="121">
        <v>14.91</v>
      </c>
      <c r="J52" s="101">
        <v>2.5</v>
      </c>
      <c r="K52" s="102">
        <v>12.41</v>
      </c>
      <c r="L52" s="119">
        <v>0.49419000000000035</v>
      </c>
      <c r="M52" s="101"/>
      <c r="N52" s="101"/>
      <c r="O52" s="96" t="s">
        <v>379</v>
      </c>
      <c r="P52" s="97" t="s">
        <v>379</v>
      </c>
      <c r="Q52" s="236" t="s">
        <v>388</v>
      </c>
      <c r="R52" s="97" t="s">
        <v>379</v>
      </c>
      <c r="S52" s="95" t="s">
        <v>380</v>
      </c>
      <c r="T52" s="74"/>
      <c r="U52" s="74"/>
      <c r="V52" s="74"/>
      <c r="W52" s="74"/>
      <c r="X52" s="74"/>
      <c r="Y52" s="74"/>
      <c r="Z52" s="74"/>
      <c r="AA52" s="74"/>
      <c r="AC52" s="74"/>
      <c r="AD52" s="74"/>
      <c r="AE52" s="74"/>
      <c r="AF52" s="74"/>
      <c r="AG52" s="74"/>
      <c r="AH52" s="74"/>
      <c r="AL52" s="230"/>
      <c r="AM52" s="230"/>
    </row>
    <row r="53" spans="1:39" x14ac:dyDescent="0.2">
      <c r="A53" s="84" t="s">
        <v>378</v>
      </c>
      <c r="B53" s="84">
        <v>1</v>
      </c>
      <c r="C53" s="84">
        <v>1</v>
      </c>
      <c r="D53" s="84" t="s">
        <v>33</v>
      </c>
      <c r="E53" s="84" t="s">
        <v>56</v>
      </c>
      <c r="F53" s="84" t="s">
        <v>57</v>
      </c>
      <c r="G53" s="101">
        <v>22.1494</v>
      </c>
      <c r="H53" s="101">
        <v>22.14</v>
      </c>
      <c r="I53" s="121">
        <v>5.52</v>
      </c>
      <c r="J53" s="101">
        <v>1.7</v>
      </c>
      <c r="K53" s="102">
        <v>3.82</v>
      </c>
      <c r="L53" s="119">
        <v>0</v>
      </c>
      <c r="M53" s="101"/>
      <c r="N53" s="101"/>
      <c r="O53" s="96" t="s">
        <v>379</v>
      </c>
      <c r="P53" s="97" t="s">
        <v>379</v>
      </c>
      <c r="Q53" s="97" t="s">
        <v>379</v>
      </c>
      <c r="R53" s="97" t="s">
        <v>379</v>
      </c>
      <c r="S53" s="95" t="s">
        <v>380</v>
      </c>
      <c r="T53" s="74"/>
      <c r="U53" s="74"/>
      <c r="V53" s="74"/>
      <c r="W53" s="74"/>
      <c r="X53" s="74"/>
      <c r="Y53" s="74"/>
      <c r="Z53" s="74"/>
      <c r="AA53" s="74"/>
      <c r="AC53" s="74"/>
      <c r="AD53" s="74"/>
      <c r="AE53" s="74"/>
      <c r="AF53" s="74"/>
      <c r="AG53" s="74"/>
      <c r="AH53" s="74"/>
      <c r="AL53" s="230"/>
      <c r="AM53" s="230"/>
    </row>
    <row r="54" spans="1:39" x14ac:dyDescent="0.2">
      <c r="A54" s="84" t="s">
        <v>381</v>
      </c>
      <c r="B54" s="84">
        <v>2</v>
      </c>
      <c r="C54" s="84">
        <v>1</v>
      </c>
      <c r="D54" s="84" t="s">
        <v>33</v>
      </c>
      <c r="E54" s="84" t="s">
        <v>58</v>
      </c>
      <c r="F54" s="84" t="s">
        <v>59</v>
      </c>
      <c r="G54" s="101">
        <v>16.070499999999999</v>
      </c>
      <c r="H54" s="101">
        <v>16.07</v>
      </c>
      <c r="I54" s="121">
        <v>2.96</v>
      </c>
      <c r="J54" s="101">
        <v>0.77</v>
      </c>
      <c r="K54" s="102">
        <v>2.19</v>
      </c>
      <c r="L54" s="119">
        <v>0</v>
      </c>
      <c r="M54" s="101"/>
      <c r="N54" s="101"/>
      <c r="O54" s="96" t="s">
        <v>379</v>
      </c>
      <c r="P54" s="97" t="s">
        <v>379</v>
      </c>
      <c r="Q54" s="97" t="s">
        <v>379</v>
      </c>
      <c r="R54" s="97" t="s">
        <v>379</v>
      </c>
      <c r="S54" s="95" t="s">
        <v>380</v>
      </c>
      <c r="T54" s="74"/>
      <c r="U54" s="74"/>
      <c r="V54" s="74"/>
      <c r="W54" s="74"/>
      <c r="X54" s="74"/>
      <c r="Y54" s="74"/>
      <c r="Z54" s="74"/>
      <c r="AA54" s="74"/>
      <c r="AC54" s="74"/>
      <c r="AD54" s="74"/>
      <c r="AE54" s="74"/>
      <c r="AF54" s="74"/>
      <c r="AG54" s="74"/>
      <c r="AH54" s="74"/>
      <c r="AL54" s="230"/>
      <c r="AM54" s="230"/>
    </row>
    <row r="55" spans="1:39" x14ac:dyDescent="0.2">
      <c r="A55" s="84" t="s">
        <v>382</v>
      </c>
      <c r="B55" s="84">
        <v>3</v>
      </c>
      <c r="C55" s="84">
        <v>1</v>
      </c>
      <c r="D55" s="84" t="s">
        <v>33</v>
      </c>
      <c r="E55" s="84" t="s">
        <v>60</v>
      </c>
      <c r="F55" s="84" t="s">
        <v>61</v>
      </c>
      <c r="G55" s="101">
        <v>16.768000000000001</v>
      </c>
      <c r="H55" s="101">
        <v>16.760000000000002</v>
      </c>
      <c r="I55" s="121">
        <v>3.09</v>
      </c>
      <c r="J55" s="101">
        <v>0.8</v>
      </c>
      <c r="K55" s="102">
        <v>2.29</v>
      </c>
      <c r="L55" s="119">
        <v>0</v>
      </c>
      <c r="M55" s="101"/>
      <c r="N55" s="101"/>
      <c r="O55" s="96" t="s">
        <v>379</v>
      </c>
      <c r="P55" s="97" t="s">
        <v>379</v>
      </c>
      <c r="Q55" s="97" t="s">
        <v>379</v>
      </c>
      <c r="R55" s="97" t="s">
        <v>379</v>
      </c>
      <c r="S55" s="95" t="s">
        <v>380</v>
      </c>
      <c r="T55" s="74"/>
      <c r="U55" s="74"/>
      <c r="V55" s="74"/>
      <c r="W55" s="74"/>
      <c r="X55" s="74"/>
      <c r="Y55" s="74"/>
      <c r="Z55" s="74"/>
      <c r="AA55" s="74"/>
      <c r="AC55" s="74"/>
      <c r="AD55" s="74"/>
      <c r="AE55" s="74"/>
      <c r="AF55" s="74"/>
      <c r="AG55" s="74"/>
      <c r="AH55" s="74"/>
      <c r="AL55" s="230"/>
      <c r="AM55" s="230"/>
    </row>
    <row r="56" spans="1:39" x14ac:dyDescent="0.2">
      <c r="A56" s="84" t="s">
        <v>383</v>
      </c>
      <c r="B56" s="84">
        <v>4</v>
      </c>
      <c r="C56" s="84">
        <v>1</v>
      </c>
      <c r="D56" s="84" t="s">
        <v>33</v>
      </c>
      <c r="E56" s="84" t="s">
        <v>62</v>
      </c>
      <c r="F56" s="84" t="s">
        <v>63</v>
      </c>
      <c r="G56" s="101">
        <v>32.557600000000001</v>
      </c>
      <c r="H56" s="101">
        <v>32.549999999999997</v>
      </c>
      <c r="I56" s="121">
        <v>5.85</v>
      </c>
      <c r="J56" s="101">
        <v>1.57</v>
      </c>
      <c r="K56" s="102">
        <v>4.28</v>
      </c>
      <c r="L56" s="119">
        <v>0</v>
      </c>
      <c r="M56" s="101"/>
      <c r="N56" s="101"/>
      <c r="O56" s="96" t="s">
        <v>379</v>
      </c>
      <c r="P56" s="97" t="s">
        <v>379</v>
      </c>
      <c r="Q56" s="97" t="s">
        <v>379</v>
      </c>
      <c r="R56" s="97" t="s">
        <v>379</v>
      </c>
      <c r="S56" s="95" t="s">
        <v>380</v>
      </c>
      <c r="T56" s="74"/>
      <c r="U56" s="74"/>
      <c r="V56" s="74"/>
      <c r="W56" s="74"/>
      <c r="X56" s="74"/>
      <c r="Y56" s="74"/>
      <c r="Z56" s="74"/>
      <c r="AA56" s="74"/>
      <c r="AC56" s="74"/>
      <c r="AD56" s="74"/>
      <c r="AE56" s="74"/>
      <c r="AF56" s="74"/>
      <c r="AG56" s="74"/>
      <c r="AH56" s="74"/>
      <c r="AL56" s="230"/>
      <c r="AM56" s="230"/>
    </row>
    <row r="57" spans="1:39" x14ac:dyDescent="0.2">
      <c r="A57" s="84" t="s">
        <v>384</v>
      </c>
      <c r="B57" s="84">
        <v>5</v>
      </c>
      <c r="C57" s="84">
        <v>1</v>
      </c>
      <c r="D57" s="84" t="s">
        <v>33</v>
      </c>
      <c r="E57" s="84" t="s">
        <v>64</v>
      </c>
      <c r="F57" s="84" t="s">
        <v>65</v>
      </c>
      <c r="G57" s="101">
        <v>16.860700000000001</v>
      </c>
      <c r="H57" s="101">
        <v>66.17</v>
      </c>
      <c r="I57" s="121">
        <v>4.87</v>
      </c>
      <c r="J57" s="101">
        <v>2.4700000000000002</v>
      </c>
      <c r="K57" s="102">
        <v>2.4</v>
      </c>
      <c r="L57" s="119">
        <v>0</v>
      </c>
      <c r="M57" s="101"/>
      <c r="N57" s="101"/>
      <c r="O57" s="96" t="s">
        <v>379</v>
      </c>
      <c r="P57" s="97" t="s">
        <v>379</v>
      </c>
      <c r="Q57" s="97" t="s">
        <v>379</v>
      </c>
      <c r="R57" s="97" t="s">
        <v>379</v>
      </c>
      <c r="S57" s="95" t="s">
        <v>379</v>
      </c>
      <c r="T57" s="74"/>
      <c r="U57" s="74"/>
      <c r="V57" s="74"/>
      <c r="W57" s="74"/>
      <c r="X57" s="74"/>
      <c r="Y57" s="74"/>
      <c r="Z57" s="74"/>
      <c r="AA57" s="74"/>
      <c r="AC57" s="74"/>
      <c r="AD57" s="74"/>
      <c r="AE57" s="74"/>
      <c r="AF57" s="74"/>
      <c r="AG57" s="74"/>
      <c r="AH57" s="74"/>
      <c r="AL57" s="230"/>
      <c r="AM57" s="230"/>
    </row>
    <row r="58" spans="1:39" x14ac:dyDescent="0.2">
      <c r="A58" s="84" t="s">
        <v>385</v>
      </c>
      <c r="B58" s="84">
        <v>6</v>
      </c>
      <c r="C58" s="84">
        <v>1</v>
      </c>
      <c r="D58" s="84" t="s">
        <v>33</v>
      </c>
      <c r="E58" s="84" t="s">
        <v>66</v>
      </c>
      <c r="F58" s="84" t="s">
        <v>67</v>
      </c>
      <c r="G58" s="101">
        <v>22.061499999999999</v>
      </c>
      <c r="H58" s="101">
        <v>22.06</v>
      </c>
      <c r="I58" s="121">
        <v>4.6100000000000003</v>
      </c>
      <c r="J58" s="101">
        <v>1.17</v>
      </c>
      <c r="K58" s="102">
        <v>3.44</v>
      </c>
      <c r="L58" s="119">
        <v>0</v>
      </c>
      <c r="M58" s="101"/>
      <c r="N58" s="101"/>
      <c r="O58" s="96" t="s">
        <v>379</v>
      </c>
      <c r="P58" s="97" t="s">
        <v>379</v>
      </c>
      <c r="Q58" s="97" t="s">
        <v>379</v>
      </c>
      <c r="R58" s="97" t="s">
        <v>379</v>
      </c>
      <c r="S58" s="95" t="s">
        <v>380</v>
      </c>
      <c r="T58" s="74"/>
      <c r="U58" s="74"/>
      <c r="V58" s="74"/>
      <c r="W58" s="74"/>
      <c r="X58" s="74"/>
      <c r="Y58" s="74"/>
      <c r="Z58" s="74"/>
      <c r="AA58" s="74"/>
      <c r="AC58" s="74"/>
      <c r="AD58" s="74"/>
      <c r="AE58" s="74"/>
      <c r="AF58" s="74"/>
      <c r="AG58" s="74"/>
      <c r="AH58" s="74"/>
      <c r="AL58" s="230"/>
      <c r="AM58" s="230"/>
    </row>
    <row r="59" spans="1:39" x14ac:dyDescent="0.2">
      <c r="A59" s="84" t="s">
        <v>386</v>
      </c>
      <c r="B59" s="84">
        <v>7</v>
      </c>
      <c r="C59" s="84">
        <v>1</v>
      </c>
      <c r="D59" s="84" t="s">
        <v>33</v>
      </c>
      <c r="E59" s="84" t="s">
        <v>68</v>
      </c>
      <c r="F59" s="84" t="s">
        <v>69</v>
      </c>
      <c r="G59" s="101">
        <v>27.761299999999999</v>
      </c>
      <c r="H59" s="101">
        <v>27.76</v>
      </c>
      <c r="I59" s="121">
        <v>4.72</v>
      </c>
      <c r="J59" s="101">
        <v>0.81</v>
      </c>
      <c r="K59" s="102">
        <v>3.91</v>
      </c>
      <c r="L59" s="119">
        <v>0</v>
      </c>
      <c r="M59" s="101"/>
      <c r="N59" s="101"/>
      <c r="O59" s="96" t="s">
        <v>379</v>
      </c>
      <c r="P59" s="97" t="s">
        <v>379</v>
      </c>
      <c r="Q59" s="97" t="s">
        <v>379</v>
      </c>
      <c r="R59" s="97" t="s">
        <v>379</v>
      </c>
      <c r="S59" s="95" t="s">
        <v>380</v>
      </c>
      <c r="T59" s="74"/>
      <c r="U59" s="74"/>
      <c r="V59" s="74"/>
      <c r="W59" s="74"/>
      <c r="X59" s="74"/>
      <c r="Y59" s="74"/>
      <c r="Z59" s="74"/>
      <c r="AA59" s="74"/>
      <c r="AC59" s="74"/>
      <c r="AD59" s="74"/>
      <c r="AE59" s="74"/>
      <c r="AF59" s="74"/>
      <c r="AG59" s="74"/>
      <c r="AH59" s="74"/>
      <c r="AL59" s="230"/>
      <c r="AM59" s="230"/>
    </row>
    <row r="60" spans="1:39" x14ac:dyDescent="0.2">
      <c r="A60" s="84" t="s">
        <v>387</v>
      </c>
      <c r="B60" s="84">
        <v>8</v>
      </c>
      <c r="C60" s="84">
        <v>1</v>
      </c>
      <c r="D60" s="84" t="s">
        <v>33</v>
      </c>
      <c r="E60" s="84" t="s">
        <v>70</v>
      </c>
      <c r="F60" s="84" t="s">
        <v>71</v>
      </c>
      <c r="G60" s="101">
        <v>79.306899999999999</v>
      </c>
      <c r="H60" s="101">
        <v>107.06</v>
      </c>
      <c r="I60" s="121">
        <v>23.55</v>
      </c>
      <c r="J60" s="101">
        <v>8.32</v>
      </c>
      <c r="K60" s="102">
        <v>15.23</v>
      </c>
      <c r="L60" s="119">
        <v>0</v>
      </c>
      <c r="M60" s="101"/>
      <c r="N60" s="101"/>
      <c r="O60" s="96" t="s">
        <v>388</v>
      </c>
      <c r="P60" s="97" t="s">
        <v>379</v>
      </c>
      <c r="Q60" s="97" t="s">
        <v>379</v>
      </c>
      <c r="R60" s="97" t="s">
        <v>379</v>
      </c>
      <c r="S60" s="95" t="s">
        <v>379</v>
      </c>
      <c r="T60" s="74"/>
      <c r="U60" s="74"/>
      <c r="V60" s="74"/>
      <c r="W60" s="74"/>
      <c r="X60" s="74"/>
      <c r="Y60" s="74"/>
      <c r="Z60" s="74"/>
      <c r="AA60" s="74"/>
      <c r="AC60" s="74"/>
      <c r="AD60" s="74"/>
      <c r="AE60" s="74"/>
      <c r="AF60" s="74"/>
      <c r="AG60" s="74"/>
      <c r="AH60" s="74"/>
      <c r="AL60" s="230"/>
      <c r="AM60" s="230"/>
    </row>
    <row r="61" spans="1:39" x14ac:dyDescent="0.2">
      <c r="A61" s="84" t="s">
        <v>389</v>
      </c>
      <c r="B61" s="84">
        <v>9</v>
      </c>
      <c r="C61" s="84">
        <v>1</v>
      </c>
      <c r="D61" s="84" t="s">
        <v>33</v>
      </c>
      <c r="E61" s="84" t="s">
        <v>72</v>
      </c>
      <c r="F61" s="84" t="s">
        <v>73</v>
      </c>
      <c r="G61" s="101">
        <v>69.777799999999999</v>
      </c>
      <c r="H61" s="101">
        <v>176.83</v>
      </c>
      <c r="I61" s="121">
        <v>18.579999999999998</v>
      </c>
      <c r="J61" s="101">
        <v>4.95</v>
      </c>
      <c r="K61" s="102">
        <v>13.63</v>
      </c>
      <c r="L61" s="119">
        <v>0</v>
      </c>
      <c r="M61" s="101"/>
      <c r="N61" s="101"/>
      <c r="O61" s="96" t="s">
        <v>388</v>
      </c>
      <c r="P61" s="97" t="s">
        <v>379</v>
      </c>
      <c r="Q61" s="97" t="s">
        <v>379</v>
      </c>
      <c r="R61" s="97" t="s">
        <v>379</v>
      </c>
      <c r="S61" s="95" t="s">
        <v>380</v>
      </c>
      <c r="T61" s="74"/>
      <c r="U61" s="74"/>
      <c r="V61" s="74"/>
      <c r="W61" s="74"/>
      <c r="X61" s="74"/>
      <c r="Y61" s="74"/>
      <c r="Z61" s="74"/>
      <c r="AA61" s="74"/>
      <c r="AC61" s="74"/>
      <c r="AD61" s="74"/>
      <c r="AE61" s="74"/>
      <c r="AF61" s="74"/>
      <c r="AG61" s="74"/>
      <c r="AH61" s="74"/>
      <c r="AL61" s="230"/>
      <c r="AM61" s="230"/>
    </row>
    <row r="62" spans="1:39" x14ac:dyDescent="0.2">
      <c r="A62" s="84" t="s">
        <v>390</v>
      </c>
      <c r="B62" s="84">
        <v>10</v>
      </c>
      <c r="C62" s="84">
        <v>1</v>
      </c>
      <c r="D62" s="84" t="s">
        <v>33</v>
      </c>
      <c r="E62" s="84" t="s">
        <v>74</v>
      </c>
      <c r="F62" s="84" t="s">
        <v>75</v>
      </c>
      <c r="G62" s="101">
        <v>18.661999999999999</v>
      </c>
      <c r="H62" s="101">
        <v>18.66</v>
      </c>
      <c r="I62" s="121">
        <v>3.7458</v>
      </c>
      <c r="J62" s="101">
        <v>0.94730000000000003</v>
      </c>
      <c r="K62" s="102">
        <v>2.7985000000000002</v>
      </c>
      <c r="L62" s="119">
        <v>0</v>
      </c>
      <c r="M62" s="101"/>
      <c r="N62" s="101"/>
      <c r="O62" s="96" t="s">
        <v>388</v>
      </c>
      <c r="P62" s="97" t="s">
        <v>379</v>
      </c>
      <c r="Q62" s="97" t="s">
        <v>379</v>
      </c>
      <c r="R62" s="97" t="s">
        <v>379</v>
      </c>
      <c r="S62" s="95" t="s">
        <v>380</v>
      </c>
      <c r="T62" s="74"/>
      <c r="U62" s="74"/>
      <c r="V62" s="74"/>
      <c r="W62" s="74"/>
      <c r="X62" s="74"/>
      <c r="Y62" s="74"/>
      <c r="Z62" s="74"/>
      <c r="AA62" s="74"/>
      <c r="AC62" s="74"/>
      <c r="AD62" s="74"/>
      <c r="AE62" s="74"/>
      <c r="AF62" s="74"/>
      <c r="AG62" s="74"/>
      <c r="AH62" s="74"/>
      <c r="AL62" s="230"/>
      <c r="AM62" s="230"/>
    </row>
    <row r="63" spans="1:39" x14ac:dyDescent="0.2">
      <c r="A63" s="84" t="s">
        <v>391</v>
      </c>
      <c r="B63" s="84">
        <v>11</v>
      </c>
      <c r="C63" s="84">
        <v>1</v>
      </c>
      <c r="D63" s="84" t="s">
        <v>33</v>
      </c>
      <c r="E63" s="84" t="s">
        <v>76</v>
      </c>
      <c r="F63" s="84" t="s">
        <v>77</v>
      </c>
      <c r="G63" s="101">
        <v>54.631599999999999</v>
      </c>
      <c r="H63" s="101">
        <v>72.94</v>
      </c>
      <c r="I63" s="121">
        <v>12.5954</v>
      </c>
      <c r="J63" s="101">
        <v>2.7829000000000002</v>
      </c>
      <c r="K63" s="102">
        <v>9.8125</v>
      </c>
      <c r="L63" s="119">
        <v>0</v>
      </c>
      <c r="M63" s="101"/>
      <c r="N63" s="101"/>
      <c r="O63" s="96" t="s">
        <v>388</v>
      </c>
      <c r="P63" s="97" t="s">
        <v>379</v>
      </c>
      <c r="Q63" s="97" t="s">
        <v>379</v>
      </c>
      <c r="R63" s="97" t="s">
        <v>379</v>
      </c>
      <c r="S63" s="95" t="s">
        <v>380</v>
      </c>
      <c r="T63" s="74"/>
      <c r="U63" s="74"/>
      <c r="V63" s="74"/>
      <c r="W63" s="74"/>
      <c r="X63" s="74"/>
      <c r="Y63" s="74"/>
      <c r="Z63" s="74"/>
      <c r="AA63" s="74"/>
      <c r="AC63" s="74"/>
      <c r="AD63" s="74"/>
      <c r="AE63" s="74"/>
      <c r="AF63" s="74"/>
      <c r="AG63" s="74"/>
      <c r="AH63" s="74"/>
      <c r="AL63" s="230"/>
      <c r="AM63" s="230"/>
    </row>
    <row r="64" spans="1:39" x14ac:dyDescent="0.2">
      <c r="A64" s="84" t="s">
        <v>392</v>
      </c>
      <c r="B64" s="84">
        <v>12</v>
      </c>
      <c r="C64" s="84">
        <v>1</v>
      </c>
      <c r="D64" s="84" t="s">
        <v>33</v>
      </c>
      <c r="E64" s="84" t="s">
        <v>78</v>
      </c>
      <c r="F64" s="84" t="s">
        <v>79</v>
      </c>
      <c r="G64" s="101">
        <v>18.315000000000001</v>
      </c>
      <c r="H64" s="101">
        <v>18.309999999999999</v>
      </c>
      <c r="I64" s="121">
        <v>3.9679000000000002</v>
      </c>
      <c r="J64" s="101">
        <v>1.0102</v>
      </c>
      <c r="K64" s="102">
        <v>2.9577</v>
      </c>
      <c r="L64" s="119">
        <v>0</v>
      </c>
      <c r="M64" s="101"/>
      <c r="N64" s="101"/>
      <c r="O64" s="96" t="s">
        <v>388</v>
      </c>
      <c r="P64" s="97" t="s">
        <v>379</v>
      </c>
      <c r="Q64" s="97" t="s">
        <v>379</v>
      </c>
      <c r="R64" s="97" t="s">
        <v>379</v>
      </c>
      <c r="S64" s="95" t="s">
        <v>380</v>
      </c>
      <c r="T64" s="74"/>
      <c r="U64" s="74"/>
      <c r="V64" s="74"/>
      <c r="W64" s="74"/>
      <c r="X64" s="74"/>
      <c r="Y64" s="74"/>
      <c r="Z64" s="74"/>
      <c r="AA64" s="74"/>
      <c r="AC64" s="74"/>
      <c r="AD64" s="74"/>
      <c r="AE64" s="74"/>
      <c r="AF64" s="74"/>
      <c r="AG64" s="74"/>
      <c r="AH64" s="74"/>
      <c r="AL64" s="230"/>
      <c r="AM64" s="230"/>
    </row>
    <row r="65" spans="1:39" x14ac:dyDescent="0.2">
      <c r="A65" s="84" t="s">
        <v>393</v>
      </c>
      <c r="B65" s="84">
        <v>13</v>
      </c>
      <c r="C65" s="84">
        <v>1</v>
      </c>
      <c r="D65" s="84" t="s">
        <v>33</v>
      </c>
      <c r="E65" s="84" t="s">
        <v>80</v>
      </c>
      <c r="F65" s="84" t="s">
        <v>81</v>
      </c>
      <c r="G65" s="101">
        <v>47.376100000000001</v>
      </c>
      <c r="H65" s="101">
        <v>156.97</v>
      </c>
      <c r="I65" s="121">
        <v>9.7091999999999992</v>
      </c>
      <c r="J65" s="101">
        <v>2.5405000000000002</v>
      </c>
      <c r="K65" s="102">
        <v>7.1687000000000003</v>
      </c>
      <c r="L65" s="119">
        <v>0</v>
      </c>
      <c r="M65" s="101"/>
      <c r="N65" s="101"/>
      <c r="O65" s="96" t="s">
        <v>394</v>
      </c>
      <c r="P65" s="97" t="s">
        <v>379</v>
      </c>
      <c r="Q65" s="97" t="s">
        <v>379</v>
      </c>
      <c r="R65" s="97" t="s">
        <v>379</v>
      </c>
      <c r="S65" s="95" t="s">
        <v>380</v>
      </c>
      <c r="T65" s="74"/>
      <c r="U65" s="74"/>
      <c r="V65" s="74"/>
      <c r="W65" s="74"/>
      <c r="X65" s="74"/>
      <c r="Y65" s="74"/>
      <c r="Z65" s="74"/>
      <c r="AA65" s="74"/>
      <c r="AC65" s="74"/>
      <c r="AD65" s="74"/>
      <c r="AE65" s="74"/>
      <c r="AF65" s="74"/>
      <c r="AG65" s="74"/>
      <c r="AH65" s="74"/>
      <c r="AL65" s="230"/>
      <c r="AM65" s="230"/>
    </row>
    <row r="66" spans="1:39" x14ac:dyDescent="0.2">
      <c r="A66" s="84" t="s">
        <v>395</v>
      </c>
      <c r="B66" s="84">
        <v>14</v>
      </c>
      <c r="C66" s="84">
        <v>1</v>
      </c>
      <c r="D66" s="84" t="s">
        <v>33</v>
      </c>
      <c r="E66" s="84" t="s">
        <v>82</v>
      </c>
      <c r="F66" s="84" t="s">
        <v>83</v>
      </c>
      <c r="G66" s="101">
        <v>36.664099999999998</v>
      </c>
      <c r="H66" s="101">
        <v>36.659999999999997</v>
      </c>
      <c r="I66" s="121">
        <v>5.9112</v>
      </c>
      <c r="J66" s="101">
        <v>1.4502999999999999</v>
      </c>
      <c r="K66" s="102">
        <v>4.4608999999999996</v>
      </c>
      <c r="L66" s="119">
        <v>0</v>
      </c>
      <c r="M66" s="101"/>
      <c r="N66" s="101"/>
      <c r="O66" s="96" t="s">
        <v>388</v>
      </c>
      <c r="P66" s="97" t="s">
        <v>379</v>
      </c>
      <c r="Q66" s="97" t="s">
        <v>379</v>
      </c>
      <c r="R66" s="97" t="s">
        <v>379</v>
      </c>
      <c r="S66" s="95" t="s">
        <v>380</v>
      </c>
      <c r="T66" s="74"/>
      <c r="U66" s="74"/>
      <c r="V66" s="74"/>
      <c r="W66" s="74"/>
      <c r="X66" s="74"/>
      <c r="Y66" s="74"/>
      <c r="Z66" s="74"/>
      <c r="AA66" s="74"/>
      <c r="AC66" s="74"/>
      <c r="AD66" s="74"/>
      <c r="AE66" s="74"/>
      <c r="AF66" s="74"/>
      <c r="AG66" s="74"/>
      <c r="AH66" s="74"/>
      <c r="AL66" s="230"/>
      <c r="AM66" s="230"/>
    </row>
    <row r="67" spans="1:39" x14ac:dyDescent="0.2">
      <c r="A67" s="84" t="s">
        <v>396</v>
      </c>
      <c r="B67" s="84">
        <v>15</v>
      </c>
      <c r="C67" s="84">
        <v>1</v>
      </c>
      <c r="D67" s="84" t="s">
        <v>33</v>
      </c>
      <c r="E67" s="84" t="s">
        <v>84</v>
      </c>
      <c r="F67" s="84" t="s">
        <v>85</v>
      </c>
      <c r="G67" s="101">
        <v>27.571100000000001</v>
      </c>
      <c r="H67" s="101">
        <v>27.57</v>
      </c>
      <c r="I67" s="121">
        <v>5.2847</v>
      </c>
      <c r="J67" s="101">
        <v>1.4297</v>
      </c>
      <c r="K67" s="102">
        <v>3.855</v>
      </c>
      <c r="L67" s="119">
        <v>0</v>
      </c>
      <c r="M67" s="101"/>
      <c r="N67" s="101"/>
      <c r="O67" s="96" t="s">
        <v>394</v>
      </c>
      <c r="P67" s="97" t="s">
        <v>379</v>
      </c>
      <c r="Q67" s="97" t="s">
        <v>379</v>
      </c>
      <c r="R67" s="97" t="s">
        <v>379</v>
      </c>
      <c r="S67" s="95" t="s">
        <v>380</v>
      </c>
      <c r="T67" s="74"/>
      <c r="U67" s="74"/>
      <c r="V67" s="74"/>
      <c r="W67" s="74"/>
      <c r="X67" s="74"/>
      <c r="Y67" s="74"/>
      <c r="Z67" s="74"/>
      <c r="AA67" s="74"/>
      <c r="AC67" s="74"/>
      <c r="AD67" s="74"/>
      <c r="AE67" s="74"/>
      <c r="AF67" s="74"/>
      <c r="AG67" s="74"/>
      <c r="AH67" s="74"/>
      <c r="AL67" s="230"/>
      <c r="AM67" s="230"/>
    </row>
    <row r="68" spans="1:39" x14ac:dyDescent="0.2">
      <c r="A68" s="84" t="s">
        <v>397</v>
      </c>
      <c r="B68" s="84">
        <v>16</v>
      </c>
      <c r="C68" s="84">
        <v>1</v>
      </c>
      <c r="D68" s="84" t="s">
        <v>33</v>
      </c>
      <c r="E68" s="84" t="s">
        <v>86</v>
      </c>
      <c r="F68" s="84" t="s">
        <v>87</v>
      </c>
      <c r="G68" s="101">
        <v>19.491199999999999</v>
      </c>
      <c r="H68" s="101">
        <v>19.489999999999998</v>
      </c>
      <c r="I68" s="121">
        <v>6.2537000000000003</v>
      </c>
      <c r="J68" s="101">
        <v>2.9384000000000001</v>
      </c>
      <c r="K68" s="102">
        <v>3.3151999999999999</v>
      </c>
      <c r="L68" s="119">
        <v>0</v>
      </c>
      <c r="M68" s="101"/>
      <c r="N68" s="101"/>
      <c r="O68" s="96" t="s">
        <v>394</v>
      </c>
      <c r="P68" s="97" t="s">
        <v>379</v>
      </c>
      <c r="Q68" s="97" t="s">
        <v>379</v>
      </c>
      <c r="R68" s="97" t="s">
        <v>379</v>
      </c>
      <c r="S68" s="95" t="s">
        <v>379</v>
      </c>
      <c r="T68" s="74"/>
      <c r="U68" s="74"/>
      <c r="V68" s="74"/>
      <c r="W68" s="74"/>
      <c r="X68" s="74"/>
      <c r="Y68" s="74"/>
      <c r="Z68" s="74"/>
      <c r="AA68" s="74"/>
      <c r="AC68" s="74"/>
      <c r="AD68" s="74"/>
      <c r="AE68" s="74"/>
      <c r="AF68" s="74"/>
      <c r="AG68" s="74"/>
      <c r="AH68" s="74"/>
      <c r="AL68" s="230"/>
      <c r="AM68" s="230"/>
    </row>
    <row r="69" spans="1:39" x14ac:dyDescent="0.2">
      <c r="A69" s="84" t="s">
        <v>398</v>
      </c>
      <c r="B69" s="84">
        <v>17</v>
      </c>
      <c r="C69" s="84">
        <v>1</v>
      </c>
      <c r="D69" s="84" t="s">
        <v>33</v>
      </c>
      <c r="E69" s="84" t="s">
        <v>88</v>
      </c>
      <c r="F69" s="84" t="s">
        <v>89</v>
      </c>
      <c r="G69" s="101">
        <v>57.980699999999999</v>
      </c>
      <c r="H69" s="101">
        <v>57.98</v>
      </c>
      <c r="I69" s="121">
        <v>13.529299999999999</v>
      </c>
      <c r="J69" s="101">
        <v>4.1733000000000002</v>
      </c>
      <c r="K69" s="102">
        <v>9.3559000000000001</v>
      </c>
      <c r="L69" s="119">
        <v>0</v>
      </c>
      <c r="M69" s="101"/>
      <c r="N69" s="101"/>
      <c r="O69" s="96" t="s">
        <v>394</v>
      </c>
      <c r="P69" s="97" t="s">
        <v>379</v>
      </c>
      <c r="Q69" s="97" t="s">
        <v>379</v>
      </c>
      <c r="R69" s="97" t="s">
        <v>379</v>
      </c>
      <c r="S69" s="95" t="s">
        <v>380</v>
      </c>
      <c r="T69" s="74"/>
      <c r="U69" s="74"/>
      <c r="V69" s="74"/>
      <c r="W69" s="74"/>
      <c r="X69" s="74"/>
      <c r="Y69" s="74"/>
      <c r="Z69" s="74"/>
      <c r="AA69" s="74"/>
      <c r="AC69" s="74"/>
      <c r="AD69" s="74"/>
      <c r="AE69" s="74"/>
      <c r="AF69" s="74"/>
      <c r="AG69" s="74"/>
      <c r="AH69" s="74"/>
      <c r="AL69" s="230"/>
      <c r="AM69" s="230"/>
    </row>
    <row r="70" spans="1:39" x14ac:dyDescent="0.2">
      <c r="A70" s="84" t="s">
        <v>399</v>
      </c>
      <c r="B70" s="84">
        <v>18</v>
      </c>
      <c r="C70" s="84">
        <v>1</v>
      </c>
      <c r="D70" s="84" t="s">
        <v>33</v>
      </c>
      <c r="E70" s="84" t="s">
        <v>90</v>
      </c>
      <c r="F70" s="84" t="s">
        <v>91</v>
      </c>
      <c r="G70" s="101">
        <v>81.590400000000002</v>
      </c>
      <c r="H70" s="101">
        <v>81.59</v>
      </c>
      <c r="I70" s="121">
        <v>13.648199999999999</v>
      </c>
      <c r="J70" s="101">
        <v>3.2000999999999999</v>
      </c>
      <c r="K70" s="102">
        <v>10.4481</v>
      </c>
      <c r="L70" s="119">
        <v>0</v>
      </c>
      <c r="M70" s="101"/>
      <c r="N70" s="101"/>
      <c r="O70" s="96" t="s">
        <v>394</v>
      </c>
      <c r="P70" s="97" t="s">
        <v>379</v>
      </c>
      <c r="Q70" s="97" t="s">
        <v>379</v>
      </c>
      <c r="R70" s="97" t="s">
        <v>379</v>
      </c>
      <c r="S70" s="95" t="s">
        <v>380</v>
      </c>
      <c r="T70" s="74"/>
      <c r="U70" s="74"/>
      <c r="V70" s="74"/>
      <c r="W70" s="74"/>
      <c r="X70" s="74"/>
      <c r="Y70" s="74"/>
      <c r="Z70" s="74"/>
      <c r="AA70" s="74"/>
      <c r="AC70" s="74"/>
      <c r="AD70" s="74"/>
      <c r="AE70" s="74"/>
      <c r="AF70" s="74"/>
      <c r="AG70" s="74"/>
      <c r="AH70" s="74"/>
      <c r="AL70" s="230"/>
      <c r="AM70" s="230"/>
    </row>
    <row r="71" spans="1:39" x14ac:dyDescent="0.2">
      <c r="A71" s="84" t="s">
        <v>400</v>
      </c>
      <c r="B71" s="84">
        <v>19</v>
      </c>
      <c r="C71" s="84">
        <v>1</v>
      </c>
      <c r="D71" s="84" t="s">
        <v>33</v>
      </c>
      <c r="E71" s="84" t="s">
        <v>92</v>
      </c>
      <c r="F71" s="84" t="s">
        <v>93</v>
      </c>
      <c r="G71" s="101">
        <v>73.869100000000003</v>
      </c>
      <c r="H71" s="101">
        <v>155.44999999999999</v>
      </c>
      <c r="I71" s="121">
        <v>19.8979</v>
      </c>
      <c r="J71" s="101">
        <v>5.8804999999999996</v>
      </c>
      <c r="K71" s="102">
        <v>14.0174</v>
      </c>
      <c r="L71" s="119">
        <v>0</v>
      </c>
      <c r="M71" s="101"/>
      <c r="N71" s="101"/>
      <c r="O71" s="96" t="s">
        <v>394</v>
      </c>
      <c r="P71" s="97" t="s">
        <v>379</v>
      </c>
      <c r="Q71" s="97" t="s">
        <v>379</v>
      </c>
      <c r="R71" s="97" t="s">
        <v>379</v>
      </c>
      <c r="S71" s="95" t="s">
        <v>380</v>
      </c>
      <c r="T71" s="74"/>
      <c r="U71" s="74"/>
      <c r="V71" s="74"/>
      <c r="W71" s="74"/>
      <c r="X71" s="74"/>
      <c r="Y71" s="74"/>
      <c r="Z71" s="74"/>
      <c r="AA71" s="74"/>
      <c r="AC71" s="74"/>
      <c r="AD71" s="74"/>
      <c r="AE71" s="74"/>
      <c r="AF71" s="74"/>
      <c r="AG71" s="74"/>
      <c r="AH71" s="74"/>
      <c r="AL71" s="230"/>
      <c r="AM71" s="230"/>
    </row>
    <row r="72" spans="1:39" x14ac:dyDescent="0.2">
      <c r="A72" s="84" t="s">
        <v>441</v>
      </c>
      <c r="B72" s="84">
        <v>1</v>
      </c>
      <c r="C72" s="84">
        <v>11</v>
      </c>
      <c r="D72" s="84" t="s">
        <v>43</v>
      </c>
      <c r="E72" s="84" t="s">
        <v>175</v>
      </c>
      <c r="F72" s="84" t="s">
        <v>176</v>
      </c>
      <c r="G72" s="101">
        <v>61.281100000000002</v>
      </c>
      <c r="H72" s="101">
        <v>61.28</v>
      </c>
      <c r="I72" s="121">
        <v>11.723000000000001</v>
      </c>
      <c r="J72" s="101">
        <v>3.0051000000000001</v>
      </c>
      <c r="K72" s="102">
        <v>8.7178000000000004</v>
      </c>
      <c r="L72" s="119">
        <v>0</v>
      </c>
      <c r="M72" s="101"/>
      <c r="N72" s="101"/>
      <c r="O72" s="96" t="s">
        <v>388</v>
      </c>
      <c r="P72" s="97" t="s">
        <v>379</v>
      </c>
      <c r="Q72" s="97" t="s">
        <v>379</v>
      </c>
      <c r="R72" s="97" t="s">
        <v>379</v>
      </c>
      <c r="S72" s="95" t="s">
        <v>380</v>
      </c>
      <c r="T72" s="74"/>
      <c r="U72" s="74"/>
      <c r="V72" s="74"/>
      <c r="W72" s="74"/>
      <c r="X72" s="74"/>
      <c r="Y72" s="74"/>
      <c r="Z72" s="74"/>
      <c r="AA72" s="74"/>
      <c r="AC72" s="74"/>
      <c r="AD72" s="74"/>
      <c r="AE72" s="74"/>
      <c r="AF72" s="74"/>
      <c r="AG72" s="74"/>
      <c r="AH72" s="74"/>
      <c r="AL72" s="230"/>
      <c r="AM72" s="230"/>
    </row>
    <row r="73" spans="1:39" x14ac:dyDescent="0.2">
      <c r="A73" s="84" t="s">
        <v>442</v>
      </c>
      <c r="B73" s="84">
        <v>2</v>
      </c>
      <c r="C73" s="84">
        <v>11</v>
      </c>
      <c r="D73" s="84" t="s">
        <v>43</v>
      </c>
      <c r="E73" s="84" t="s">
        <v>177</v>
      </c>
      <c r="F73" s="84" t="s">
        <v>178</v>
      </c>
      <c r="G73" s="101">
        <v>54.078899999999997</v>
      </c>
      <c r="H73" s="101">
        <v>54.07</v>
      </c>
      <c r="I73" s="121">
        <v>3.1</v>
      </c>
      <c r="J73" s="101">
        <v>0.36</v>
      </c>
      <c r="K73" s="102">
        <v>2.74</v>
      </c>
      <c r="L73" s="119">
        <v>0</v>
      </c>
      <c r="M73" s="101"/>
      <c r="N73" s="101"/>
      <c r="O73" s="96" t="s">
        <v>379</v>
      </c>
      <c r="P73" s="97" t="s">
        <v>379</v>
      </c>
      <c r="Q73" s="97" t="s">
        <v>379</v>
      </c>
      <c r="R73" s="97" t="s">
        <v>379</v>
      </c>
      <c r="S73" s="95" t="s">
        <v>380</v>
      </c>
      <c r="T73" s="74"/>
      <c r="U73" s="74"/>
      <c r="V73" s="74"/>
      <c r="W73" s="74"/>
      <c r="X73" s="74"/>
      <c r="Y73" s="74"/>
      <c r="Z73" s="74"/>
      <c r="AA73" s="74"/>
      <c r="AC73" s="74"/>
      <c r="AD73" s="74"/>
      <c r="AE73" s="74"/>
      <c r="AF73" s="74"/>
      <c r="AG73" s="74"/>
      <c r="AH73" s="74"/>
      <c r="AL73" s="230"/>
      <c r="AM73" s="230"/>
    </row>
    <row r="74" spans="1:39" x14ac:dyDescent="0.2">
      <c r="A74" s="84" t="s">
        <v>443</v>
      </c>
      <c r="B74" s="84">
        <v>3</v>
      </c>
      <c r="C74" s="84">
        <v>11</v>
      </c>
      <c r="D74" s="84" t="s">
        <v>43</v>
      </c>
      <c r="E74" s="84" t="s">
        <v>179</v>
      </c>
      <c r="F74" s="84" t="s">
        <v>180</v>
      </c>
      <c r="G74" s="101">
        <v>61.080100000000002</v>
      </c>
      <c r="H74" s="101">
        <v>61.08</v>
      </c>
      <c r="I74" s="121">
        <v>3.09</v>
      </c>
      <c r="J74" s="101">
        <v>0.19</v>
      </c>
      <c r="K74" s="102">
        <v>2.9</v>
      </c>
      <c r="L74" s="119">
        <v>0</v>
      </c>
      <c r="M74" s="101"/>
      <c r="N74" s="101"/>
      <c r="O74" s="96" t="s">
        <v>379</v>
      </c>
      <c r="P74" s="97" t="s">
        <v>379</v>
      </c>
      <c r="Q74" s="97" t="s">
        <v>379</v>
      </c>
      <c r="R74" s="97" t="s">
        <v>379</v>
      </c>
      <c r="S74" s="95" t="s">
        <v>380</v>
      </c>
      <c r="T74" s="74"/>
      <c r="U74" s="74"/>
      <c r="V74" s="74"/>
      <c r="W74" s="74"/>
      <c r="X74" s="74"/>
      <c r="Y74" s="74"/>
      <c r="Z74" s="74"/>
      <c r="AA74" s="74"/>
      <c r="AC74" s="74"/>
      <c r="AD74" s="74"/>
      <c r="AE74" s="74"/>
      <c r="AF74" s="74"/>
      <c r="AG74" s="74"/>
      <c r="AH74" s="74"/>
      <c r="AL74" s="230"/>
      <c r="AM74" s="230"/>
    </row>
    <row r="75" spans="1:39" x14ac:dyDescent="0.2">
      <c r="A75" s="84" t="s">
        <v>444</v>
      </c>
      <c r="B75" s="84">
        <v>4</v>
      </c>
      <c r="C75" s="84">
        <v>11</v>
      </c>
      <c r="D75" s="84" t="s">
        <v>43</v>
      </c>
      <c r="E75" s="84" t="s">
        <v>181</v>
      </c>
      <c r="F75" s="84" t="s">
        <v>182</v>
      </c>
      <c r="G75" s="101">
        <v>47.7331</v>
      </c>
      <c r="H75" s="101">
        <v>47.73</v>
      </c>
      <c r="I75" s="121">
        <v>13.22</v>
      </c>
      <c r="J75" s="101">
        <v>3.14</v>
      </c>
      <c r="K75" s="102">
        <v>10.08</v>
      </c>
      <c r="L75" s="119">
        <v>0.56783399999999995</v>
      </c>
      <c r="M75" s="101"/>
      <c r="N75" s="101"/>
      <c r="O75" s="96" t="s">
        <v>379</v>
      </c>
      <c r="P75" s="97" t="s">
        <v>379</v>
      </c>
      <c r="Q75" s="97" t="s">
        <v>379</v>
      </c>
      <c r="R75" s="97" t="s">
        <v>379</v>
      </c>
      <c r="S75" s="95" t="s">
        <v>380</v>
      </c>
      <c r="T75" s="74"/>
      <c r="U75" s="74"/>
      <c r="V75" s="74"/>
      <c r="W75" s="74"/>
      <c r="X75" s="74"/>
      <c r="Y75" s="74"/>
      <c r="Z75" s="74"/>
      <c r="AA75" s="74"/>
      <c r="AC75" s="74"/>
      <c r="AD75" s="74"/>
      <c r="AE75" s="74"/>
      <c r="AF75" s="74"/>
      <c r="AG75" s="74"/>
      <c r="AH75" s="74"/>
      <c r="AL75" s="230"/>
      <c r="AM75" s="230"/>
    </row>
    <row r="76" spans="1:39" x14ac:dyDescent="0.2">
      <c r="A76" s="84" t="s">
        <v>445</v>
      </c>
      <c r="B76" s="84">
        <v>5</v>
      </c>
      <c r="C76" s="84">
        <v>11</v>
      </c>
      <c r="D76" s="84" t="s">
        <v>43</v>
      </c>
      <c r="E76" s="84" t="s">
        <v>183</v>
      </c>
      <c r="F76" s="84" t="s">
        <v>184</v>
      </c>
      <c r="G76" s="101">
        <v>44.472200000000001</v>
      </c>
      <c r="H76" s="101">
        <v>92.2</v>
      </c>
      <c r="I76" s="121">
        <v>13.79</v>
      </c>
      <c r="J76" s="101">
        <v>4.9800000000000004</v>
      </c>
      <c r="K76" s="102">
        <v>8.81</v>
      </c>
      <c r="L76" s="119">
        <v>0.48514600000000008</v>
      </c>
      <c r="M76" s="101"/>
      <c r="N76" s="101"/>
      <c r="O76" s="96" t="s">
        <v>379</v>
      </c>
      <c r="P76" s="97" t="s">
        <v>379</v>
      </c>
      <c r="Q76" s="97" t="s">
        <v>379</v>
      </c>
      <c r="R76" s="97" t="s">
        <v>379</v>
      </c>
      <c r="S76" s="95" t="s">
        <v>379</v>
      </c>
      <c r="T76" s="74"/>
      <c r="U76" s="74"/>
      <c r="V76" s="74"/>
      <c r="W76" s="74"/>
      <c r="X76" s="74"/>
      <c r="Y76" s="74"/>
      <c r="Z76" s="74"/>
      <c r="AA76" s="74"/>
      <c r="AC76" s="74"/>
      <c r="AD76" s="74"/>
      <c r="AE76" s="74"/>
      <c r="AF76" s="74"/>
      <c r="AG76" s="74"/>
      <c r="AH76" s="74"/>
      <c r="AL76" s="230"/>
      <c r="AM76" s="230"/>
    </row>
    <row r="77" spans="1:39" x14ac:dyDescent="0.2">
      <c r="A77" s="84" t="s">
        <v>525</v>
      </c>
      <c r="B77" s="84">
        <v>1</v>
      </c>
      <c r="C77" s="84">
        <v>20</v>
      </c>
      <c r="D77" s="84" t="s">
        <v>343</v>
      </c>
      <c r="E77" s="84" t="s">
        <v>344</v>
      </c>
      <c r="F77" s="84" t="s">
        <v>345</v>
      </c>
      <c r="G77" s="101">
        <v>2.6888999999999998</v>
      </c>
      <c r="H77" s="101">
        <v>2.68</v>
      </c>
      <c r="I77" s="121">
        <v>0.28000000000000003</v>
      </c>
      <c r="J77" s="101">
        <v>0.1</v>
      </c>
      <c r="K77" s="102">
        <v>0.18</v>
      </c>
      <c r="L77" s="119">
        <v>0</v>
      </c>
      <c r="M77" s="101"/>
      <c r="N77" s="101"/>
      <c r="O77" s="96" t="s">
        <v>379</v>
      </c>
      <c r="P77" s="97" t="s">
        <v>379</v>
      </c>
      <c r="Q77" s="97" t="s">
        <v>379</v>
      </c>
      <c r="R77" s="97" t="s">
        <v>379</v>
      </c>
      <c r="S77" s="95" t="s">
        <v>379</v>
      </c>
      <c r="T77" s="74"/>
      <c r="U77" s="74"/>
      <c r="V77" s="74"/>
      <c r="W77" s="74"/>
      <c r="X77" s="74"/>
      <c r="Y77" s="74"/>
      <c r="Z77" s="74"/>
      <c r="AA77" s="74"/>
      <c r="AC77" s="74"/>
      <c r="AD77" s="74"/>
      <c r="AE77" s="74"/>
      <c r="AF77" s="74"/>
      <c r="AG77" s="74"/>
      <c r="AH77" s="74"/>
      <c r="AL77" s="230"/>
      <c r="AM77" s="230"/>
    </row>
    <row r="78" spans="1:39" x14ac:dyDescent="0.2">
      <c r="A78" s="84" t="s">
        <v>526</v>
      </c>
      <c r="B78" s="84">
        <v>2</v>
      </c>
      <c r="C78" s="84">
        <v>20</v>
      </c>
      <c r="D78" s="84" t="s">
        <v>343</v>
      </c>
      <c r="E78" s="84" t="s">
        <v>346</v>
      </c>
      <c r="F78" s="84" t="s">
        <v>347</v>
      </c>
      <c r="G78" s="101">
        <v>41.205500000000001</v>
      </c>
      <c r="H78" s="101">
        <v>41.2</v>
      </c>
      <c r="I78" s="121">
        <v>17.809999999999999</v>
      </c>
      <c r="J78" s="101">
        <v>8.14</v>
      </c>
      <c r="K78" s="102">
        <v>9.67</v>
      </c>
      <c r="L78" s="119">
        <v>0.84303000000000061</v>
      </c>
      <c r="M78" s="101"/>
      <c r="N78" s="101"/>
      <c r="O78" s="96" t="s">
        <v>379</v>
      </c>
      <c r="P78" s="97" t="s">
        <v>388</v>
      </c>
      <c r="Q78" s="236" t="s">
        <v>394</v>
      </c>
      <c r="R78" s="97" t="s">
        <v>379</v>
      </c>
      <c r="S78" s="95" t="s">
        <v>379</v>
      </c>
      <c r="T78" s="74"/>
      <c r="U78" s="74"/>
      <c r="V78" s="74"/>
      <c r="W78" s="74"/>
      <c r="X78" s="74"/>
      <c r="Y78" s="74"/>
      <c r="Z78" s="74"/>
      <c r="AA78" s="74"/>
      <c r="AC78" s="74"/>
      <c r="AD78" s="74"/>
      <c r="AE78" s="74"/>
      <c r="AF78" s="74"/>
      <c r="AG78" s="74"/>
      <c r="AH78" s="74"/>
      <c r="AL78" s="230"/>
      <c r="AM78" s="230"/>
    </row>
    <row r="79" spans="1:39" x14ac:dyDescent="0.2">
      <c r="A79" s="84" t="s">
        <v>527</v>
      </c>
      <c r="B79" s="84">
        <v>3</v>
      </c>
      <c r="C79" s="84">
        <v>20</v>
      </c>
      <c r="D79" s="84" t="s">
        <v>343</v>
      </c>
      <c r="E79" s="84" t="s">
        <v>348</v>
      </c>
      <c r="F79" s="84" t="s">
        <v>349</v>
      </c>
      <c r="G79" s="101">
        <v>56.991199999999999</v>
      </c>
      <c r="H79" s="101">
        <v>98.19</v>
      </c>
      <c r="I79" s="121">
        <v>21.11</v>
      </c>
      <c r="J79" s="101">
        <v>9.2100000000000009</v>
      </c>
      <c r="K79" s="102">
        <v>11.9</v>
      </c>
      <c r="L79" s="119">
        <v>1.0484580000000001</v>
      </c>
      <c r="M79" s="101"/>
      <c r="N79" s="101"/>
      <c r="O79" s="96" t="s">
        <v>379</v>
      </c>
      <c r="P79" s="97" t="s">
        <v>388</v>
      </c>
      <c r="Q79" s="236" t="s">
        <v>388</v>
      </c>
      <c r="R79" s="97" t="s">
        <v>379</v>
      </c>
      <c r="S79" s="95" t="s">
        <v>379</v>
      </c>
      <c r="T79" s="74"/>
      <c r="U79" s="74"/>
      <c r="V79" s="74"/>
      <c r="W79" s="74"/>
      <c r="X79" s="74"/>
      <c r="Y79" s="74"/>
      <c r="Z79" s="74"/>
      <c r="AA79" s="74"/>
      <c r="AC79" s="74"/>
      <c r="AD79" s="74"/>
      <c r="AE79" s="74"/>
      <c r="AF79" s="74"/>
      <c r="AG79" s="74"/>
      <c r="AH79" s="74"/>
      <c r="AL79" s="230"/>
      <c r="AM79" s="230"/>
    </row>
    <row r="80" spans="1:39" x14ac:dyDescent="0.2">
      <c r="A80" s="84" t="s">
        <v>528</v>
      </c>
      <c r="B80" s="84">
        <v>4</v>
      </c>
      <c r="C80" s="84">
        <v>20</v>
      </c>
      <c r="D80" s="84" t="s">
        <v>343</v>
      </c>
      <c r="E80" s="84" t="s">
        <v>350</v>
      </c>
      <c r="F80" s="84" t="s">
        <v>351</v>
      </c>
      <c r="G80" s="101">
        <v>25.928599999999999</v>
      </c>
      <c r="H80" s="101">
        <v>25.92</v>
      </c>
      <c r="I80" s="121">
        <v>7.35</v>
      </c>
      <c r="J80" s="101">
        <v>2.2400000000000002</v>
      </c>
      <c r="K80" s="102">
        <v>5.1100000000000003</v>
      </c>
      <c r="L80" s="119">
        <v>0.42183800000000005</v>
      </c>
      <c r="M80" s="101"/>
      <c r="N80" s="101"/>
      <c r="O80" s="96" t="s">
        <v>379</v>
      </c>
      <c r="P80" s="97" t="s">
        <v>379</v>
      </c>
      <c r="Q80" s="97" t="s">
        <v>379</v>
      </c>
      <c r="R80" s="97" t="s">
        <v>379</v>
      </c>
      <c r="S80" s="95" t="s">
        <v>380</v>
      </c>
      <c r="T80" s="74"/>
      <c r="U80" s="74"/>
      <c r="V80" s="74"/>
      <c r="W80" s="74"/>
      <c r="X80" s="74"/>
      <c r="Y80" s="74"/>
      <c r="Z80" s="74"/>
      <c r="AA80" s="74"/>
      <c r="AC80" s="74"/>
      <c r="AD80" s="74"/>
      <c r="AE80" s="74"/>
      <c r="AF80" s="74"/>
      <c r="AG80" s="74"/>
      <c r="AH80" s="74"/>
      <c r="AL80" s="230"/>
      <c r="AM80" s="230"/>
    </row>
    <row r="81" spans="1:39" x14ac:dyDescent="0.2">
      <c r="A81" s="84" t="s">
        <v>529</v>
      </c>
      <c r="B81" s="84">
        <v>5</v>
      </c>
      <c r="C81" s="84">
        <v>20</v>
      </c>
      <c r="D81" s="84" t="s">
        <v>343</v>
      </c>
      <c r="E81" s="84" t="s">
        <v>352</v>
      </c>
      <c r="F81" s="84" t="s">
        <v>353</v>
      </c>
      <c r="G81" s="101">
        <v>20.047499999999999</v>
      </c>
      <c r="H81" s="101">
        <v>144.15</v>
      </c>
      <c r="I81" s="121">
        <v>3.56</v>
      </c>
      <c r="J81" s="101">
        <v>1.21</v>
      </c>
      <c r="K81" s="102">
        <v>2.35</v>
      </c>
      <c r="L81" s="119">
        <v>0.36821999999999999</v>
      </c>
      <c r="M81" s="101"/>
      <c r="N81" s="101"/>
      <c r="O81" s="96" t="s">
        <v>379</v>
      </c>
      <c r="P81" s="97" t="s">
        <v>379</v>
      </c>
      <c r="Q81" s="97" t="s">
        <v>379</v>
      </c>
      <c r="R81" s="97" t="s">
        <v>379</v>
      </c>
      <c r="S81" s="95" t="s">
        <v>379</v>
      </c>
      <c r="T81" s="74"/>
      <c r="U81" s="74"/>
      <c r="V81" s="74"/>
      <c r="W81" s="74"/>
      <c r="X81" s="74"/>
      <c r="Y81" s="74"/>
      <c r="Z81" s="74"/>
      <c r="AA81" s="74"/>
      <c r="AC81" s="74"/>
      <c r="AD81" s="74"/>
      <c r="AE81" s="74"/>
      <c r="AF81" s="74"/>
      <c r="AG81" s="74"/>
      <c r="AH81" s="74"/>
      <c r="AL81" s="230"/>
      <c r="AM81" s="230"/>
    </row>
    <row r="82" spans="1:39" x14ac:dyDescent="0.2">
      <c r="A82" s="84" t="s">
        <v>530</v>
      </c>
      <c r="B82" s="84">
        <v>6</v>
      </c>
      <c r="C82" s="84">
        <v>20</v>
      </c>
      <c r="D82" s="84" t="s">
        <v>343</v>
      </c>
      <c r="E82" s="84" t="s">
        <v>354</v>
      </c>
      <c r="F82" s="84" t="s">
        <v>355</v>
      </c>
      <c r="G82" s="101">
        <v>23.386099999999999</v>
      </c>
      <c r="H82" s="101">
        <v>23.38</v>
      </c>
      <c r="I82" s="121">
        <v>5.8</v>
      </c>
      <c r="J82" s="101">
        <v>2.04</v>
      </c>
      <c r="K82" s="102">
        <v>3.76</v>
      </c>
      <c r="L82" s="119">
        <v>0.18863200000000008</v>
      </c>
      <c r="M82" s="101"/>
      <c r="N82" s="101"/>
      <c r="O82" s="96" t="s">
        <v>379</v>
      </c>
      <c r="P82" s="97" t="s">
        <v>379</v>
      </c>
      <c r="Q82" s="236" t="s">
        <v>388</v>
      </c>
      <c r="R82" s="97" t="s">
        <v>379</v>
      </c>
      <c r="S82" s="95" t="s">
        <v>379</v>
      </c>
      <c r="T82" s="74"/>
      <c r="U82" s="74"/>
      <c r="V82" s="74"/>
      <c r="W82" s="74"/>
      <c r="X82" s="74"/>
      <c r="Y82" s="74"/>
      <c r="Z82" s="74"/>
      <c r="AA82" s="74"/>
      <c r="AC82" s="74"/>
      <c r="AD82" s="74"/>
      <c r="AE82" s="74"/>
      <c r="AF82" s="74"/>
      <c r="AG82" s="74"/>
      <c r="AH82" s="74"/>
      <c r="AL82" s="230"/>
      <c r="AM82" s="230"/>
    </row>
    <row r="83" spans="1:39" x14ac:dyDescent="0.2">
      <c r="A83" s="84" t="s">
        <v>531</v>
      </c>
      <c r="B83" s="84">
        <v>7</v>
      </c>
      <c r="C83" s="84">
        <v>20</v>
      </c>
      <c r="D83" s="84" t="s">
        <v>343</v>
      </c>
      <c r="E83" s="84" t="s">
        <v>356</v>
      </c>
      <c r="F83" s="84" t="s">
        <v>357</v>
      </c>
      <c r="G83" s="101">
        <v>25.921900000000001</v>
      </c>
      <c r="H83" s="101">
        <v>25.92</v>
      </c>
      <c r="I83" s="121">
        <v>2.36</v>
      </c>
      <c r="J83" s="101">
        <v>0.52</v>
      </c>
      <c r="K83" s="102">
        <v>1.84</v>
      </c>
      <c r="L83" s="119">
        <v>0.49031400000000003</v>
      </c>
      <c r="M83" s="101"/>
      <c r="N83" s="101"/>
      <c r="O83" s="96" t="s">
        <v>379</v>
      </c>
      <c r="P83" s="97" t="s">
        <v>379</v>
      </c>
      <c r="Q83" s="236" t="s">
        <v>388</v>
      </c>
      <c r="R83" s="97" t="s">
        <v>379</v>
      </c>
      <c r="S83" s="95" t="s">
        <v>380</v>
      </c>
      <c r="T83" s="74"/>
      <c r="U83" s="74"/>
      <c r="V83" s="74"/>
      <c r="W83" s="74"/>
      <c r="X83" s="74"/>
      <c r="Y83" s="74"/>
      <c r="Z83" s="74"/>
      <c r="AA83" s="74"/>
      <c r="AC83" s="74"/>
      <c r="AD83" s="74"/>
      <c r="AE83" s="74"/>
      <c r="AF83" s="74"/>
      <c r="AG83" s="74"/>
      <c r="AH83" s="74"/>
      <c r="AL83" s="230"/>
      <c r="AM83" s="230"/>
    </row>
    <row r="84" spans="1:39" x14ac:dyDescent="0.2">
      <c r="A84" s="84" t="s">
        <v>532</v>
      </c>
      <c r="B84" s="84">
        <v>8</v>
      </c>
      <c r="C84" s="84">
        <v>20</v>
      </c>
      <c r="D84" s="84" t="s">
        <v>343</v>
      </c>
      <c r="E84" s="84" t="s">
        <v>358</v>
      </c>
      <c r="F84" s="84" t="s">
        <v>359</v>
      </c>
      <c r="G84" s="101">
        <v>45.911700000000003</v>
      </c>
      <c r="H84" s="101">
        <v>45.91</v>
      </c>
      <c r="I84" s="121">
        <v>5.0999999999999996</v>
      </c>
      <c r="J84" s="101">
        <v>1.5</v>
      </c>
      <c r="K84" s="102">
        <v>3.6</v>
      </c>
      <c r="L84" s="119">
        <v>0.52132200000000006</v>
      </c>
      <c r="M84" s="101"/>
      <c r="N84" s="101"/>
      <c r="O84" s="96" t="s">
        <v>379</v>
      </c>
      <c r="P84" s="97" t="s">
        <v>388</v>
      </c>
      <c r="Q84" s="236" t="s">
        <v>388</v>
      </c>
      <c r="R84" s="97" t="s">
        <v>379</v>
      </c>
      <c r="S84" s="95" t="s">
        <v>380</v>
      </c>
      <c r="T84" s="74"/>
      <c r="U84" s="74"/>
      <c r="V84" s="74"/>
      <c r="W84" s="74"/>
      <c r="X84" s="74"/>
      <c r="Y84" s="74"/>
      <c r="Z84" s="74"/>
      <c r="AA84" s="74"/>
      <c r="AC84" s="74"/>
      <c r="AD84" s="74"/>
      <c r="AE84" s="74"/>
      <c r="AF84" s="74"/>
      <c r="AG84" s="74"/>
      <c r="AH84" s="74"/>
      <c r="AL84" s="230"/>
      <c r="AM84" s="230"/>
    </row>
    <row r="85" spans="1:39" x14ac:dyDescent="0.2">
      <c r="A85" s="84" t="s">
        <v>533</v>
      </c>
      <c r="B85" s="84">
        <v>9</v>
      </c>
      <c r="C85" s="84">
        <v>20</v>
      </c>
      <c r="D85" s="84" t="s">
        <v>343</v>
      </c>
      <c r="E85" s="84" t="s">
        <v>360</v>
      </c>
      <c r="F85" s="84" t="s">
        <v>361</v>
      </c>
      <c r="G85" s="101">
        <v>6.5712000000000002</v>
      </c>
      <c r="H85" s="101">
        <v>6.57</v>
      </c>
      <c r="I85" s="121">
        <v>1.28</v>
      </c>
      <c r="J85" s="101">
        <v>0.5</v>
      </c>
      <c r="K85" s="102">
        <v>0.78</v>
      </c>
      <c r="L85" s="119">
        <v>5.5555999999999939E-2</v>
      </c>
      <c r="M85" s="101"/>
      <c r="N85" s="101"/>
      <c r="O85" s="96" t="s">
        <v>379</v>
      </c>
      <c r="P85" s="97" t="s">
        <v>379</v>
      </c>
      <c r="Q85" s="236" t="s">
        <v>388</v>
      </c>
      <c r="R85" s="97" t="s">
        <v>379</v>
      </c>
      <c r="S85" s="95" t="s">
        <v>379</v>
      </c>
      <c r="T85" s="74"/>
      <c r="U85" s="74"/>
      <c r="V85" s="74"/>
      <c r="W85" s="74"/>
      <c r="X85" s="74"/>
      <c r="Y85" s="74"/>
      <c r="Z85" s="74"/>
      <c r="AA85" s="74"/>
      <c r="AC85" s="74"/>
      <c r="AD85" s="74"/>
      <c r="AE85" s="74"/>
      <c r="AF85" s="74"/>
      <c r="AG85" s="74"/>
      <c r="AH85" s="74"/>
      <c r="AL85" s="230"/>
      <c r="AM85" s="230"/>
    </row>
    <row r="86" spans="1:39" x14ac:dyDescent="0.2">
      <c r="A86" s="84" t="s">
        <v>518</v>
      </c>
      <c r="B86" s="84">
        <v>1</v>
      </c>
      <c r="C86" s="84">
        <v>19</v>
      </c>
      <c r="D86" s="84" t="s">
        <v>51</v>
      </c>
      <c r="E86" s="84" t="s">
        <v>329</v>
      </c>
      <c r="F86" s="84" t="s">
        <v>330</v>
      </c>
      <c r="G86" s="101">
        <v>32.1051</v>
      </c>
      <c r="H86" s="101">
        <v>32.1</v>
      </c>
      <c r="I86" s="121">
        <v>17.66</v>
      </c>
      <c r="J86" s="101">
        <v>7.03</v>
      </c>
      <c r="K86" s="102">
        <v>10.63</v>
      </c>
      <c r="L86" s="119">
        <v>0.25710799999999989</v>
      </c>
      <c r="M86" s="101"/>
      <c r="N86" s="101"/>
      <c r="O86" s="96" t="s">
        <v>379</v>
      </c>
      <c r="P86" s="97" t="s">
        <v>394</v>
      </c>
      <c r="Q86" s="236" t="s">
        <v>394</v>
      </c>
      <c r="R86" s="97" t="s">
        <v>379</v>
      </c>
      <c r="S86" s="95" t="s">
        <v>379</v>
      </c>
      <c r="T86" s="74"/>
      <c r="U86" s="74"/>
      <c r="V86" s="74"/>
      <c r="W86" s="74"/>
      <c r="X86" s="74"/>
      <c r="Y86" s="74"/>
      <c r="Z86" s="74"/>
      <c r="AA86" s="74"/>
      <c r="AC86" s="74"/>
      <c r="AD86" s="74"/>
      <c r="AE86" s="74"/>
      <c r="AF86" s="74"/>
      <c r="AG86" s="74"/>
      <c r="AH86" s="74"/>
      <c r="AL86" s="230"/>
      <c r="AM86" s="230"/>
    </row>
    <row r="87" spans="1:39" x14ac:dyDescent="0.2">
      <c r="A87" s="84" t="s">
        <v>519</v>
      </c>
      <c r="B87" s="84">
        <v>2</v>
      </c>
      <c r="C87" s="84">
        <v>19</v>
      </c>
      <c r="D87" s="84" t="s">
        <v>51</v>
      </c>
      <c r="E87" s="84" t="s">
        <v>331</v>
      </c>
      <c r="F87" s="84" t="s">
        <v>332</v>
      </c>
      <c r="G87" s="101">
        <v>78.146799999999999</v>
      </c>
      <c r="H87" s="101">
        <v>78.14</v>
      </c>
      <c r="I87" s="121">
        <v>31.29</v>
      </c>
      <c r="J87" s="101">
        <v>13.69</v>
      </c>
      <c r="K87" s="102">
        <v>17.600000000000001</v>
      </c>
      <c r="L87" s="119">
        <v>1.3565999999997302E-2</v>
      </c>
      <c r="M87" s="101"/>
      <c r="N87" s="101"/>
      <c r="O87" s="96" t="s">
        <v>379</v>
      </c>
      <c r="P87" s="97" t="s">
        <v>388</v>
      </c>
      <c r="Q87" s="236" t="s">
        <v>394</v>
      </c>
      <c r="R87" s="97" t="s">
        <v>379</v>
      </c>
      <c r="S87" s="95" t="s">
        <v>379</v>
      </c>
      <c r="T87" s="74"/>
      <c r="U87" s="74"/>
      <c r="V87" s="74"/>
      <c r="W87" s="74"/>
      <c r="X87" s="74"/>
      <c r="Y87" s="74"/>
      <c r="Z87" s="74"/>
      <c r="AA87" s="74"/>
      <c r="AC87" s="74"/>
      <c r="AD87" s="74"/>
      <c r="AE87" s="74"/>
      <c r="AF87" s="74"/>
      <c r="AG87" s="74"/>
      <c r="AH87" s="74"/>
      <c r="AL87" s="230"/>
      <c r="AM87" s="230"/>
    </row>
    <row r="88" spans="1:39" x14ac:dyDescent="0.2">
      <c r="A88" s="84" t="s">
        <v>520</v>
      </c>
      <c r="B88" s="84">
        <v>3</v>
      </c>
      <c r="C88" s="84">
        <v>19</v>
      </c>
      <c r="D88" s="84" t="s">
        <v>51</v>
      </c>
      <c r="E88" s="84" t="s">
        <v>333</v>
      </c>
      <c r="F88" s="84" t="s">
        <v>334</v>
      </c>
      <c r="G88" s="101">
        <v>37.628399999999999</v>
      </c>
      <c r="H88" s="101">
        <v>147.86000000000001</v>
      </c>
      <c r="I88" s="121">
        <v>17.72</v>
      </c>
      <c r="J88" s="101">
        <v>7.37</v>
      </c>
      <c r="K88" s="102">
        <v>10.35</v>
      </c>
      <c r="L88" s="119">
        <v>0.93476199999999998</v>
      </c>
      <c r="M88" s="101"/>
      <c r="N88" s="101"/>
      <c r="O88" s="96" t="s">
        <v>379</v>
      </c>
      <c r="P88" s="97" t="s">
        <v>388</v>
      </c>
      <c r="Q88" s="236" t="s">
        <v>394</v>
      </c>
      <c r="R88" s="97" t="s">
        <v>379</v>
      </c>
      <c r="S88" s="95" t="s">
        <v>379</v>
      </c>
      <c r="T88" s="74"/>
      <c r="U88" s="74"/>
      <c r="V88" s="74"/>
      <c r="W88" s="74"/>
      <c r="X88" s="74"/>
      <c r="Y88" s="74"/>
      <c r="Z88" s="74"/>
      <c r="AA88" s="74"/>
      <c r="AC88" s="74"/>
      <c r="AD88" s="74"/>
      <c r="AE88" s="74"/>
      <c r="AF88" s="74"/>
      <c r="AG88" s="74"/>
      <c r="AH88" s="74"/>
      <c r="AL88" s="230"/>
      <c r="AM88" s="230"/>
    </row>
    <row r="89" spans="1:39" x14ac:dyDescent="0.2">
      <c r="A89" s="84" t="s">
        <v>521</v>
      </c>
      <c r="B89" s="84">
        <v>4</v>
      </c>
      <c r="C89" s="84">
        <v>19</v>
      </c>
      <c r="D89" s="84" t="s">
        <v>51</v>
      </c>
      <c r="E89" s="84" t="s">
        <v>335</v>
      </c>
      <c r="F89" s="84" t="s">
        <v>336</v>
      </c>
      <c r="G89" s="101">
        <v>68.576099999999997</v>
      </c>
      <c r="H89" s="101">
        <v>144.55000000000001</v>
      </c>
      <c r="I89" s="121">
        <v>20.5</v>
      </c>
      <c r="J89" s="101">
        <v>6.09</v>
      </c>
      <c r="K89" s="102">
        <v>14.41</v>
      </c>
      <c r="L89" s="119">
        <v>0.4450940000000001</v>
      </c>
      <c r="M89" s="101"/>
      <c r="N89" s="101"/>
      <c r="O89" s="96" t="s">
        <v>379</v>
      </c>
      <c r="P89" s="97" t="s">
        <v>388</v>
      </c>
      <c r="Q89" s="236" t="s">
        <v>394</v>
      </c>
      <c r="R89" s="97" t="s">
        <v>379</v>
      </c>
      <c r="S89" s="95" t="s">
        <v>380</v>
      </c>
      <c r="T89" s="74"/>
      <c r="U89" s="74"/>
      <c r="V89" s="74"/>
      <c r="W89" s="74"/>
      <c r="X89" s="74"/>
      <c r="Y89" s="74"/>
      <c r="Z89" s="74"/>
      <c r="AA89" s="74"/>
      <c r="AC89" s="74"/>
      <c r="AD89" s="74"/>
      <c r="AE89" s="74"/>
      <c r="AF89" s="74"/>
      <c r="AG89" s="74"/>
      <c r="AH89" s="74"/>
      <c r="AL89" s="230"/>
      <c r="AM89" s="230"/>
    </row>
    <row r="90" spans="1:39" x14ac:dyDescent="0.2">
      <c r="A90" s="84" t="s">
        <v>522</v>
      </c>
      <c r="B90" s="84">
        <v>5</v>
      </c>
      <c r="C90" s="84">
        <v>19</v>
      </c>
      <c r="D90" s="84" t="s">
        <v>51</v>
      </c>
      <c r="E90" s="84" t="s">
        <v>337</v>
      </c>
      <c r="F90" s="84" t="s">
        <v>338</v>
      </c>
      <c r="G90" s="101">
        <v>75.988799999999998</v>
      </c>
      <c r="H90" s="101">
        <v>75.98</v>
      </c>
      <c r="I90" s="121">
        <v>26.81</v>
      </c>
      <c r="J90" s="101">
        <v>12.9</v>
      </c>
      <c r="K90" s="102">
        <v>13.91</v>
      </c>
      <c r="L90" s="119">
        <v>2.1143580000000002</v>
      </c>
      <c r="M90" s="101"/>
      <c r="N90" s="101"/>
      <c r="O90" s="96" t="s">
        <v>379</v>
      </c>
      <c r="P90" s="97" t="s">
        <v>388</v>
      </c>
      <c r="Q90" s="236" t="s">
        <v>394</v>
      </c>
      <c r="R90" s="97" t="s">
        <v>379</v>
      </c>
      <c r="S90" s="95" t="s">
        <v>379</v>
      </c>
      <c r="T90" s="74"/>
      <c r="U90" s="74"/>
      <c r="V90" s="74"/>
      <c r="W90" s="74"/>
      <c r="X90" s="74"/>
      <c r="Y90" s="74"/>
      <c r="Z90" s="74"/>
      <c r="AA90" s="74"/>
      <c r="AC90" s="74"/>
      <c r="AD90" s="74"/>
      <c r="AE90" s="74"/>
      <c r="AF90" s="74"/>
      <c r="AG90" s="74"/>
      <c r="AH90" s="74"/>
      <c r="AL90" s="230"/>
      <c r="AM90" s="230"/>
    </row>
    <row r="91" spans="1:39" x14ac:dyDescent="0.2">
      <c r="A91" s="84" t="s">
        <v>523</v>
      </c>
      <c r="B91" s="84">
        <v>6</v>
      </c>
      <c r="C91" s="84">
        <v>19</v>
      </c>
      <c r="D91" s="84" t="s">
        <v>51</v>
      </c>
      <c r="E91" s="84" t="s">
        <v>339</v>
      </c>
      <c r="F91" s="84" t="s">
        <v>340</v>
      </c>
      <c r="G91" s="101">
        <v>22.552199999999999</v>
      </c>
      <c r="H91" s="101">
        <v>167.1</v>
      </c>
      <c r="I91" s="121">
        <v>4.6900000000000004</v>
      </c>
      <c r="J91" s="101">
        <v>1.73</v>
      </c>
      <c r="K91" s="102">
        <v>2.96</v>
      </c>
      <c r="L91" s="119">
        <v>0.56201999999999996</v>
      </c>
      <c r="M91" s="101"/>
      <c r="N91" s="101"/>
      <c r="O91" s="96" t="s">
        <v>379</v>
      </c>
      <c r="P91" s="97" t="s">
        <v>388</v>
      </c>
      <c r="Q91" s="236" t="s">
        <v>394</v>
      </c>
      <c r="R91" s="97" t="s">
        <v>379</v>
      </c>
      <c r="S91" s="95" t="s">
        <v>379</v>
      </c>
      <c r="T91" s="74"/>
      <c r="U91" s="74"/>
      <c r="V91" s="74"/>
      <c r="W91" s="74"/>
      <c r="X91" s="74"/>
      <c r="Y91" s="74"/>
      <c r="Z91" s="74"/>
      <c r="AA91" s="74"/>
      <c r="AC91" s="74"/>
      <c r="AD91" s="74"/>
      <c r="AE91" s="74"/>
      <c r="AF91" s="74"/>
      <c r="AG91" s="74"/>
      <c r="AH91" s="74"/>
      <c r="AL91" s="230"/>
      <c r="AM91" s="230"/>
    </row>
    <row r="92" spans="1:39" x14ac:dyDescent="0.2">
      <c r="A92" s="84" t="s">
        <v>524</v>
      </c>
      <c r="B92" s="84">
        <v>7</v>
      </c>
      <c r="C92" s="84">
        <v>19</v>
      </c>
      <c r="D92" s="84" t="s">
        <v>51</v>
      </c>
      <c r="E92" s="84" t="s">
        <v>341</v>
      </c>
      <c r="F92" s="84" t="s">
        <v>342</v>
      </c>
      <c r="G92" s="101">
        <v>34.710799999999999</v>
      </c>
      <c r="H92" s="101">
        <v>349.67</v>
      </c>
      <c r="I92" s="121">
        <v>6.77</v>
      </c>
      <c r="J92" s="101">
        <v>2.65</v>
      </c>
      <c r="K92" s="102">
        <v>4.12</v>
      </c>
      <c r="L92" s="119">
        <v>1.3159019999999999</v>
      </c>
      <c r="M92" s="101"/>
      <c r="N92" s="101"/>
      <c r="O92" s="96" t="s">
        <v>379</v>
      </c>
      <c r="P92" s="97" t="s">
        <v>379</v>
      </c>
      <c r="Q92" s="236" t="s">
        <v>388</v>
      </c>
      <c r="R92" s="97" t="s">
        <v>379</v>
      </c>
      <c r="S92" s="95" t="s">
        <v>379</v>
      </c>
      <c r="T92" s="74"/>
      <c r="U92" s="74"/>
      <c r="V92" s="74"/>
      <c r="W92" s="74"/>
      <c r="X92" s="74"/>
      <c r="Y92" s="74"/>
      <c r="Z92" s="74"/>
      <c r="AA92" s="74"/>
      <c r="AC92" s="74"/>
      <c r="AD92" s="74"/>
      <c r="AE92" s="74"/>
      <c r="AF92" s="74"/>
      <c r="AG92" s="74"/>
      <c r="AH92" s="74"/>
      <c r="AL92" s="230"/>
      <c r="AM92" s="230"/>
    </row>
    <row r="93" spans="1:39" x14ac:dyDescent="0.2">
      <c r="A93" s="84" t="s">
        <v>510</v>
      </c>
      <c r="B93" s="84">
        <v>1</v>
      </c>
      <c r="C93" s="84">
        <v>18</v>
      </c>
      <c r="D93" s="84" t="s">
        <v>50</v>
      </c>
      <c r="E93" s="84" t="s">
        <v>313</v>
      </c>
      <c r="F93" s="84" t="s">
        <v>314</v>
      </c>
      <c r="G93" s="101">
        <v>18.479900000000001</v>
      </c>
      <c r="H93" s="101">
        <v>18.47</v>
      </c>
      <c r="I93" s="121">
        <v>3.7</v>
      </c>
      <c r="J93" s="101">
        <v>1.35</v>
      </c>
      <c r="K93" s="102">
        <v>2.35</v>
      </c>
      <c r="L93" s="119">
        <v>1.1757199999999999</v>
      </c>
      <c r="M93" s="101"/>
      <c r="N93" s="101"/>
      <c r="O93" s="96" t="s">
        <v>379</v>
      </c>
      <c r="P93" s="97" t="s">
        <v>379</v>
      </c>
      <c r="Q93" s="236" t="s">
        <v>388</v>
      </c>
      <c r="R93" s="97" t="s">
        <v>379</v>
      </c>
      <c r="S93" s="95" t="s">
        <v>379</v>
      </c>
      <c r="T93" s="74"/>
      <c r="U93" s="74"/>
      <c r="V93" s="74"/>
      <c r="W93" s="74"/>
      <c r="X93" s="74"/>
      <c r="Y93" s="74"/>
      <c r="Z93" s="74"/>
      <c r="AA93" s="74"/>
      <c r="AC93" s="74"/>
      <c r="AD93" s="74"/>
      <c r="AE93" s="74"/>
      <c r="AF93" s="74"/>
      <c r="AG93" s="74"/>
      <c r="AH93" s="74"/>
      <c r="AL93" s="230"/>
      <c r="AM93" s="230"/>
    </row>
    <row r="94" spans="1:39" x14ac:dyDescent="0.2">
      <c r="A94" s="84" t="s">
        <v>511</v>
      </c>
      <c r="B94" s="84">
        <v>2</v>
      </c>
      <c r="C94" s="84">
        <v>18</v>
      </c>
      <c r="D94" s="84" t="s">
        <v>50</v>
      </c>
      <c r="E94" s="84" t="s">
        <v>315</v>
      </c>
      <c r="F94" s="84" t="s">
        <v>316</v>
      </c>
      <c r="G94" s="101">
        <v>36.200800000000001</v>
      </c>
      <c r="H94" s="101">
        <v>36.200000000000003</v>
      </c>
      <c r="I94" s="121">
        <v>9.7799999999999994</v>
      </c>
      <c r="J94" s="101">
        <v>4.3899999999999997</v>
      </c>
      <c r="K94" s="102">
        <v>5.39</v>
      </c>
      <c r="L94" s="119">
        <v>4.0814280000000007</v>
      </c>
      <c r="M94" s="101"/>
      <c r="N94" s="101"/>
      <c r="O94" s="96" t="s">
        <v>379</v>
      </c>
      <c r="P94" s="97" t="s">
        <v>379</v>
      </c>
      <c r="Q94" s="236" t="s">
        <v>388</v>
      </c>
      <c r="R94" s="97" t="s">
        <v>379</v>
      </c>
      <c r="S94" s="95" t="s">
        <v>379</v>
      </c>
      <c r="T94" s="74"/>
      <c r="U94" s="74"/>
      <c r="V94" s="74"/>
      <c r="W94" s="74"/>
      <c r="X94" s="74"/>
      <c r="Y94" s="74"/>
      <c r="Z94" s="74"/>
      <c r="AA94" s="74"/>
      <c r="AC94" s="74"/>
      <c r="AD94" s="74"/>
      <c r="AE94" s="74"/>
      <c r="AF94" s="74"/>
      <c r="AG94" s="74"/>
      <c r="AH94" s="74"/>
      <c r="AL94" s="230"/>
      <c r="AM94" s="230"/>
    </row>
    <row r="95" spans="1:39" x14ac:dyDescent="0.2">
      <c r="A95" s="84" t="s">
        <v>512</v>
      </c>
      <c r="B95" s="84">
        <v>3</v>
      </c>
      <c r="C95" s="84">
        <v>18</v>
      </c>
      <c r="D95" s="84" t="s">
        <v>50</v>
      </c>
      <c r="E95" s="84" t="s">
        <v>317</v>
      </c>
      <c r="F95" s="84" t="s">
        <v>318</v>
      </c>
      <c r="G95" s="101">
        <v>48.509900000000002</v>
      </c>
      <c r="H95" s="101">
        <v>48.5</v>
      </c>
      <c r="I95" s="121">
        <v>17.170000000000002</v>
      </c>
      <c r="J95" s="101">
        <v>8.39</v>
      </c>
      <c r="K95" s="102">
        <v>8.7799999999999994</v>
      </c>
      <c r="L95" s="119">
        <v>3.6673419999999997</v>
      </c>
      <c r="M95" s="101"/>
      <c r="N95" s="101"/>
      <c r="O95" s="96" t="s">
        <v>379</v>
      </c>
      <c r="P95" s="97" t="s">
        <v>379</v>
      </c>
      <c r="Q95" s="236" t="s">
        <v>388</v>
      </c>
      <c r="R95" s="97" t="s">
        <v>379</v>
      </c>
      <c r="S95" s="95" t="s">
        <v>379</v>
      </c>
      <c r="T95" s="74"/>
      <c r="U95" s="74"/>
      <c r="V95" s="74"/>
      <c r="W95" s="74"/>
      <c r="X95" s="74"/>
      <c r="Y95" s="74"/>
      <c r="Z95" s="74"/>
      <c r="AA95" s="74"/>
      <c r="AC95" s="74"/>
      <c r="AD95" s="74"/>
      <c r="AE95" s="74"/>
      <c r="AF95" s="74"/>
      <c r="AG95" s="74"/>
      <c r="AH95" s="74"/>
      <c r="AL95" s="230"/>
      <c r="AM95" s="230"/>
    </row>
    <row r="96" spans="1:39" x14ac:dyDescent="0.2">
      <c r="A96" s="84" t="s">
        <v>513</v>
      </c>
      <c r="B96" s="84">
        <v>4</v>
      </c>
      <c r="C96" s="84">
        <v>18</v>
      </c>
      <c r="D96" s="84" t="s">
        <v>50</v>
      </c>
      <c r="E96" s="84" t="s">
        <v>319</v>
      </c>
      <c r="F96" s="84" t="s">
        <v>320</v>
      </c>
      <c r="G96" s="101">
        <v>95.740200000000002</v>
      </c>
      <c r="H96" s="101">
        <v>95.74</v>
      </c>
      <c r="I96" s="121">
        <v>68.98</v>
      </c>
      <c r="J96" s="101">
        <v>41.91</v>
      </c>
      <c r="K96" s="102">
        <v>27.07</v>
      </c>
      <c r="L96" s="119">
        <v>4.0155360000000009</v>
      </c>
      <c r="M96" s="101"/>
      <c r="N96" s="101"/>
      <c r="O96" s="96" t="s">
        <v>379</v>
      </c>
      <c r="P96" s="97" t="s">
        <v>379</v>
      </c>
      <c r="Q96" s="236" t="s">
        <v>394</v>
      </c>
      <c r="R96" s="97" t="s">
        <v>379</v>
      </c>
      <c r="S96" s="95" t="s">
        <v>379</v>
      </c>
      <c r="T96" s="74"/>
      <c r="U96" s="74"/>
      <c r="V96" s="74"/>
      <c r="W96" s="74"/>
      <c r="X96" s="74"/>
      <c r="Y96" s="74"/>
      <c r="Z96" s="74"/>
      <c r="AA96" s="74"/>
      <c r="AC96" s="74"/>
      <c r="AD96" s="74"/>
      <c r="AE96" s="74"/>
      <c r="AF96" s="74"/>
      <c r="AG96" s="74"/>
      <c r="AH96" s="74"/>
      <c r="AL96" s="230"/>
      <c r="AM96" s="230"/>
    </row>
    <row r="97" spans="1:39" x14ac:dyDescent="0.2">
      <c r="A97" s="84" t="s">
        <v>514</v>
      </c>
      <c r="B97" s="84">
        <v>5</v>
      </c>
      <c r="C97" s="84">
        <v>18</v>
      </c>
      <c r="D97" s="84" t="s">
        <v>50</v>
      </c>
      <c r="E97" s="84" t="s">
        <v>321</v>
      </c>
      <c r="F97" s="84" t="s">
        <v>322</v>
      </c>
      <c r="G97" s="101">
        <v>50.120699999999999</v>
      </c>
      <c r="H97" s="101">
        <v>50.12</v>
      </c>
      <c r="I97" s="121">
        <v>26.2</v>
      </c>
      <c r="J97" s="101">
        <v>11.51</v>
      </c>
      <c r="K97" s="102">
        <v>14.69</v>
      </c>
      <c r="L97" s="119">
        <v>1.8540199999999993</v>
      </c>
      <c r="M97" s="101"/>
      <c r="N97" s="101"/>
      <c r="O97" s="96" t="s">
        <v>379</v>
      </c>
      <c r="P97" s="97" t="s">
        <v>379</v>
      </c>
      <c r="Q97" s="236" t="s">
        <v>394</v>
      </c>
      <c r="R97" s="97" t="s">
        <v>379</v>
      </c>
      <c r="S97" s="95" t="s">
        <v>379</v>
      </c>
      <c r="T97" s="74"/>
      <c r="U97" s="74"/>
      <c r="V97" s="74"/>
      <c r="W97" s="74"/>
      <c r="X97" s="74"/>
      <c r="Y97" s="74"/>
      <c r="Z97" s="74"/>
      <c r="AA97" s="74"/>
      <c r="AC97" s="74"/>
      <c r="AD97" s="74"/>
      <c r="AE97" s="74"/>
      <c r="AF97" s="74"/>
      <c r="AG97" s="74"/>
      <c r="AH97" s="74"/>
      <c r="AL97" s="230"/>
      <c r="AM97" s="230"/>
    </row>
    <row r="98" spans="1:39" x14ac:dyDescent="0.2">
      <c r="A98" s="84" t="s">
        <v>515</v>
      </c>
      <c r="B98" s="84">
        <v>6</v>
      </c>
      <c r="C98" s="84">
        <v>18</v>
      </c>
      <c r="D98" s="84" t="s">
        <v>50</v>
      </c>
      <c r="E98" s="84" t="s">
        <v>323</v>
      </c>
      <c r="F98" s="84" t="s">
        <v>324</v>
      </c>
      <c r="G98" s="101">
        <v>35.795000000000002</v>
      </c>
      <c r="H98" s="101">
        <v>35.79</v>
      </c>
      <c r="I98" s="121">
        <v>17.440000000000001</v>
      </c>
      <c r="J98" s="101">
        <v>5.87</v>
      </c>
      <c r="K98" s="102">
        <v>11.57</v>
      </c>
      <c r="L98" s="119">
        <v>1.2745580000000003</v>
      </c>
      <c r="M98" s="101"/>
      <c r="N98" s="101"/>
      <c r="O98" s="96" t="s">
        <v>379</v>
      </c>
      <c r="P98" s="97" t="s">
        <v>379</v>
      </c>
      <c r="Q98" s="236" t="s">
        <v>388</v>
      </c>
      <c r="R98" s="97" t="s">
        <v>379</v>
      </c>
      <c r="S98" s="95" t="s">
        <v>379</v>
      </c>
      <c r="T98" s="74"/>
      <c r="U98" s="74"/>
      <c r="V98" s="74"/>
      <c r="W98" s="74"/>
      <c r="X98" s="74"/>
      <c r="Y98" s="74"/>
      <c r="Z98" s="74"/>
      <c r="AA98" s="74"/>
      <c r="AC98" s="74"/>
      <c r="AD98" s="74"/>
      <c r="AE98" s="74"/>
      <c r="AF98" s="74"/>
      <c r="AG98" s="74"/>
      <c r="AH98" s="74"/>
      <c r="AL98" s="230"/>
      <c r="AM98" s="230"/>
    </row>
    <row r="99" spans="1:39" x14ac:dyDescent="0.2">
      <c r="A99" s="84" t="s">
        <v>516</v>
      </c>
      <c r="B99" s="84">
        <v>7</v>
      </c>
      <c r="C99" s="84">
        <v>18</v>
      </c>
      <c r="D99" s="84" t="s">
        <v>50</v>
      </c>
      <c r="E99" s="84" t="s">
        <v>325</v>
      </c>
      <c r="F99" s="84" t="s">
        <v>326</v>
      </c>
      <c r="G99" s="101">
        <v>48.438800000000001</v>
      </c>
      <c r="H99" s="101">
        <v>48.43</v>
      </c>
      <c r="I99" s="121">
        <v>20.84</v>
      </c>
      <c r="J99" s="101">
        <v>9.6</v>
      </c>
      <c r="K99" s="102">
        <v>11.24</v>
      </c>
      <c r="L99" s="119">
        <v>1.3779180000000002</v>
      </c>
      <c r="M99" s="101"/>
      <c r="N99" s="101"/>
      <c r="O99" s="96" t="s">
        <v>379</v>
      </c>
      <c r="P99" s="97" t="s">
        <v>379</v>
      </c>
      <c r="Q99" s="236" t="s">
        <v>388</v>
      </c>
      <c r="R99" s="97" t="s">
        <v>379</v>
      </c>
      <c r="S99" s="95" t="s">
        <v>379</v>
      </c>
      <c r="T99" s="74"/>
      <c r="U99" s="74"/>
      <c r="V99" s="74"/>
      <c r="W99" s="74"/>
      <c r="X99" s="74"/>
      <c r="Y99" s="74"/>
      <c r="Z99" s="74"/>
      <c r="AA99" s="74"/>
      <c r="AC99" s="74"/>
      <c r="AD99" s="74"/>
      <c r="AE99" s="74"/>
      <c r="AF99" s="74"/>
      <c r="AG99" s="74"/>
      <c r="AH99" s="74"/>
      <c r="AL99" s="230"/>
      <c r="AM99" s="230"/>
    </row>
    <row r="100" spans="1:39" x14ac:dyDescent="0.2">
      <c r="A100" s="84" t="s">
        <v>517</v>
      </c>
      <c r="B100" s="84">
        <v>8</v>
      </c>
      <c r="C100" s="84">
        <v>18</v>
      </c>
      <c r="D100" s="84" t="s">
        <v>50</v>
      </c>
      <c r="E100" s="84" t="s">
        <v>327</v>
      </c>
      <c r="F100" s="84" t="s">
        <v>328</v>
      </c>
      <c r="G100" s="101">
        <v>43.876300000000001</v>
      </c>
      <c r="H100" s="101">
        <v>43.87</v>
      </c>
      <c r="I100" s="121">
        <v>16</v>
      </c>
      <c r="J100" s="101">
        <v>6.63</v>
      </c>
      <c r="K100" s="102">
        <v>9.3699999999999992</v>
      </c>
      <c r="L100" s="119">
        <v>0.8921260000000002</v>
      </c>
      <c r="M100" s="101"/>
      <c r="N100" s="101"/>
      <c r="O100" s="96" t="s">
        <v>379</v>
      </c>
      <c r="P100" s="97" t="s">
        <v>379</v>
      </c>
      <c r="Q100" s="236" t="s">
        <v>388</v>
      </c>
      <c r="R100" s="97" t="s">
        <v>379</v>
      </c>
      <c r="S100" s="95" t="s">
        <v>379</v>
      </c>
      <c r="T100" s="74"/>
      <c r="U100" s="74"/>
      <c r="V100" s="74"/>
      <c r="W100" s="74"/>
      <c r="X100" s="74"/>
      <c r="Y100" s="74"/>
      <c r="Z100" s="74"/>
      <c r="AA100" s="74"/>
      <c r="AC100" s="74"/>
      <c r="AD100" s="74"/>
      <c r="AE100" s="74"/>
      <c r="AF100" s="74"/>
      <c r="AG100" s="74"/>
      <c r="AH100" s="74"/>
      <c r="AL100" s="230"/>
      <c r="AM100" s="230"/>
    </row>
    <row r="101" spans="1:39" x14ac:dyDescent="0.2">
      <c r="A101" s="84" t="s">
        <v>491</v>
      </c>
      <c r="B101" s="84">
        <v>1</v>
      </c>
      <c r="C101" s="84">
        <v>17</v>
      </c>
      <c r="D101" s="84" t="s">
        <v>49</v>
      </c>
      <c r="E101" s="84" t="s">
        <v>275</v>
      </c>
      <c r="F101" s="84" t="s">
        <v>276</v>
      </c>
      <c r="G101" s="101">
        <v>348.6</v>
      </c>
      <c r="H101" s="101">
        <v>348.6</v>
      </c>
      <c r="I101" s="121" t="s">
        <v>402</v>
      </c>
      <c r="J101" s="101" t="s">
        <v>402</v>
      </c>
      <c r="K101" s="102">
        <v>1E-4</v>
      </c>
      <c r="L101" s="119">
        <v>0</v>
      </c>
      <c r="M101" s="101"/>
      <c r="N101" s="101"/>
      <c r="O101" s="96" t="s">
        <v>379</v>
      </c>
      <c r="P101" s="97" t="s">
        <v>379</v>
      </c>
      <c r="Q101" s="97" t="s">
        <v>379</v>
      </c>
      <c r="R101" s="97" t="s">
        <v>379</v>
      </c>
      <c r="S101" s="95" t="s">
        <v>379</v>
      </c>
      <c r="T101" s="74"/>
      <c r="U101" s="74"/>
      <c r="V101" s="74"/>
      <c r="W101" s="74"/>
      <c r="X101" s="74"/>
      <c r="Y101" s="74"/>
      <c r="Z101" s="74"/>
      <c r="AA101" s="74"/>
      <c r="AC101" s="74"/>
      <c r="AD101" s="74"/>
      <c r="AE101" s="74"/>
      <c r="AF101" s="74"/>
      <c r="AG101" s="74"/>
      <c r="AH101" s="74"/>
      <c r="AL101" s="230"/>
      <c r="AM101" s="230"/>
    </row>
    <row r="102" spans="1:39" x14ac:dyDescent="0.2">
      <c r="A102" s="84" t="s">
        <v>492</v>
      </c>
      <c r="B102" s="84">
        <v>2</v>
      </c>
      <c r="C102" s="84">
        <v>17</v>
      </c>
      <c r="D102" s="84" t="s">
        <v>49</v>
      </c>
      <c r="E102" s="84" t="s">
        <v>277</v>
      </c>
      <c r="F102" s="84" t="s">
        <v>278</v>
      </c>
      <c r="G102" s="101">
        <v>22.7225</v>
      </c>
      <c r="H102" s="101">
        <v>22.72</v>
      </c>
      <c r="I102" s="121">
        <v>5.0199999999999996</v>
      </c>
      <c r="J102" s="101">
        <v>2.12</v>
      </c>
      <c r="K102" s="102">
        <v>2.9</v>
      </c>
      <c r="L102" s="119">
        <v>1.0258480000000003</v>
      </c>
      <c r="M102" s="101"/>
      <c r="N102" s="101"/>
      <c r="O102" s="96" t="s">
        <v>379</v>
      </c>
      <c r="P102" s="97" t="s">
        <v>379</v>
      </c>
      <c r="Q102" s="97" t="s">
        <v>379</v>
      </c>
      <c r="R102" s="97" t="s">
        <v>379</v>
      </c>
      <c r="S102" s="95" t="s">
        <v>379</v>
      </c>
      <c r="T102" s="74"/>
      <c r="U102" s="74"/>
      <c r="V102" s="74"/>
      <c r="W102" s="74"/>
      <c r="X102" s="74"/>
      <c r="Y102" s="74"/>
      <c r="Z102" s="74"/>
      <c r="AA102" s="74"/>
      <c r="AC102" s="74"/>
      <c r="AD102" s="74"/>
      <c r="AE102" s="74"/>
      <c r="AF102" s="74"/>
      <c r="AG102" s="74"/>
      <c r="AH102" s="74"/>
      <c r="AL102" s="230"/>
      <c r="AM102" s="230"/>
    </row>
    <row r="103" spans="1:39" x14ac:dyDescent="0.2">
      <c r="A103" s="84" t="s">
        <v>493</v>
      </c>
      <c r="B103" s="84">
        <v>3</v>
      </c>
      <c r="C103" s="84">
        <v>17</v>
      </c>
      <c r="D103" s="84" t="s">
        <v>49</v>
      </c>
      <c r="E103" s="84" t="s">
        <v>279</v>
      </c>
      <c r="F103" s="84" t="s">
        <v>280</v>
      </c>
      <c r="G103" s="101">
        <v>58.261099999999999</v>
      </c>
      <c r="H103" s="101">
        <v>58.26</v>
      </c>
      <c r="I103" s="121">
        <v>12.88</v>
      </c>
      <c r="J103" s="101">
        <v>5.43</v>
      </c>
      <c r="K103" s="102">
        <v>7.45</v>
      </c>
      <c r="L103" s="119">
        <v>0.93799200000000038</v>
      </c>
      <c r="M103" s="101"/>
      <c r="N103" s="101"/>
      <c r="O103" s="96" t="s">
        <v>379</v>
      </c>
      <c r="P103" s="97" t="s">
        <v>379</v>
      </c>
      <c r="Q103" s="97" t="s">
        <v>379</v>
      </c>
      <c r="R103" s="97" t="s">
        <v>379</v>
      </c>
      <c r="S103" s="95" t="s">
        <v>379</v>
      </c>
      <c r="T103" s="74"/>
      <c r="U103" s="74"/>
      <c r="V103" s="74"/>
      <c r="W103" s="74"/>
      <c r="X103" s="74"/>
      <c r="Y103" s="74"/>
      <c r="Z103" s="74"/>
      <c r="AA103" s="74"/>
      <c r="AC103" s="74"/>
      <c r="AD103" s="74"/>
      <c r="AE103" s="74"/>
      <c r="AF103" s="74"/>
      <c r="AG103" s="74"/>
      <c r="AH103" s="74"/>
      <c r="AL103" s="230"/>
      <c r="AM103" s="230"/>
    </row>
    <row r="104" spans="1:39" x14ac:dyDescent="0.2">
      <c r="A104" s="84" t="s">
        <v>494</v>
      </c>
      <c r="B104" s="84">
        <v>4</v>
      </c>
      <c r="C104" s="84">
        <v>17</v>
      </c>
      <c r="D104" s="84" t="s">
        <v>49</v>
      </c>
      <c r="E104" s="84" t="s">
        <v>281</v>
      </c>
      <c r="F104" s="84" t="s">
        <v>282</v>
      </c>
      <c r="G104" s="101">
        <v>58.619300000000003</v>
      </c>
      <c r="H104" s="101">
        <v>58.61</v>
      </c>
      <c r="I104" s="121">
        <v>12.88</v>
      </c>
      <c r="J104" s="101">
        <v>3.12</v>
      </c>
      <c r="K104" s="102">
        <v>9.76</v>
      </c>
      <c r="L104" s="119">
        <v>0.89858600000000011</v>
      </c>
      <c r="M104" s="101"/>
      <c r="N104" s="101"/>
      <c r="O104" s="96" t="s">
        <v>379</v>
      </c>
      <c r="P104" s="97" t="s">
        <v>379</v>
      </c>
      <c r="Q104" s="97" t="s">
        <v>379</v>
      </c>
      <c r="R104" s="97" t="s">
        <v>379</v>
      </c>
      <c r="S104" s="95" t="s">
        <v>380</v>
      </c>
      <c r="T104" s="74"/>
      <c r="U104" s="74"/>
      <c r="V104" s="74"/>
      <c r="W104" s="74"/>
      <c r="X104" s="74"/>
      <c r="Y104" s="74"/>
      <c r="Z104" s="74"/>
      <c r="AA104" s="74"/>
      <c r="AC104" s="74"/>
      <c r="AD104" s="74"/>
      <c r="AE104" s="74"/>
      <c r="AF104" s="74"/>
      <c r="AG104" s="74"/>
      <c r="AH104" s="74"/>
      <c r="AL104" s="230"/>
      <c r="AM104" s="230"/>
    </row>
    <row r="105" spans="1:39" x14ac:dyDescent="0.2">
      <c r="A105" s="84" t="s">
        <v>495</v>
      </c>
      <c r="B105" s="84">
        <v>5</v>
      </c>
      <c r="C105" s="84">
        <v>17</v>
      </c>
      <c r="D105" s="84" t="s">
        <v>49</v>
      </c>
      <c r="E105" s="84" t="s">
        <v>283</v>
      </c>
      <c r="F105" s="84" t="s">
        <v>284</v>
      </c>
      <c r="G105" s="101">
        <v>77.451999999999998</v>
      </c>
      <c r="H105" s="101">
        <v>77.45</v>
      </c>
      <c r="I105" s="121">
        <v>20.58</v>
      </c>
      <c r="J105" s="101">
        <v>3.72</v>
      </c>
      <c r="K105" s="102">
        <v>16.86</v>
      </c>
      <c r="L105" s="119">
        <v>0.11886400000000119</v>
      </c>
      <c r="M105" s="101"/>
      <c r="N105" s="101"/>
      <c r="O105" s="96" t="s">
        <v>379</v>
      </c>
      <c r="P105" s="97" t="s">
        <v>379</v>
      </c>
      <c r="Q105" s="97" t="s">
        <v>379</v>
      </c>
      <c r="R105" s="97" t="s">
        <v>379</v>
      </c>
      <c r="S105" s="95" t="s">
        <v>380</v>
      </c>
      <c r="T105" s="74"/>
      <c r="U105" s="74"/>
      <c r="V105" s="74"/>
      <c r="W105" s="74"/>
      <c r="X105" s="74"/>
      <c r="Y105" s="74"/>
      <c r="Z105" s="74"/>
      <c r="AA105" s="74"/>
      <c r="AC105" s="74"/>
      <c r="AD105" s="74"/>
      <c r="AE105" s="74"/>
      <c r="AF105" s="74"/>
      <c r="AG105" s="74"/>
      <c r="AH105" s="74"/>
      <c r="AL105" s="230"/>
      <c r="AM105" s="230"/>
    </row>
    <row r="106" spans="1:39" x14ac:dyDescent="0.2">
      <c r="A106" s="84" t="s">
        <v>496</v>
      </c>
      <c r="B106" s="84">
        <v>6</v>
      </c>
      <c r="C106" s="84">
        <v>17</v>
      </c>
      <c r="D106" s="84" t="s">
        <v>49</v>
      </c>
      <c r="E106" s="84" t="s">
        <v>285</v>
      </c>
      <c r="F106" s="84" t="s">
        <v>286</v>
      </c>
      <c r="G106" s="101">
        <v>55.027500000000003</v>
      </c>
      <c r="H106" s="101">
        <v>55.02</v>
      </c>
      <c r="I106" s="121">
        <v>24.49</v>
      </c>
      <c r="J106" s="101">
        <v>8.83</v>
      </c>
      <c r="K106" s="102">
        <v>15.66</v>
      </c>
      <c r="L106" s="119">
        <v>4.780400000000018E-2</v>
      </c>
      <c r="M106" s="101"/>
      <c r="N106" s="101"/>
      <c r="O106" s="96" t="s">
        <v>379</v>
      </c>
      <c r="P106" s="97" t="s">
        <v>379</v>
      </c>
      <c r="Q106" s="97" t="s">
        <v>379</v>
      </c>
      <c r="R106" s="97" t="s">
        <v>379</v>
      </c>
      <c r="S106" s="95" t="s">
        <v>379</v>
      </c>
      <c r="T106" s="74"/>
      <c r="U106" s="74"/>
      <c r="V106" s="74"/>
      <c r="W106" s="74"/>
      <c r="X106" s="74"/>
      <c r="Y106" s="74"/>
      <c r="Z106" s="74"/>
      <c r="AA106" s="74"/>
      <c r="AC106" s="74"/>
      <c r="AD106" s="74"/>
      <c r="AE106" s="74"/>
      <c r="AF106" s="74"/>
      <c r="AG106" s="74"/>
      <c r="AH106" s="74"/>
      <c r="AL106" s="230"/>
      <c r="AM106" s="230"/>
    </row>
    <row r="107" spans="1:39" x14ac:dyDescent="0.2">
      <c r="A107" s="84" t="s">
        <v>497</v>
      </c>
      <c r="B107" s="84">
        <v>7</v>
      </c>
      <c r="C107" s="84">
        <v>17</v>
      </c>
      <c r="D107" s="84" t="s">
        <v>49</v>
      </c>
      <c r="E107" s="84" t="s">
        <v>287</v>
      </c>
      <c r="F107" s="84" t="s">
        <v>288</v>
      </c>
      <c r="G107" s="101">
        <v>37.381999999999998</v>
      </c>
      <c r="H107" s="101">
        <v>37.380000000000003</v>
      </c>
      <c r="I107" s="121">
        <v>15.89</v>
      </c>
      <c r="J107" s="101">
        <v>8.8000000000000007</v>
      </c>
      <c r="K107" s="102">
        <v>7.09</v>
      </c>
      <c r="L107" s="119">
        <v>0</v>
      </c>
      <c r="M107" s="101"/>
      <c r="N107" s="101"/>
      <c r="O107" s="96" t="s">
        <v>379</v>
      </c>
      <c r="P107" s="97" t="s">
        <v>379</v>
      </c>
      <c r="Q107" s="97" t="s">
        <v>379</v>
      </c>
      <c r="R107" s="97" t="s">
        <v>379</v>
      </c>
      <c r="S107" s="95" t="s">
        <v>379</v>
      </c>
      <c r="T107" s="74"/>
      <c r="U107" s="74"/>
      <c r="V107" s="74"/>
      <c r="W107" s="74"/>
      <c r="X107" s="74"/>
      <c r="Y107" s="74"/>
      <c r="Z107" s="74"/>
      <c r="AA107" s="74"/>
      <c r="AC107" s="74"/>
      <c r="AD107" s="74"/>
      <c r="AE107" s="74"/>
      <c r="AF107" s="74"/>
      <c r="AG107" s="74"/>
      <c r="AH107" s="74"/>
      <c r="AL107" s="230"/>
      <c r="AM107" s="230"/>
    </row>
    <row r="108" spans="1:39" x14ac:dyDescent="0.2">
      <c r="A108" s="84" t="s">
        <v>498</v>
      </c>
      <c r="B108" s="84">
        <v>8</v>
      </c>
      <c r="C108" s="84">
        <v>17</v>
      </c>
      <c r="D108" s="84" t="s">
        <v>49</v>
      </c>
      <c r="E108" s="84" t="s">
        <v>289</v>
      </c>
      <c r="F108" s="84" t="s">
        <v>290</v>
      </c>
      <c r="G108" s="101">
        <v>69.600499999999997</v>
      </c>
      <c r="H108" s="101">
        <v>106.98</v>
      </c>
      <c r="I108" s="121">
        <v>33.21</v>
      </c>
      <c r="J108" s="101">
        <v>17.149999999999999</v>
      </c>
      <c r="K108" s="102">
        <v>16.059999999999999</v>
      </c>
      <c r="L108" s="119">
        <v>3.4883999999999984E-2</v>
      </c>
      <c r="M108" s="101"/>
      <c r="N108" s="101"/>
      <c r="O108" s="96" t="s">
        <v>379</v>
      </c>
      <c r="P108" s="97" t="s">
        <v>379</v>
      </c>
      <c r="Q108" s="97" t="s">
        <v>379</v>
      </c>
      <c r="R108" s="97" t="s">
        <v>379</v>
      </c>
      <c r="S108" s="95" t="s">
        <v>379</v>
      </c>
      <c r="T108" s="74"/>
      <c r="U108" s="74"/>
      <c r="V108" s="74"/>
      <c r="W108" s="74"/>
      <c r="X108" s="74"/>
      <c r="Y108" s="74"/>
      <c r="Z108" s="74"/>
      <c r="AA108" s="74"/>
      <c r="AC108" s="74"/>
      <c r="AD108" s="74"/>
      <c r="AE108" s="74"/>
      <c r="AF108" s="74"/>
      <c r="AG108" s="74"/>
      <c r="AH108" s="74"/>
      <c r="AL108" s="230"/>
      <c r="AM108" s="230"/>
    </row>
    <row r="109" spans="1:39" x14ac:dyDescent="0.2">
      <c r="A109" s="84" t="s">
        <v>499</v>
      </c>
      <c r="B109" s="84">
        <v>9</v>
      </c>
      <c r="C109" s="84">
        <v>17</v>
      </c>
      <c r="D109" s="84" t="s">
        <v>49</v>
      </c>
      <c r="E109" s="84" t="s">
        <v>291</v>
      </c>
      <c r="F109" s="84" t="s">
        <v>292</v>
      </c>
      <c r="G109" s="101">
        <v>51.047400000000003</v>
      </c>
      <c r="H109" s="101">
        <v>51.04</v>
      </c>
      <c r="I109" s="121">
        <v>10.73</v>
      </c>
      <c r="J109" s="101">
        <v>3.87</v>
      </c>
      <c r="K109" s="102">
        <v>6.86</v>
      </c>
      <c r="L109" s="119">
        <v>0.13178400000000012</v>
      </c>
      <c r="M109" s="101"/>
      <c r="N109" s="101"/>
      <c r="O109" s="96" t="s">
        <v>379</v>
      </c>
      <c r="P109" s="97" t="s">
        <v>379</v>
      </c>
      <c r="Q109" s="97" t="s">
        <v>379</v>
      </c>
      <c r="R109" s="97" t="s">
        <v>379</v>
      </c>
      <c r="S109" s="95" t="s">
        <v>379</v>
      </c>
      <c r="T109" s="74"/>
      <c r="U109" s="74"/>
      <c r="V109" s="74"/>
      <c r="W109" s="74"/>
      <c r="X109" s="74"/>
      <c r="Y109" s="74"/>
      <c r="Z109" s="74"/>
      <c r="AA109" s="74"/>
      <c r="AC109" s="74"/>
      <c r="AD109" s="74"/>
      <c r="AE109" s="74"/>
      <c r="AF109" s="74"/>
      <c r="AG109" s="74"/>
      <c r="AH109" s="74"/>
      <c r="AL109" s="230"/>
      <c r="AM109" s="230"/>
    </row>
    <row r="110" spans="1:39" x14ac:dyDescent="0.2">
      <c r="A110" s="84" t="s">
        <v>500</v>
      </c>
      <c r="B110" s="84">
        <v>10</v>
      </c>
      <c r="C110" s="84">
        <v>17</v>
      </c>
      <c r="D110" s="84" t="s">
        <v>49</v>
      </c>
      <c r="E110" s="84" t="s">
        <v>293</v>
      </c>
      <c r="F110" s="84" t="s">
        <v>294</v>
      </c>
      <c r="G110" s="101">
        <v>60.625</v>
      </c>
      <c r="H110" s="101">
        <v>60.62</v>
      </c>
      <c r="I110" s="121">
        <v>7.64</v>
      </c>
      <c r="J110" s="101">
        <v>1.31</v>
      </c>
      <c r="K110" s="102">
        <v>6.33</v>
      </c>
      <c r="L110" s="119">
        <v>0</v>
      </c>
      <c r="M110" s="101"/>
      <c r="N110" s="101"/>
      <c r="O110" s="96" t="s">
        <v>379</v>
      </c>
      <c r="P110" s="97" t="s">
        <v>379</v>
      </c>
      <c r="Q110" s="97" t="s">
        <v>379</v>
      </c>
      <c r="R110" s="97" t="s">
        <v>379</v>
      </c>
      <c r="S110" s="95" t="s">
        <v>380</v>
      </c>
      <c r="T110" s="74"/>
      <c r="U110" s="74"/>
      <c r="V110" s="74"/>
      <c r="W110" s="74"/>
      <c r="X110" s="74"/>
      <c r="Y110" s="74"/>
      <c r="Z110" s="74"/>
      <c r="AA110" s="74"/>
      <c r="AC110" s="74"/>
      <c r="AD110" s="74"/>
      <c r="AE110" s="74"/>
      <c r="AF110" s="74"/>
      <c r="AG110" s="74"/>
      <c r="AH110" s="74"/>
      <c r="AL110" s="230"/>
      <c r="AM110" s="230"/>
    </row>
    <row r="111" spans="1:39" x14ac:dyDescent="0.2">
      <c r="A111" s="84" t="s">
        <v>501</v>
      </c>
      <c r="B111" s="84">
        <v>11</v>
      </c>
      <c r="C111" s="84">
        <v>17</v>
      </c>
      <c r="D111" s="84" t="s">
        <v>49</v>
      </c>
      <c r="E111" s="84" t="s">
        <v>295</v>
      </c>
      <c r="F111" s="84" t="s">
        <v>296</v>
      </c>
      <c r="G111" s="101">
        <v>46.0764</v>
      </c>
      <c r="H111" s="101">
        <v>46.07</v>
      </c>
      <c r="I111" s="121">
        <v>14.9</v>
      </c>
      <c r="J111" s="101">
        <v>5.68</v>
      </c>
      <c r="K111" s="102">
        <v>9.2200000000000006</v>
      </c>
      <c r="L111" s="119">
        <v>0.15891599999999961</v>
      </c>
      <c r="M111" s="101"/>
      <c r="N111" s="101"/>
      <c r="O111" s="96" t="s">
        <v>379</v>
      </c>
      <c r="P111" s="97" t="s">
        <v>379</v>
      </c>
      <c r="Q111" s="236" t="s">
        <v>394</v>
      </c>
      <c r="R111" s="97" t="s">
        <v>379</v>
      </c>
      <c r="S111" s="95" t="s">
        <v>379</v>
      </c>
      <c r="T111" s="74"/>
      <c r="U111" s="74"/>
      <c r="V111" s="74"/>
      <c r="W111" s="74"/>
      <c r="X111" s="74"/>
      <c r="Y111" s="74"/>
      <c r="Z111" s="74"/>
      <c r="AA111" s="74"/>
      <c r="AC111" s="74"/>
      <c r="AD111" s="74"/>
      <c r="AE111" s="74"/>
      <c r="AF111" s="74"/>
      <c r="AG111" s="74"/>
      <c r="AH111" s="74"/>
      <c r="AL111" s="230"/>
      <c r="AM111" s="230"/>
    </row>
    <row r="112" spans="1:39" x14ac:dyDescent="0.2">
      <c r="A112" s="84" t="s">
        <v>502</v>
      </c>
      <c r="B112" s="84">
        <v>12</v>
      </c>
      <c r="C112" s="84">
        <v>17</v>
      </c>
      <c r="D112" s="84" t="s">
        <v>49</v>
      </c>
      <c r="E112" s="84" t="s">
        <v>297</v>
      </c>
      <c r="F112" s="84" t="s">
        <v>298</v>
      </c>
      <c r="G112" s="101">
        <v>29.8125</v>
      </c>
      <c r="H112" s="101">
        <v>29.81</v>
      </c>
      <c r="I112" s="121">
        <v>12.87</v>
      </c>
      <c r="J112" s="101">
        <v>5.53</v>
      </c>
      <c r="K112" s="102">
        <v>7.34</v>
      </c>
      <c r="L112" s="119">
        <v>0</v>
      </c>
      <c r="M112" s="101"/>
      <c r="N112" s="101"/>
      <c r="O112" s="96" t="s">
        <v>379</v>
      </c>
      <c r="P112" s="97" t="s">
        <v>388</v>
      </c>
      <c r="Q112" s="236" t="s">
        <v>394</v>
      </c>
      <c r="R112" s="97" t="s">
        <v>379</v>
      </c>
      <c r="S112" s="95" t="s">
        <v>379</v>
      </c>
      <c r="T112" s="74"/>
      <c r="U112" s="74"/>
      <c r="V112" s="74"/>
      <c r="W112" s="74"/>
      <c r="X112" s="74"/>
      <c r="Y112" s="74"/>
      <c r="Z112" s="74"/>
      <c r="AA112" s="74"/>
      <c r="AC112" s="74"/>
      <c r="AD112" s="74"/>
      <c r="AE112" s="74"/>
      <c r="AF112" s="74"/>
      <c r="AG112" s="74"/>
      <c r="AH112" s="74"/>
      <c r="AL112" s="230"/>
      <c r="AM112" s="230"/>
    </row>
    <row r="113" spans="1:39" x14ac:dyDescent="0.2">
      <c r="A113" s="84" t="s">
        <v>503</v>
      </c>
      <c r="B113" s="84">
        <v>13</v>
      </c>
      <c r="C113" s="84">
        <v>17</v>
      </c>
      <c r="D113" s="84" t="s">
        <v>49</v>
      </c>
      <c r="E113" s="84" t="s">
        <v>299</v>
      </c>
      <c r="F113" s="84" t="s">
        <v>300</v>
      </c>
      <c r="G113" s="101">
        <v>56.768999999999998</v>
      </c>
      <c r="H113" s="101">
        <v>190.48</v>
      </c>
      <c r="I113" s="121">
        <v>42.58</v>
      </c>
      <c r="J113" s="101">
        <v>15.51</v>
      </c>
      <c r="K113" s="102">
        <v>27.07</v>
      </c>
      <c r="L113" s="119">
        <v>0</v>
      </c>
      <c r="M113" s="101"/>
      <c r="N113" s="101"/>
      <c r="O113" s="96" t="s">
        <v>379</v>
      </c>
      <c r="P113" s="97" t="s">
        <v>388</v>
      </c>
      <c r="Q113" s="236" t="s">
        <v>388</v>
      </c>
      <c r="R113" s="97" t="s">
        <v>379</v>
      </c>
      <c r="S113" s="95" t="s">
        <v>379</v>
      </c>
      <c r="T113" s="74"/>
      <c r="U113" s="74"/>
      <c r="V113" s="74"/>
      <c r="W113" s="74"/>
      <c r="X113" s="74"/>
      <c r="Y113" s="74"/>
      <c r="Z113" s="74"/>
      <c r="AA113" s="74"/>
      <c r="AC113" s="74"/>
      <c r="AD113" s="74"/>
      <c r="AE113" s="74"/>
      <c r="AF113" s="74"/>
      <c r="AG113" s="74"/>
      <c r="AH113" s="74"/>
      <c r="AL113" s="230"/>
      <c r="AM113" s="230"/>
    </row>
    <row r="114" spans="1:39" x14ac:dyDescent="0.2">
      <c r="A114" s="84" t="s">
        <v>504</v>
      </c>
      <c r="B114" s="84">
        <v>14</v>
      </c>
      <c r="C114" s="84">
        <v>17</v>
      </c>
      <c r="D114" s="84" t="s">
        <v>49</v>
      </c>
      <c r="E114" s="84" t="s">
        <v>301</v>
      </c>
      <c r="F114" s="84" t="s">
        <v>302</v>
      </c>
      <c r="G114" s="101">
        <v>57.845599999999997</v>
      </c>
      <c r="H114" s="101">
        <v>57.84</v>
      </c>
      <c r="I114" s="121">
        <v>20.81</v>
      </c>
      <c r="J114" s="101">
        <v>10.09</v>
      </c>
      <c r="K114" s="102">
        <v>10.72</v>
      </c>
      <c r="L114" s="119">
        <v>0.6873440000000004</v>
      </c>
      <c r="M114" s="101"/>
      <c r="N114" s="101"/>
      <c r="O114" s="96" t="s">
        <v>379</v>
      </c>
      <c r="P114" s="97" t="s">
        <v>379</v>
      </c>
      <c r="Q114" s="236" t="s">
        <v>388</v>
      </c>
      <c r="R114" s="97" t="s">
        <v>379</v>
      </c>
      <c r="S114" s="95" t="s">
        <v>379</v>
      </c>
      <c r="T114" s="74"/>
      <c r="U114" s="74"/>
      <c r="V114" s="74"/>
      <c r="W114" s="74"/>
      <c r="X114" s="74"/>
      <c r="Y114" s="74"/>
      <c r="Z114" s="74"/>
      <c r="AA114" s="74"/>
      <c r="AC114" s="74"/>
      <c r="AD114" s="74"/>
      <c r="AE114" s="74"/>
      <c r="AF114" s="74"/>
      <c r="AG114" s="74"/>
      <c r="AH114" s="74"/>
      <c r="AL114" s="230"/>
      <c r="AM114" s="230"/>
    </row>
    <row r="115" spans="1:39" x14ac:dyDescent="0.2">
      <c r="A115" s="84" t="s">
        <v>505</v>
      </c>
      <c r="B115" s="84">
        <v>15</v>
      </c>
      <c r="C115" s="84">
        <v>17</v>
      </c>
      <c r="D115" s="84" t="s">
        <v>49</v>
      </c>
      <c r="E115" s="84" t="s">
        <v>303</v>
      </c>
      <c r="F115" s="84" t="s">
        <v>304</v>
      </c>
      <c r="G115" s="101">
        <v>25.013300000000001</v>
      </c>
      <c r="H115" s="101">
        <v>215.49</v>
      </c>
      <c r="I115" s="121">
        <v>10.81</v>
      </c>
      <c r="J115" s="101">
        <v>5.84</v>
      </c>
      <c r="K115" s="102">
        <v>4.97</v>
      </c>
      <c r="L115" s="119">
        <v>0.87856000000000001</v>
      </c>
      <c r="M115" s="101"/>
      <c r="N115" s="101"/>
      <c r="O115" s="96" t="s">
        <v>379</v>
      </c>
      <c r="P115" s="97" t="s">
        <v>379</v>
      </c>
      <c r="Q115" s="97" t="s">
        <v>379</v>
      </c>
      <c r="R115" s="97" t="s">
        <v>379</v>
      </c>
      <c r="S115" s="95" t="s">
        <v>379</v>
      </c>
      <c r="T115" s="74"/>
      <c r="U115" s="74"/>
      <c r="V115" s="74"/>
      <c r="W115" s="74"/>
      <c r="X115" s="74"/>
      <c r="Y115" s="74"/>
      <c r="Z115" s="74"/>
      <c r="AA115" s="74"/>
      <c r="AC115" s="74"/>
      <c r="AD115" s="74"/>
      <c r="AE115" s="74"/>
      <c r="AF115" s="74"/>
      <c r="AG115" s="74"/>
      <c r="AH115" s="74"/>
      <c r="AL115" s="230"/>
      <c r="AM115" s="230"/>
    </row>
    <row r="116" spans="1:39" x14ac:dyDescent="0.2">
      <c r="A116" s="84" t="s">
        <v>506</v>
      </c>
      <c r="B116" s="84">
        <v>16</v>
      </c>
      <c r="C116" s="84">
        <v>17</v>
      </c>
      <c r="D116" s="84" t="s">
        <v>49</v>
      </c>
      <c r="E116" s="84" t="s">
        <v>305</v>
      </c>
      <c r="F116" s="84" t="s">
        <v>306</v>
      </c>
      <c r="G116" s="101">
        <v>44.600200000000001</v>
      </c>
      <c r="H116" s="101">
        <v>260.08999999999997</v>
      </c>
      <c r="I116" s="121">
        <v>11.39</v>
      </c>
      <c r="J116" s="101">
        <v>4.7</v>
      </c>
      <c r="K116" s="102">
        <v>6.69</v>
      </c>
      <c r="L116" s="119">
        <v>0</v>
      </c>
      <c r="M116" s="101"/>
      <c r="N116" s="101"/>
      <c r="O116" s="96" t="s">
        <v>379</v>
      </c>
      <c r="P116" s="97" t="s">
        <v>379</v>
      </c>
      <c r="Q116" s="97" t="s">
        <v>379</v>
      </c>
      <c r="R116" s="97" t="s">
        <v>379</v>
      </c>
      <c r="S116" s="95" t="s">
        <v>379</v>
      </c>
      <c r="T116" s="74"/>
      <c r="U116" s="74"/>
      <c r="V116" s="74"/>
      <c r="W116" s="74"/>
      <c r="X116" s="74"/>
      <c r="Y116" s="74"/>
      <c r="Z116" s="74"/>
      <c r="AA116" s="74"/>
      <c r="AC116" s="74"/>
      <c r="AD116" s="74"/>
      <c r="AE116" s="74"/>
      <c r="AF116" s="74"/>
      <c r="AG116" s="74"/>
      <c r="AH116" s="74"/>
      <c r="AL116" s="230"/>
      <c r="AM116" s="230"/>
    </row>
    <row r="117" spans="1:39" x14ac:dyDescent="0.2">
      <c r="A117" s="84" t="s">
        <v>507</v>
      </c>
      <c r="B117" s="84">
        <v>17</v>
      </c>
      <c r="C117" s="84">
        <v>17</v>
      </c>
      <c r="D117" s="84" t="s">
        <v>49</v>
      </c>
      <c r="E117" s="84" t="s">
        <v>307</v>
      </c>
      <c r="F117" s="84" t="s">
        <v>308</v>
      </c>
      <c r="G117" s="101">
        <v>39.197000000000003</v>
      </c>
      <c r="H117" s="101">
        <v>39.19</v>
      </c>
      <c r="I117" s="121">
        <v>22.92</v>
      </c>
      <c r="J117" s="101">
        <v>7.82</v>
      </c>
      <c r="K117" s="102">
        <v>15.1</v>
      </c>
      <c r="L117" s="119">
        <v>0.52713600000000005</v>
      </c>
      <c r="M117" s="101"/>
      <c r="N117" s="101"/>
      <c r="O117" s="96" t="s">
        <v>379</v>
      </c>
      <c r="P117" s="97" t="s">
        <v>388</v>
      </c>
      <c r="Q117" s="236" t="s">
        <v>388</v>
      </c>
      <c r="R117" s="97" t="s">
        <v>379</v>
      </c>
      <c r="S117" s="95" t="s">
        <v>379</v>
      </c>
      <c r="T117" s="74"/>
      <c r="U117" s="74"/>
      <c r="V117" s="74"/>
      <c r="W117" s="74"/>
      <c r="X117" s="74"/>
      <c r="Y117" s="74"/>
      <c r="Z117" s="74"/>
      <c r="AA117" s="74"/>
      <c r="AC117" s="74"/>
      <c r="AD117" s="74"/>
      <c r="AE117" s="74"/>
      <c r="AF117" s="74"/>
      <c r="AG117" s="74"/>
      <c r="AH117" s="74"/>
      <c r="AL117" s="230"/>
      <c r="AM117" s="230"/>
    </row>
    <row r="118" spans="1:39" x14ac:dyDescent="0.2">
      <c r="A118" s="84" t="s">
        <v>508</v>
      </c>
      <c r="B118" s="84">
        <v>18</v>
      </c>
      <c r="C118" s="84">
        <v>17</v>
      </c>
      <c r="D118" s="84" t="s">
        <v>49</v>
      </c>
      <c r="E118" s="84" t="s">
        <v>309</v>
      </c>
      <c r="F118" s="84" t="s">
        <v>310</v>
      </c>
      <c r="G118" s="101">
        <v>36.165900000000001</v>
      </c>
      <c r="H118" s="101">
        <v>36.159999999999997</v>
      </c>
      <c r="I118" s="121">
        <v>14.12</v>
      </c>
      <c r="J118" s="101">
        <v>6.76</v>
      </c>
      <c r="K118" s="102">
        <v>7.36</v>
      </c>
      <c r="L118" s="119">
        <v>5.4263999999999868E-2</v>
      </c>
      <c r="M118" s="101"/>
      <c r="N118" s="101"/>
      <c r="O118" s="96" t="s">
        <v>379</v>
      </c>
      <c r="P118" s="97" t="s">
        <v>388</v>
      </c>
      <c r="Q118" s="236" t="s">
        <v>388</v>
      </c>
      <c r="R118" s="97" t="s">
        <v>379</v>
      </c>
      <c r="S118" s="95" t="s">
        <v>379</v>
      </c>
      <c r="T118" s="74"/>
      <c r="U118" s="74"/>
      <c r="V118" s="74"/>
      <c r="W118" s="74"/>
      <c r="X118" s="74"/>
      <c r="Y118" s="74"/>
      <c r="Z118" s="74"/>
      <c r="AA118" s="74"/>
      <c r="AC118" s="74"/>
      <c r="AD118" s="74"/>
      <c r="AE118" s="74"/>
      <c r="AF118" s="74"/>
      <c r="AG118" s="74"/>
      <c r="AH118" s="74"/>
      <c r="AL118" s="230"/>
      <c r="AM118" s="230"/>
    </row>
    <row r="119" spans="1:39" x14ac:dyDescent="0.2">
      <c r="A119" s="84" t="s">
        <v>509</v>
      </c>
      <c r="B119" s="84">
        <v>19</v>
      </c>
      <c r="C119" s="84">
        <v>17</v>
      </c>
      <c r="D119" s="84" t="s">
        <v>49</v>
      </c>
      <c r="E119" s="84" t="s">
        <v>311</v>
      </c>
      <c r="F119" s="84" t="s">
        <v>312</v>
      </c>
      <c r="G119" s="101">
        <v>48.927799999999998</v>
      </c>
      <c r="H119" s="101">
        <v>384.36</v>
      </c>
      <c r="I119" s="121">
        <v>20.22</v>
      </c>
      <c r="J119" s="101">
        <v>9.06</v>
      </c>
      <c r="K119" s="102">
        <v>11.16</v>
      </c>
      <c r="L119" s="119">
        <v>1.0839880000000002</v>
      </c>
      <c r="M119" s="101"/>
      <c r="N119" s="101"/>
      <c r="O119" s="96" t="s">
        <v>379</v>
      </c>
      <c r="P119" s="97" t="s">
        <v>388</v>
      </c>
      <c r="Q119" s="97" t="s">
        <v>379</v>
      </c>
      <c r="R119" s="97" t="s">
        <v>379</v>
      </c>
      <c r="S119" s="95" t="s">
        <v>379</v>
      </c>
      <c r="T119" s="74"/>
      <c r="U119" s="74"/>
      <c r="V119" s="74"/>
      <c r="W119" s="74"/>
      <c r="X119" s="74"/>
      <c r="Y119" s="74"/>
      <c r="Z119" s="74"/>
      <c r="AA119" s="74"/>
      <c r="AC119" s="74"/>
      <c r="AD119" s="74"/>
      <c r="AE119" s="74"/>
      <c r="AF119" s="74"/>
      <c r="AG119" s="74"/>
      <c r="AH119" s="74"/>
      <c r="AL119" s="230"/>
      <c r="AM119" s="230"/>
    </row>
    <row r="120" spans="1:39" x14ac:dyDescent="0.2">
      <c r="A120" s="84" t="s">
        <v>486</v>
      </c>
      <c r="B120" s="84">
        <v>1</v>
      </c>
      <c r="C120" s="84">
        <v>16</v>
      </c>
      <c r="D120" s="84" t="s">
        <v>48</v>
      </c>
      <c r="E120" s="84" t="s">
        <v>265</v>
      </c>
      <c r="F120" s="84" t="s">
        <v>266</v>
      </c>
      <c r="G120" s="101">
        <v>45.333599999999997</v>
      </c>
      <c r="H120" s="101">
        <v>45.33</v>
      </c>
      <c r="I120" s="121">
        <v>6.68</v>
      </c>
      <c r="J120" s="101">
        <v>1.1599999999999999</v>
      </c>
      <c r="K120" s="102">
        <v>5.52</v>
      </c>
      <c r="L120" s="119">
        <v>0.50323400000000018</v>
      </c>
      <c r="M120" s="101"/>
      <c r="N120" s="101"/>
      <c r="O120" s="96" t="s">
        <v>379</v>
      </c>
      <c r="P120" s="97" t="s">
        <v>388</v>
      </c>
      <c r="Q120" s="97" t="s">
        <v>379</v>
      </c>
      <c r="R120" s="97" t="s">
        <v>379</v>
      </c>
      <c r="S120" s="95" t="s">
        <v>380</v>
      </c>
      <c r="T120" s="74"/>
      <c r="U120" s="74"/>
      <c r="V120" s="74"/>
      <c r="W120" s="74"/>
      <c r="X120" s="74"/>
      <c r="Y120" s="74"/>
      <c r="Z120" s="74"/>
      <c r="AA120" s="74"/>
      <c r="AC120" s="74"/>
      <c r="AD120" s="74"/>
      <c r="AE120" s="74"/>
      <c r="AF120" s="74"/>
      <c r="AG120" s="74"/>
      <c r="AH120" s="74"/>
      <c r="AL120" s="230"/>
      <c r="AM120" s="230"/>
    </row>
    <row r="121" spans="1:39" x14ac:dyDescent="0.2">
      <c r="A121" s="84" t="s">
        <v>487</v>
      </c>
      <c r="B121" s="84">
        <v>2</v>
      </c>
      <c r="C121" s="84">
        <v>16</v>
      </c>
      <c r="D121" s="84" t="s">
        <v>48</v>
      </c>
      <c r="E121" s="84" t="s">
        <v>267</v>
      </c>
      <c r="F121" s="84" t="s">
        <v>268</v>
      </c>
      <c r="G121" s="101">
        <v>41.1708</v>
      </c>
      <c r="H121" s="101">
        <v>41.17</v>
      </c>
      <c r="I121" s="121">
        <v>5.28</v>
      </c>
      <c r="J121" s="101">
        <v>0.73</v>
      </c>
      <c r="K121" s="102">
        <v>4.55</v>
      </c>
      <c r="L121" s="119">
        <v>6.1370000000000008E-2</v>
      </c>
      <c r="M121" s="101"/>
      <c r="N121" s="101"/>
      <c r="O121" s="96" t="s">
        <v>379</v>
      </c>
      <c r="P121" s="97" t="s">
        <v>388</v>
      </c>
      <c r="Q121" s="97" t="s">
        <v>379</v>
      </c>
      <c r="R121" s="97" t="s">
        <v>379</v>
      </c>
      <c r="S121" s="95" t="s">
        <v>380</v>
      </c>
      <c r="T121" s="74"/>
      <c r="U121" s="74"/>
      <c r="V121" s="74"/>
      <c r="W121" s="74"/>
      <c r="X121" s="74"/>
      <c r="Y121" s="74"/>
      <c r="Z121" s="74"/>
      <c r="AA121" s="74"/>
      <c r="AC121" s="74"/>
      <c r="AD121" s="74"/>
      <c r="AE121" s="74"/>
      <c r="AF121" s="74"/>
      <c r="AG121" s="74"/>
      <c r="AH121" s="74"/>
      <c r="AL121" s="230"/>
      <c r="AM121" s="230"/>
    </row>
    <row r="122" spans="1:39" x14ac:dyDescent="0.2">
      <c r="A122" s="84" t="s">
        <v>488</v>
      </c>
      <c r="B122" s="84">
        <v>3</v>
      </c>
      <c r="C122" s="84">
        <v>16</v>
      </c>
      <c r="D122" s="84" t="s">
        <v>48</v>
      </c>
      <c r="E122" s="84" t="s">
        <v>269</v>
      </c>
      <c r="F122" s="84" t="s">
        <v>270</v>
      </c>
      <c r="G122" s="101">
        <v>45.142200000000003</v>
      </c>
      <c r="H122" s="101">
        <v>45.14</v>
      </c>
      <c r="I122" s="121">
        <v>5.47</v>
      </c>
      <c r="J122" s="101">
        <v>1.54</v>
      </c>
      <c r="K122" s="102">
        <v>3.93</v>
      </c>
      <c r="L122" s="119">
        <v>2.9069999999999999E-2</v>
      </c>
      <c r="M122" s="101"/>
      <c r="N122" s="101"/>
      <c r="O122" s="96" t="s">
        <v>379</v>
      </c>
      <c r="P122" s="97" t="s">
        <v>379</v>
      </c>
      <c r="Q122" s="97" t="s">
        <v>379</v>
      </c>
      <c r="R122" s="97" t="s">
        <v>379</v>
      </c>
      <c r="S122" s="95" t="s">
        <v>380</v>
      </c>
      <c r="T122" s="74"/>
      <c r="U122" s="74"/>
      <c r="V122" s="74"/>
      <c r="W122" s="74"/>
      <c r="X122" s="74"/>
      <c r="Y122" s="74"/>
      <c r="Z122" s="74"/>
      <c r="AA122" s="74"/>
      <c r="AC122" s="74"/>
      <c r="AD122" s="74"/>
      <c r="AE122" s="74"/>
      <c r="AF122" s="74"/>
      <c r="AG122" s="74"/>
      <c r="AH122" s="74"/>
      <c r="AL122" s="230"/>
      <c r="AM122" s="230"/>
    </row>
    <row r="123" spans="1:39" x14ac:dyDescent="0.2">
      <c r="A123" s="84" t="s">
        <v>454</v>
      </c>
      <c r="B123" s="84">
        <v>1</v>
      </c>
      <c r="C123" s="84">
        <v>13</v>
      </c>
      <c r="D123" s="84" t="s">
        <v>45</v>
      </c>
      <c r="E123" s="84" t="s">
        <v>201</v>
      </c>
      <c r="F123" s="84" t="s">
        <v>202</v>
      </c>
      <c r="G123" s="101">
        <v>38.241900000000001</v>
      </c>
      <c r="H123" s="101">
        <v>38.24</v>
      </c>
      <c r="I123" s="121">
        <v>19.32</v>
      </c>
      <c r="J123" s="101">
        <v>9.1300000000000008</v>
      </c>
      <c r="K123" s="102">
        <v>10.19</v>
      </c>
      <c r="L123" s="119">
        <v>0.27648800000000001</v>
      </c>
      <c r="M123" s="101"/>
      <c r="N123" s="101"/>
      <c r="O123" s="96" t="s">
        <v>379</v>
      </c>
      <c r="P123" s="97" t="s">
        <v>379</v>
      </c>
      <c r="Q123" s="236" t="s">
        <v>388</v>
      </c>
      <c r="R123" s="97" t="s">
        <v>380</v>
      </c>
      <c r="S123" s="95" t="s">
        <v>379</v>
      </c>
      <c r="T123" s="74"/>
      <c r="U123" s="74"/>
      <c r="V123" s="74"/>
      <c r="W123" s="74"/>
      <c r="X123" s="74"/>
      <c r="Y123" s="74"/>
      <c r="Z123" s="74"/>
      <c r="AA123" s="74"/>
      <c r="AC123" s="74"/>
      <c r="AD123" s="74"/>
      <c r="AE123" s="74"/>
      <c r="AF123" s="74"/>
      <c r="AG123" s="74"/>
      <c r="AH123" s="74"/>
      <c r="AL123" s="230"/>
      <c r="AM123" s="230"/>
    </row>
    <row r="124" spans="1:39" x14ac:dyDescent="0.2">
      <c r="A124" s="84" t="s">
        <v>455</v>
      </c>
      <c r="B124" s="84">
        <v>2</v>
      </c>
      <c r="C124" s="84">
        <v>13</v>
      </c>
      <c r="D124" s="84" t="s">
        <v>45</v>
      </c>
      <c r="E124" s="84" t="s">
        <v>203</v>
      </c>
      <c r="F124" s="84" t="s">
        <v>204</v>
      </c>
      <c r="G124" s="101">
        <v>30.798100000000002</v>
      </c>
      <c r="H124" s="101">
        <v>30.79</v>
      </c>
      <c r="I124" s="121">
        <v>18.25</v>
      </c>
      <c r="J124" s="101">
        <v>9.27</v>
      </c>
      <c r="K124" s="102">
        <v>8.98</v>
      </c>
      <c r="L124" s="119">
        <v>0.30749599999999999</v>
      </c>
      <c r="M124" s="101"/>
      <c r="N124" s="101"/>
      <c r="O124" s="96" t="s">
        <v>379</v>
      </c>
      <c r="P124" s="97" t="s">
        <v>379</v>
      </c>
      <c r="Q124" s="236" t="s">
        <v>388</v>
      </c>
      <c r="R124" s="97" t="s">
        <v>380</v>
      </c>
      <c r="S124" s="95" t="s">
        <v>379</v>
      </c>
      <c r="T124" s="74"/>
      <c r="U124" s="74"/>
      <c r="V124" s="74"/>
      <c r="W124" s="74"/>
      <c r="X124" s="74"/>
      <c r="Y124" s="74"/>
      <c r="Z124" s="74"/>
      <c r="AA124" s="74"/>
      <c r="AC124" s="74"/>
      <c r="AD124" s="74"/>
      <c r="AE124" s="74"/>
      <c r="AF124" s="74"/>
      <c r="AG124" s="74"/>
      <c r="AH124" s="74"/>
      <c r="AL124" s="230"/>
      <c r="AM124" s="230"/>
    </row>
    <row r="125" spans="1:39" x14ac:dyDescent="0.2">
      <c r="A125" s="84" t="s">
        <v>456</v>
      </c>
      <c r="B125" s="84">
        <v>3</v>
      </c>
      <c r="C125" s="84">
        <v>13</v>
      </c>
      <c r="D125" s="84" t="s">
        <v>45</v>
      </c>
      <c r="E125" s="84" t="s">
        <v>205</v>
      </c>
      <c r="F125" s="84" t="s">
        <v>206</v>
      </c>
      <c r="G125" s="101">
        <v>19.9283</v>
      </c>
      <c r="H125" s="101">
        <v>88.95</v>
      </c>
      <c r="I125" s="121">
        <v>11.54</v>
      </c>
      <c r="J125" s="101">
        <v>6.39</v>
      </c>
      <c r="K125" s="102">
        <v>5.15</v>
      </c>
      <c r="L125" s="119">
        <v>0</v>
      </c>
      <c r="M125" s="101"/>
      <c r="N125" s="101"/>
      <c r="O125" s="96" t="s">
        <v>379</v>
      </c>
      <c r="P125" s="97" t="s">
        <v>379</v>
      </c>
      <c r="Q125" s="236" t="s">
        <v>394</v>
      </c>
      <c r="R125" s="97" t="s">
        <v>380</v>
      </c>
      <c r="S125" s="95" t="s">
        <v>379</v>
      </c>
      <c r="T125" s="74"/>
      <c r="U125" s="74"/>
      <c r="V125" s="74"/>
      <c r="W125" s="74"/>
      <c r="X125" s="74"/>
      <c r="Y125" s="74"/>
      <c r="Z125" s="74"/>
      <c r="AA125" s="74"/>
      <c r="AC125" s="74"/>
      <c r="AD125" s="74"/>
      <c r="AE125" s="74"/>
      <c r="AF125" s="74"/>
      <c r="AG125" s="74"/>
      <c r="AH125" s="74"/>
      <c r="AL125" s="230"/>
      <c r="AM125" s="230"/>
    </row>
    <row r="126" spans="1:39" x14ac:dyDescent="0.2">
      <c r="A126" s="84" t="s">
        <v>457</v>
      </c>
      <c r="B126" s="84">
        <v>4</v>
      </c>
      <c r="C126" s="84">
        <v>13</v>
      </c>
      <c r="D126" s="84" t="s">
        <v>45</v>
      </c>
      <c r="E126" s="84" t="s">
        <v>207</v>
      </c>
      <c r="F126" s="84" t="s">
        <v>208</v>
      </c>
      <c r="G126" s="101">
        <v>31.335000000000001</v>
      </c>
      <c r="H126" s="101">
        <v>31.33</v>
      </c>
      <c r="I126" s="121">
        <v>18.149999999999999</v>
      </c>
      <c r="J126" s="101">
        <v>10.050000000000001</v>
      </c>
      <c r="K126" s="102">
        <v>8.1</v>
      </c>
      <c r="L126" s="119">
        <v>0</v>
      </c>
      <c r="M126" s="101"/>
      <c r="N126" s="101"/>
      <c r="O126" s="96" t="s">
        <v>379</v>
      </c>
      <c r="P126" s="97" t="s">
        <v>379</v>
      </c>
      <c r="Q126" s="236" t="s">
        <v>394</v>
      </c>
      <c r="R126" s="97" t="s">
        <v>379</v>
      </c>
      <c r="S126" s="95" t="s">
        <v>379</v>
      </c>
      <c r="T126" s="74"/>
      <c r="U126" s="74"/>
      <c r="V126" s="74"/>
      <c r="W126" s="74"/>
      <c r="X126" s="74"/>
      <c r="Y126" s="74"/>
      <c r="Z126" s="74"/>
      <c r="AA126" s="74"/>
      <c r="AC126" s="74"/>
      <c r="AD126" s="74"/>
      <c r="AE126" s="74"/>
      <c r="AF126" s="74"/>
      <c r="AG126" s="74"/>
      <c r="AH126" s="74"/>
      <c r="AL126" s="230"/>
      <c r="AM126" s="230"/>
    </row>
    <row r="127" spans="1:39" x14ac:dyDescent="0.2">
      <c r="A127" s="84" t="s">
        <v>458</v>
      </c>
      <c r="B127" s="84">
        <v>5</v>
      </c>
      <c r="C127" s="84">
        <v>13</v>
      </c>
      <c r="D127" s="84" t="s">
        <v>45</v>
      </c>
      <c r="E127" s="84" t="s">
        <v>209</v>
      </c>
      <c r="F127" s="84" t="s">
        <v>210</v>
      </c>
      <c r="G127" s="101">
        <v>60.234499999999997</v>
      </c>
      <c r="H127" s="101">
        <v>123.32</v>
      </c>
      <c r="I127" s="121">
        <v>40.36</v>
      </c>
      <c r="J127" s="101">
        <v>29.88</v>
      </c>
      <c r="K127" s="102">
        <v>10.48</v>
      </c>
      <c r="L127" s="119">
        <v>1.3753340000000014</v>
      </c>
      <c r="M127" s="101"/>
      <c r="N127" s="101"/>
      <c r="O127" s="96" t="s">
        <v>379</v>
      </c>
      <c r="P127" s="97" t="s">
        <v>388</v>
      </c>
      <c r="Q127" s="236" t="s">
        <v>388</v>
      </c>
      <c r="R127" s="97" t="s">
        <v>379</v>
      </c>
      <c r="S127" s="95" t="s">
        <v>379</v>
      </c>
      <c r="T127" s="74"/>
      <c r="U127" s="74"/>
      <c r="V127" s="74"/>
      <c r="W127" s="74"/>
      <c r="X127" s="74"/>
      <c r="Y127" s="74"/>
      <c r="Z127" s="74"/>
      <c r="AA127" s="74"/>
      <c r="AC127" s="74"/>
      <c r="AD127" s="74"/>
      <c r="AE127" s="74"/>
      <c r="AF127" s="74"/>
      <c r="AG127" s="74"/>
      <c r="AH127" s="74"/>
      <c r="AL127" s="230"/>
      <c r="AM127" s="230"/>
    </row>
    <row r="128" spans="1:39" x14ac:dyDescent="0.2">
      <c r="A128" s="84" t="s">
        <v>459</v>
      </c>
      <c r="B128" s="84">
        <v>6</v>
      </c>
      <c r="C128" s="84">
        <v>13</v>
      </c>
      <c r="D128" s="84" t="s">
        <v>45</v>
      </c>
      <c r="E128" s="84" t="s">
        <v>211</v>
      </c>
      <c r="F128" s="84" t="s">
        <v>212</v>
      </c>
      <c r="G128" s="101">
        <v>63.099299999999999</v>
      </c>
      <c r="H128" s="101">
        <v>63.09</v>
      </c>
      <c r="I128" s="121">
        <v>33.31</v>
      </c>
      <c r="J128" s="101">
        <v>13.05</v>
      </c>
      <c r="K128" s="102">
        <v>20.260000000000002</v>
      </c>
      <c r="L128" s="119">
        <v>0.54393199999999986</v>
      </c>
      <c r="M128" s="101"/>
      <c r="N128" s="101"/>
      <c r="O128" s="96" t="s">
        <v>379</v>
      </c>
      <c r="P128" s="97" t="s">
        <v>388</v>
      </c>
      <c r="Q128" s="236" t="s">
        <v>388</v>
      </c>
      <c r="R128" s="97" t="s">
        <v>379</v>
      </c>
      <c r="S128" s="95" t="s">
        <v>379</v>
      </c>
      <c r="T128" s="74"/>
      <c r="U128" s="74"/>
      <c r="V128" s="74"/>
      <c r="W128" s="74"/>
      <c r="X128" s="74"/>
      <c r="Y128" s="74"/>
      <c r="Z128" s="74"/>
      <c r="AA128" s="74"/>
      <c r="AC128" s="74"/>
      <c r="AD128" s="74"/>
      <c r="AE128" s="74"/>
      <c r="AF128" s="74"/>
      <c r="AG128" s="74"/>
      <c r="AH128" s="74"/>
      <c r="AL128" s="230"/>
      <c r="AM128" s="230"/>
    </row>
    <row r="129" spans="1:39" x14ac:dyDescent="0.2">
      <c r="A129" s="84" t="s">
        <v>460</v>
      </c>
      <c r="B129" s="84">
        <v>7</v>
      </c>
      <c r="C129" s="84">
        <v>13</v>
      </c>
      <c r="D129" s="84" t="s">
        <v>45</v>
      </c>
      <c r="E129" s="84" t="s">
        <v>213</v>
      </c>
      <c r="F129" s="84" t="s">
        <v>214</v>
      </c>
      <c r="G129" s="101">
        <v>68.012900000000002</v>
      </c>
      <c r="H129" s="101">
        <v>191.33</v>
      </c>
      <c r="I129" s="121">
        <v>76.88</v>
      </c>
      <c r="J129" s="101">
        <v>53.25</v>
      </c>
      <c r="K129" s="102">
        <v>23.63</v>
      </c>
      <c r="L129" s="119">
        <v>0</v>
      </c>
      <c r="M129" s="101"/>
      <c r="N129" s="101"/>
      <c r="O129" s="96" t="s">
        <v>379</v>
      </c>
      <c r="P129" s="97" t="s">
        <v>388</v>
      </c>
      <c r="Q129" s="236" t="s">
        <v>394</v>
      </c>
      <c r="R129" s="97" t="s">
        <v>379</v>
      </c>
      <c r="S129" s="95" t="s">
        <v>379</v>
      </c>
      <c r="T129" s="74"/>
      <c r="U129" s="74"/>
      <c r="V129" s="74"/>
      <c r="W129" s="74"/>
      <c r="X129" s="74"/>
      <c r="Y129" s="74"/>
      <c r="Z129" s="74"/>
      <c r="AA129" s="74"/>
      <c r="AC129" s="74"/>
      <c r="AD129" s="74"/>
      <c r="AE129" s="74"/>
      <c r="AF129" s="74"/>
      <c r="AG129" s="74"/>
      <c r="AH129" s="74"/>
      <c r="AL129" s="230"/>
      <c r="AM129" s="230"/>
    </row>
    <row r="130" spans="1:39" x14ac:dyDescent="0.2">
      <c r="A130" s="84" t="s">
        <v>461</v>
      </c>
      <c r="B130" s="84">
        <v>8</v>
      </c>
      <c r="C130" s="84">
        <v>13</v>
      </c>
      <c r="D130" s="84" t="s">
        <v>45</v>
      </c>
      <c r="E130" s="84" t="s">
        <v>215</v>
      </c>
      <c r="F130" s="84" t="s">
        <v>216</v>
      </c>
      <c r="G130" s="101">
        <v>67.828500000000005</v>
      </c>
      <c r="H130" s="101">
        <v>67.819999999999993</v>
      </c>
      <c r="I130" s="121">
        <v>61.86</v>
      </c>
      <c r="J130" s="101">
        <v>28.73</v>
      </c>
      <c r="K130" s="102">
        <v>33.130000000000003</v>
      </c>
      <c r="L130" s="119">
        <v>0.84496800000000039</v>
      </c>
      <c r="M130" s="101"/>
      <c r="N130" s="101"/>
      <c r="O130" s="96" t="s">
        <v>379</v>
      </c>
      <c r="P130" s="97" t="s">
        <v>388</v>
      </c>
      <c r="Q130" s="236" t="s">
        <v>388</v>
      </c>
      <c r="R130" s="97" t="s">
        <v>379</v>
      </c>
      <c r="S130" s="95" t="s">
        <v>379</v>
      </c>
      <c r="T130" s="74"/>
      <c r="U130" s="74"/>
      <c r="V130" s="74"/>
      <c r="W130" s="74"/>
      <c r="X130" s="74"/>
      <c r="Y130" s="74"/>
      <c r="Z130" s="74"/>
      <c r="AA130" s="74"/>
      <c r="AC130" s="74"/>
      <c r="AD130" s="74"/>
      <c r="AE130" s="74"/>
      <c r="AF130" s="74"/>
      <c r="AG130" s="74"/>
      <c r="AH130" s="74"/>
      <c r="AL130" s="230"/>
      <c r="AM130" s="230"/>
    </row>
    <row r="131" spans="1:39" x14ac:dyDescent="0.2">
      <c r="A131" s="84" t="s">
        <v>462</v>
      </c>
      <c r="B131" s="84">
        <v>9</v>
      </c>
      <c r="C131" s="84">
        <v>13</v>
      </c>
      <c r="D131" s="84" t="s">
        <v>45</v>
      </c>
      <c r="E131" s="84" t="s">
        <v>217</v>
      </c>
      <c r="F131" s="84" t="s">
        <v>218</v>
      </c>
      <c r="G131" s="101">
        <v>45.84</v>
      </c>
      <c r="H131" s="101">
        <v>468</v>
      </c>
      <c r="I131" s="121" t="s">
        <v>402</v>
      </c>
      <c r="J131" s="101" t="s">
        <v>402</v>
      </c>
      <c r="K131" s="102">
        <v>22.4</v>
      </c>
      <c r="L131" s="119">
        <v>0.19379999999999997</v>
      </c>
      <c r="M131" s="101"/>
      <c r="N131" s="101"/>
      <c r="O131" s="96" t="s">
        <v>379</v>
      </c>
      <c r="P131" s="97" t="s">
        <v>379</v>
      </c>
      <c r="Q131" s="236" t="s">
        <v>388</v>
      </c>
      <c r="R131" s="97" t="s">
        <v>379</v>
      </c>
      <c r="S131" s="95" t="s">
        <v>379</v>
      </c>
      <c r="T131" s="74"/>
      <c r="U131" s="74"/>
      <c r="V131" s="74"/>
      <c r="W131" s="74"/>
      <c r="X131" s="74"/>
      <c r="Y131" s="74"/>
      <c r="Z131" s="74"/>
      <c r="AA131" s="74"/>
      <c r="AC131" s="74"/>
      <c r="AD131" s="74"/>
      <c r="AE131" s="74"/>
      <c r="AF131" s="74"/>
      <c r="AG131" s="74"/>
      <c r="AH131" s="74"/>
      <c r="AL131" s="230"/>
      <c r="AM131" s="230"/>
    </row>
    <row r="132" spans="1:39" x14ac:dyDescent="0.2">
      <c r="A132" s="84" t="s">
        <v>463</v>
      </c>
      <c r="B132" s="84">
        <v>10</v>
      </c>
      <c r="C132" s="84">
        <v>13</v>
      </c>
      <c r="D132" s="84" t="s">
        <v>45</v>
      </c>
      <c r="E132" s="84" t="s">
        <v>219</v>
      </c>
      <c r="F132" s="84" t="s">
        <v>220</v>
      </c>
      <c r="G132" s="101">
        <v>38.914999999999999</v>
      </c>
      <c r="H132" s="101">
        <v>38.909999999999997</v>
      </c>
      <c r="I132" s="121">
        <v>40.79</v>
      </c>
      <c r="J132" s="101">
        <v>25.09</v>
      </c>
      <c r="K132" s="102">
        <v>15.7</v>
      </c>
      <c r="L132" s="119">
        <v>0.62468199999999996</v>
      </c>
      <c r="M132" s="101"/>
      <c r="N132" s="101"/>
      <c r="O132" s="96" t="s">
        <v>379</v>
      </c>
      <c r="P132" s="97" t="s">
        <v>388</v>
      </c>
      <c r="Q132" s="236" t="s">
        <v>388</v>
      </c>
      <c r="R132" s="97" t="s">
        <v>379</v>
      </c>
      <c r="S132" s="95" t="s">
        <v>379</v>
      </c>
      <c r="T132" s="74"/>
      <c r="U132" s="74"/>
      <c r="V132" s="74"/>
      <c r="W132" s="74"/>
      <c r="X132" s="74"/>
      <c r="Y132" s="74"/>
      <c r="Z132" s="74"/>
      <c r="AA132" s="74"/>
      <c r="AC132" s="74"/>
      <c r="AD132" s="74"/>
      <c r="AE132" s="74"/>
      <c r="AF132" s="74"/>
      <c r="AG132" s="74"/>
      <c r="AH132" s="74"/>
      <c r="AL132" s="230"/>
      <c r="AM132" s="230"/>
    </row>
    <row r="133" spans="1:39" x14ac:dyDescent="0.2">
      <c r="A133" s="84" t="s">
        <v>464</v>
      </c>
      <c r="B133" s="84">
        <v>11</v>
      </c>
      <c r="C133" s="84">
        <v>13</v>
      </c>
      <c r="D133" s="84" t="s">
        <v>45</v>
      </c>
      <c r="E133" s="84" t="s">
        <v>221</v>
      </c>
      <c r="F133" s="84" t="s">
        <v>222</v>
      </c>
      <c r="G133" s="101">
        <v>24.869199999999999</v>
      </c>
      <c r="H133" s="101">
        <v>24.86</v>
      </c>
      <c r="I133" s="121">
        <v>32.86</v>
      </c>
      <c r="J133" s="101">
        <v>21.01</v>
      </c>
      <c r="K133" s="102">
        <v>11.85</v>
      </c>
      <c r="L133" s="119">
        <v>0.41602399999999995</v>
      </c>
      <c r="M133" s="101"/>
      <c r="N133" s="101"/>
      <c r="O133" s="96" t="s">
        <v>379</v>
      </c>
      <c r="P133" s="97" t="s">
        <v>388</v>
      </c>
      <c r="Q133" s="97" t="s">
        <v>379</v>
      </c>
      <c r="R133" s="97" t="s">
        <v>379</v>
      </c>
      <c r="S133" s="95" t="s">
        <v>379</v>
      </c>
      <c r="T133" s="74"/>
      <c r="U133" s="74"/>
      <c r="V133" s="74"/>
      <c r="W133" s="74"/>
      <c r="X133" s="74"/>
      <c r="Y133" s="74"/>
      <c r="Z133" s="74"/>
      <c r="AA133" s="74"/>
      <c r="AC133" s="74"/>
      <c r="AD133" s="74"/>
      <c r="AE133" s="74"/>
      <c r="AF133" s="74"/>
      <c r="AG133" s="74"/>
      <c r="AH133" s="74"/>
      <c r="AL133" s="230"/>
      <c r="AM133" s="230"/>
    </row>
    <row r="134" spans="1:39" x14ac:dyDescent="0.2">
      <c r="A134" s="84" t="s">
        <v>465</v>
      </c>
      <c r="B134" s="84">
        <v>12</v>
      </c>
      <c r="C134" s="84">
        <v>13</v>
      </c>
      <c r="D134" s="84" t="s">
        <v>45</v>
      </c>
      <c r="E134" s="84" t="s">
        <v>223</v>
      </c>
      <c r="F134" s="84" t="s">
        <v>224</v>
      </c>
      <c r="G134" s="101">
        <v>71.583600000000004</v>
      </c>
      <c r="H134" s="101">
        <v>71.58</v>
      </c>
      <c r="I134" s="121">
        <v>58.55</v>
      </c>
      <c r="J134" s="101">
        <v>37.74</v>
      </c>
      <c r="K134" s="102">
        <v>20.81</v>
      </c>
      <c r="L134" s="119">
        <v>1.0936779999999999</v>
      </c>
      <c r="M134" s="101"/>
      <c r="N134" s="101"/>
      <c r="O134" s="96" t="s">
        <v>379</v>
      </c>
      <c r="P134" s="97" t="s">
        <v>388</v>
      </c>
      <c r="Q134" s="97" t="s">
        <v>379</v>
      </c>
      <c r="R134" s="97" t="s">
        <v>379</v>
      </c>
      <c r="S134" s="95" t="s">
        <v>379</v>
      </c>
      <c r="T134" s="74"/>
      <c r="U134" s="74"/>
      <c r="V134" s="74"/>
      <c r="W134" s="74"/>
      <c r="X134" s="74"/>
      <c r="Y134" s="74"/>
      <c r="Z134" s="74"/>
      <c r="AA134" s="74"/>
      <c r="AC134" s="74"/>
      <c r="AD134" s="74"/>
      <c r="AE134" s="74"/>
      <c r="AF134" s="74"/>
      <c r="AG134" s="74"/>
      <c r="AH134" s="74"/>
      <c r="AL134" s="230"/>
      <c r="AM134" s="230"/>
    </row>
    <row r="135" spans="1:39" x14ac:dyDescent="0.2">
      <c r="A135" s="84" t="s">
        <v>466</v>
      </c>
      <c r="B135" s="84">
        <v>13</v>
      </c>
      <c r="C135" s="84">
        <v>13</v>
      </c>
      <c r="D135" s="84" t="s">
        <v>45</v>
      </c>
      <c r="E135" s="84" t="s">
        <v>225</v>
      </c>
      <c r="F135" s="84" t="s">
        <v>226</v>
      </c>
      <c r="G135" s="101">
        <v>35.199399999999997</v>
      </c>
      <c r="H135" s="101">
        <v>35.19</v>
      </c>
      <c r="I135" s="121">
        <v>11.8</v>
      </c>
      <c r="J135" s="101">
        <v>4.82</v>
      </c>
      <c r="K135" s="102">
        <v>6.98</v>
      </c>
      <c r="L135" s="119">
        <v>0.26938200000000012</v>
      </c>
      <c r="M135" s="101"/>
      <c r="N135" s="101"/>
      <c r="O135" s="96" t="s">
        <v>379</v>
      </c>
      <c r="P135" s="97" t="s">
        <v>388</v>
      </c>
      <c r="Q135" s="97" t="s">
        <v>379</v>
      </c>
      <c r="R135" s="97" t="s">
        <v>379</v>
      </c>
      <c r="S135" s="95" t="s">
        <v>379</v>
      </c>
      <c r="T135" s="74"/>
      <c r="U135" s="74"/>
      <c r="V135" s="74"/>
      <c r="W135" s="74"/>
      <c r="X135" s="74"/>
      <c r="Y135" s="74"/>
      <c r="Z135" s="74"/>
      <c r="AA135" s="74"/>
      <c r="AC135" s="74"/>
      <c r="AD135" s="74"/>
      <c r="AE135" s="74"/>
      <c r="AF135" s="74"/>
      <c r="AG135" s="74"/>
      <c r="AH135" s="74"/>
      <c r="AL135" s="230"/>
      <c r="AM135" s="230"/>
    </row>
    <row r="136" spans="1:39" x14ac:dyDescent="0.2">
      <c r="A136" s="84" t="s">
        <v>469</v>
      </c>
      <c r="B136" s="84">
        <v>1</v>
      </c>
      <c r="C136" s="84">
        <v>14</v>
      </c>
      <c r="D136" s="84" t="s">
        <v>46</v>
      </c>
      <c r="E136" s="84" t="s">
        <v>231</v>
      </c>
      <c r="F136" s="84" t="s">
        <v>232</v>
      </c>
      <c r="G136" s="101">
        <v>67.852000000000004</v>
      </c>
      <c r="H136" s="101">
        <v>67.849999999999994</v>
      </c>
      <c r="I136" s="121">
        <v>43.72</v>
      </c>
      <c r="J136" s="101">
        <v>26.01</v>
      </c>
      <c r="K136" s="102">
        <v>17.71</v>
      </c>
      <c r="L136" s="119">
        <v>0.18088000000000015</v>
      </c>
      <c r="M136" s="101"/>
      <c r="N136" s="101"/>
      <c r="O136" s="96" t="s">
        <v>379</v>
      </c>
      <c r="P136" s="97" t="s">
        <v>394</v>
      </c>
      <c r="Q136" s="236" t="s">
        <v>394</v>
      </c>
      <c r="R136" s="97" t="s">
        <v>379</v>
      </c>
      <c r="S136" s="95" t="s">
        <v>379</v>
      </c>
      <c r="T136" s="74"/>
      <c r="U136" s="74"/>
      <c r="V136" s="74"/>
      <c r="W136" s="74"/>
      <c r="X136" s="74"/>
      <c r="Y136" s="74"/>
      <c r="Z136" s="74"/>
      <c r="AA136" s="74"/>
      <c r="AC136" s="74"/>
      <c r="AD136" s="74"/>
      <c r="AE136" s="74"/>
      <c r="AF136" s="74"/>
      <c r="AG136" s="74"/>
      <c r="AH136" s="74"/>
      <c r="AL136" s="230"/>
      <c r="AM136" s="230"/>
    </row>
    <row r="137" spans="1:39" x14ac:dyDescent="0.2">
      <c r="A137" s="84" t="s">
        <v>470</v>
      </c>
      <c r="B137" s="84">
        <v>2</v>
      </c>
      <c r="C137" s="84">
        <v>14</v>
      </c>
      <c r="D137" s="84" t="s">
        <v>46</v>
      </c>
      <c r="E137" s="84" t="s">
        <v>233</v>
      </c>
      <c r="F137" s="84" t="s">
        <v>234</v>
      </c>
      <c r="G137" s="101">
        <v>127.25369999999999</v>
      </c>
      <c r="H137" s="101">
        <v>127.25</v>
      </c>
      <c r="I137" s="121">
        <v>48.36</v>
      </c>
      <c r="J137" s="101">
        <v>19.43</v>
      </c>
      <c r="K137" s="102">
        <v>28.93</v>
      </c>
      <c r="L137" s="119">
        <v>0.85788799999999998</v>
      </c>
      <c r="M137" s="101"/>
      <c r="N137" s="101"/>
      <c r="O137" s="96" t="s">
        <v>379</v>
      </c>
      <c r="P137" s="232" t="s">
        <v>394</v>
      </c>
      <c r="Q137" s="236" t="s">
        <v>394</v>
      </c>
      <c r="R137" s="97" t="s">
        <v>379</v>
      </c>
      <c r="S137" s="95" t="s">
        <v>379</v>
      </c>
      <c r="T137" s="74"/>
      <c r="U137" s="74"/>
      <c r="V137" s="74"/>
      <c r="W137" s="74"/>
      <c r="X137" s="74"/>
      <c r="Y137" s="74"/>
      <c r="Z137" s="74"/>
      <c r="AA137" s="74"/>
      <c r="AC137" s="74"/>
      <c r="AD137" s="74"/>
      <c r="AE137" s="74"/>
      <c r="AF137" s="74"/>
      <c r="AG137" s="74"/>
      <c r="AH137" s="74"/>
      <c r="AL137" s="230"/>
      <c r="AM137" s="230"/>
    </row>
    <row r="138" spans="1:39" x14ac:dyDescent="0.2">
      <c r="A138" s="84" t="s">
        <v>471</v>
      </c>
      <c r="B138" s="84">
        <v>3</v>
      </c>
      <c r="C138" s="84">
        <v>14</v>
      </c>
      <c r="D138" s="84" t="s">
        <v>46</v>
      </c>
      <c r="E138" s="84" t="s">
        <v>235</v>
      </c>
      <c r="F138" s="84" t="s">
        <v>236</v>
      </c>
      <c r="G138" s="101">
        <v>109.92910000000001</v>
      </c>
      <c r="H138" s="101">
        <v>305.02</v>
      </c>
      <c r="I138" s="121">
        <v>53.66</v>
      </c>
      <c r="J138" s="101">
        <v>22.92</v>
      </c>
      <c r="K138" s="102">
        <v>30.74</v>
      </c>
      <c r="L138" s="119">
        <v>1.5691339999999996</v>
      </c>
      <c r="M138" s="101"/>
      <c r="N138" s="101"/>
      <c r="O138" s="96" t="s">
        <v>379</v>
      </c>
      <c r="P138" s="97" t="s">
        <v>394</v>
      </c>
      <c r="Q138" s="236" t="s">
        <v>388</v>
      </c>
      <c r="R138" s="97" t="s">
        <v>379</v>
      </c>
      <c r="S138" s="95" t="s">
        <v>379</v>
      </c>
      <c r="T138" s="74"/>
      <c r="U138" s="74"/>
      <c r="V138" s="74"/>
      <c r="W138" s="74"/>
      <c r="X138" s="74"/>
      <c r="Y138" s="74"/>
      <c r="Z138" s="74"/>
      <c r="AA138" s="74"/>
      <c r="AC138" s="74"/>
      <c r="AD138" s="74"/>
      <c r="AE138" s="74"/>
      <c r="AF138" s="74"/>
      <c r="AG138" s="74"/>
      <c r="AH138" s="74"/>
      <c r="AL138" s="230"/>
      <c r="AM138" s="230"/>
    </row>
    <row r="139" spans="1:39" x14ac:dyDescent="0.2">
      <c r="A139" s="84" t="s">
        <v>472</v>
      </c>
      <c r="B139" s="84">
        <v>4</v>
      </c>
      <c r="C139" s="84">
        <v>14</v>
      </c>
      <c r="D139" s="84" t="s">
        <v>46</v>
      </c>
      <c r="E139" s="84" t="s">
        <v>237</v>
      </c>
      <c r="F139" s="84" t="s">
        <v>238</v>
      </c>
      <c r="G139" s="101">
        <v>72.511899999999997</v>
      </c>
      <c r="H139" s="101">
        <v>72.510000000000005</v>
      </c>
      <c r="I139" s="121">
        <v>30.42</v>
      </c>
      <c r="J139" s="101">
        <v>13.75</v>
      </c>
      <c r="K139" s="102">
        <v>16.670000000000002</v>
      </c>
      <c r="L139" s="119">
        <v>0.24095799999999912</v>
      </c>
      <c r="M139" s="101"/>
      <c r="N139" s="101"/>
      <c r="O139" s="96" t="s">
        <v>379</v>
      </c>
      <c r="P139" s="97" t="s">
        <v>394</v>
      </c>
      <c r="Q139" s="236" t="s">
        <v>388</v>
      </c>
      <c r="R139" s="97" t="s">
        <v>379</v>
      </c>
      <c r="S139" s="95" t="s">
        <v>379</v>
      </c>
      <c r="T139" s="74"/>
      <c r="U139" s="74"/>
      <c r="V139" s="74"/>
      <c r="W139" s="74"/>
      <c r="X139" s="74"/>
      <c r="Y139" s="74"/>
      <c r="Z139" s="74"/>
      <c r="AA139" s="74"/>
      <c r="AC139" s="74"/>
      <c r="AD139" s="74"/>
      <c r="AE139" s="74"/>
      <c r="AF139" s="74"/>
      <c r="AG139" s="74"/>
      <c r="AH139" s="74"/>
      <c r="AL139" s="230"/>
      <c r="AM139" s="230"/>
    </row>
    <row r="140" spans="1:39" x14ac:dyDescent="0.2">
      <c r="A140" s="84" t="s">
        <v>473</v>
      </c>
      <c r="B140" s="84">
        <v>5</v>
      </c>
      <c r="C140" s="84">
        <v>14</v>
      </c>
      <c r="D140" s="84" t="s">
        <v>46</v>
      </c>
      <c r="E140" s="84" t="s">
        <v>239</v>
      </c>
      <c r="F140" s="84" t="s">
        <v>240</v>
      </c>
      <c r="G140" s="101">
        <v>87.025000000000006</v>
      </c>
      <c r="H140" s="101">
        <v>87.02</v>
      </c>
      <c r="I140" s="121">
        <v>38.53</v>
      </c>
      <c r="J140" s="101">
        <v>17.18</v>
      </c>
      <c r="K140" s="102">
        <v>21.35</v>
      </c>
      <c r="L140" s="119">
        <v>0.42959000000000003</v>
      </c>
      <c r="M140" s="101"/>
      <c r="N140" s="101"/>
      <c r="O140" s="96" t="s">
        <v>379</v>
      </c>
      <c r="P140" s="97" t="s">
        <v>394</v>
      </c>
      <c r="Q140" s="236" t="s">
        <v>394</v>
      </c>
      <c r="R140" s="97" t="s">
        <v>379</v>
      </c>
      <c r="S140" s="95" t="s">
        <v>379</v>
      </c>
      <c r="T140" s="74"/>
      <c r="U140" s="74"/>
      <c r="V140" s="74"/>
      <c r="W140" s="74"/>
      <c r="X140" s="74"/>
      <c r="Y140" s="74"/>
      <c r="Z140" s="74"/>
      <c r="AA140" s="74"/>
      <c r="AC140" s="74"/>
      <c r="AD140" s="74"/>
      <c r="AE140" s="74"/>
      <c r="AF140" s="74"/>
      <c r="AG140" s="74"/>
      <c r="AH140" s="74"/>
      <c r="AL140" s="230"/>
      <c r="AM140" s="230"/>
    </row>
    <row r="141" spans="1:39" x14ac:dyDescent="0.2">
      <c r="A141" s="84" t="s">
        <v>474</v>
      </c>
      <c r="B141" s="84">
        <v>6</v>
      </c>
      <c r="C141" s="84">
        <v>14</v>
      </c>
      <c r="D141" s="84" t="s">
        <v>46</v>
      </c>
      <c r="E141" s="84" t="s">
        <v>241</v>
      </c>
      <c r="F141" s="84" t="s">
        <v>242</v>
      </c>
      <c r="G141" s="101">
        <v>95.653700000000001</v>
      </c>
      <c r="H141" s="101">
        <v>560.20000000000005</v>
      </c>
      <c r="I141" s="121">
        <v>56.4</v>
      </c>
      <c r="J141" s="101">
        <v>29.58</v>
      </c>
      <c r="K141" s="102">
        <v>26.82</v>
      </c>
      <c r="L141" s="119">
        <v>0.91150600000000004</v>
      </c>
      <c r="M141" s="101"/>
      <c r="N141" s="101"/>
      <c r="O141" s="96" t="s">
        <v>379</v>
      </c>
      <c r="P141" s="97" t="s">
        <v>388</v>
      </c>
      <c r="Q141" s="236" t="s">
        <v>388</v>
      </c>
      <c r="R141" s="97" t="s">
        <v>379</v>
      </c>
      <c r="S141" s="95" t="s">
        <v>379</v>
      </c>
      <c r="T141" s="74"/>
      <c r="U141" s="74"/>
      <c r="V141" s="74"/>
      <c r="W141" s="74"/>
      <c r="X141" s="74"/>
      <c r="Y141" s="74"/>
      <c r="Z141" s="74"/>
      <c r="AA141" s="74"/>
      <c r="AC141" s="74"/>
      <c r="AD141" s="74"/>
      <c r="AE141" s="74"/>
      <c r="AF141" s="74"/>
      <c r="AG141" s="74"/>
      <c r="AH141" s="74"/>
      <c r="AL141" s="230"/>
      <c r="AM141" s="230"/>
    </row>
    <row r="142" spans="1:39" x14ac:dyDescent="0.2">
      <c r="A142" s="84" t="s">
        <v>475</v>
      </c>
      <c r="B142" s="84">
        <v>7</v>
      </c>
      <c r="C142" s="84">
        <v>14</v>
      </c>
      <c r="D142" s="84" t="s">
        <v>46</v>
      </c>
      <c r="E142" s="84" t="s">
        <v>243</v>
      </c>
      <c r="F142" s="84" t="s">
        <v>244</v>
      </c>
      <c r="G142" s="101">
        <v>21.720099999999999</v>
      </c>
      <c r="H142" s="101">
        <v>581.91999999999996</v>
      </c>
      <c r="I142" s="121">
        <v>6.55</v>
      </c>
      <c r="J142" s="101">
        <v>1.32</v>
      </c>
      <c r="K142" s="102">
        <v>5.23</v>
      </c>
      <c r="L142" s="119">
        <v>1.6150000000000001E-2</v>
      </c>
      <c r="M142" s="101"/>
      <c r="N142" s="101"/>
      <c r="O142" s="96" t="s">
        <v>379</v>
      </c>
      <c r="P142" s="97" t="s">
        <v>379</v>
      </c>
      <c r="Q142" s="97" t="s">
        <v>379</v>
      </c>
      <c r="R142" s="97" t="s">
        <v>379</v>
      </c>
      <c r="S142" s="95" t="s">
        <v>380</v>
      </c>
      <c r="T142" s="74"/>
      <c r="U142" s="74"/>
      <c r="V142" s="74"/>
      <c r="W142" s="74"/>
      <c r="X142" s="74"/>
      <c r="Y142" s="74"/>
      <c r="Z142" s="74"/>
      <c r="AA142" s="74"/>
      <c r="AC142" s="74"/>
      <c r="AD142" s="74"/>
      <c r="AE142" s="74"/>
      <c r="AF142" s="74"/>
      <c r="AG142" s="74"/>
      <c r="AH142" s="74"/>
      <c r="AL142" s="230"/>
      <c r="AM142" s="230"/>
    </row>
    <row r="143" spans="1:39" x14ac:dyDescent="0.2">
      <c r="A143" s="84" t="s">
        <v>467</v>
      </c>
      <c r="B143" s="84">
        <v>14</v>
      </c>
      <c r="C143" s="84">
        <v>13</v>
      </c>
      <c r="D143" s="84" t="s">
        <v>45</v>
      </c>
      <c r="E143" s="84" t="s">
        <v>227</v>
      </c>
      <c r="F143" s="84" t="s">
        <v>228</v>
      </c>
      <c r="G143" s="101">
        <v>139</v>
      </c>
      <c r="H143" s="101">
        <v>139</v>
      </c>
      <c r="I143" s="121" t="s">
        <v>402</v>
      </c>
      <c r="J143" s="101" t="s">
        <v>402</v>
      </c>
      <c r="K143" s="102">
        <v>1E-4</v>
      </c>
      <c r="L143" s="119">
        <v>0</v>
      </c>
      <c r="M143" s="101"/>
      <c r="N143" s="101"/>
      <c r="O143" s="96" t="s">
        <v>379</v>
      </c>
      <c r="P143" s="97" t="s">
        <v>379</v>
      </c>
      <c r="Q143" s="236" t="s">
        <v>388</v>
      </c>
      <c r="R143" s="97" t="s">
        <v>379</v>
      </c>
      <c r="S143" s="95" t="s">
        <v>379</v>
      </c>
      <c r="T143" s="74"/>
      <c r="U143" s="74"/>
      <c r="V143" s="74"/>
      <c r="W143" s="74"/>
      <c r="X143" s="74"/>
      <c r="Y143" s="74"/>
      <c r="Z143" s="74"/>
      <c r="AA143" s="74"/>
      <c r="AC143" s="74"/>
      <c r="AD143" s="74"/>
      <c r="AE143" s="74"/>
      <c r="AF143" s="74"/>
      <c r="AG143" s="74"/>
      <c r="AH143" s="74"/>
      <c r="AL143" s="230"/>
      <c r="AM143" s="230"/>
    </row>
    <row r="144" spans="1:39" x14ac:dyDescent="0.2">
      <c r="A144" s="84" t="s">
        <v>468</v>
      </c>
      <c r="B144" s="84">
        <v>15</v>
      </c>
      <c r="C144" s="84">
        <v>13</v>
      </c>
      <c r="D144" s="84" t="s">
        <v>45</v>
      </c>
      <c r="E144" s="84" t="s">
        <v>229</v>
      </c>
      <c r="F144" s="84" t="s">
        <v>230</v>
      </c>
      <c r="G144" s="101">
        <v>121.6</v>
      </c>
      <c r="H144" s="101">
        <v>121.6</v>
      </c>
      <c r="I144" s="121" t="s">
        <v>402</v>
      </c>
      <c r="J144" s="101" t="s">
        <v>402</v>
      </c>
      <c r="K144" s="102">
        <v>1E-4</v>
      </c>
      <c r="L144" s="119">
        <v>0</v>
      </c>
      <c r="M144" s="101"/>
      <c r="N144" s="101"/>
      <c r="O144" s="96" t="s">
        <v>379</v>
      </c>
      <c r="P144" s="97" t="s">
        <v>379</v>
      </c>
      <c r="Q144" s="97" t="s">
        <v>379</v>
      </c>
      <c r="R144" s="97" t="s">
        <v>379</v>
      </c>
      <c r="S144" s="95" t="s">
        <v>379</v>
      </c>
      <c r="T144" s="74"/>
      <c r="U144" s="74"/>
      <c r="V144" s="74"/>
      <c r="W144" s="74"/>
      <c r="X144" s="74"/>
      <c r="Y144" s="74"/>
      <c r="Z144" s="74"/>
      <c r="AA144" s="74"/>
      <c r="AC144" s="74"/>
      <c r="AD144" s="74"/>
      <c r="AE144" s="74"/>
      <c r="AF144" s="74"/>
      <c r="AG144" s="74"/>
      <c r="AH144" s="74"/>
      <c r="AL144" s="230"/>
      <c r="AM144" s="230"/>
    </row>
    <row r="145" spans="1:39" x14ac:dyDescent="0.2">
      <c r="A145" s="84" t="s">
        <v>477</v>
      </c>
      <c r="B145" s="84">
        <v>1</v>
      </c>
      <c r="C145" s="84">
        <v>15</v>
      </c>
      <c r="D145" s="84" t="s">
        <v>47</v>
      </c>
      <c r="E145" s="84" t="s">
        <v>247</v>
      </c>
      <c r="F145" s="84" t="s">
        <v>248</v>
      </c>
      <c r="G145" s="101">
        <v>14.8104</v>
      </c>
      <c r="H145" s="101">
        <v>14.81</v>
      </c>
      <c r="I145" s="121">
        <v>4.8</v>
      </c>
      <c r="J145" s="101">
        <v>1.27</v>
      </c>
      <c r="K145" s="102">
        <v>3.53</v>
      </c>
      <c r="L145" s="119">
        <v>4.5865999999999997E-2</v>
      </c>
      <c r="M145" s="101"/>
      <c r="N145" s="101"/>
      <c r="O145" s="96" t="s">
        <v>379</v>
      </c>
      <c r="P145" s="97" t="s">
        <v>379</v>
      </c>
      <c r="Q145" s="97" t="s">
        <v>379</v>
      </c>
      <c r="R145" s="97" t="s">
        <v>379</v>
      </c>
      <c r="S145" s="95" t="s">
        <v>380</v>
      </c>
      <c r="T145" s="74"/>
      <c r="U145" s="74"/>
      <c r="V145" s="74"/>
      <c r="W145" s="74"/>
      <c r="X145" s="74"/>
      <c r="Y145" s="74"/>
      <c r="Z145" s="74"/>
      <c r="AA145" s="74"/>
      <c r="AC145" s="74"/>
      <c r="AD145" s="74"/>
      <c r="AE145" s="74"/>
      <c r="AF145" s="74"/>
      <c r="AG145" s="74"/>
      <c r="AH145" s="74"/>
      <c r="AL145" s="230"/>
      <c r="AM145" s="230"/>
    </row>
    <row r="146" spans="1:39" x14ac:dyDescent="0.2">
      <c r="A146" s="84" t="s">
        <v>478</v>
      </c>
      <c r="B146" s="84">
        <v>2</v>
      </c>
      <c r="C146" s="84">
        <v>15</v>
      </c>
      <c r="D146" s="84" t="s">
        <v>47</v>
      </c>
      <c r="E146" s="84" t="s">
        <v>249</v>
      </c>
      <c r="F146" s="84" t="s">
        <v>250</v>
      </c>
      <c r="G146" s="101">
        <v>26.415700000000001</v>
      </c>
      <c r="H146" s="101">
        <v>26.41</v>
      </c>
      <c r="I146" s="121">
        <v>11.52</v>
      </c>
      <c r="J146" s="101">
        <v>5.84</v>
      </c>
      <c r="K146" s="102">
        <v>5.68</v>
      </c>
      <c r="L146" s="119">
        <v>0.10336000000000001</v>
      </c>
      <c r="M146" s="101"/>
      <c r="N146" s="101"/>
      <c r="O146" s="96" t="s">
        <v>379</v>
      </c>
      <c r="P146" s="97" t="s">
        <v>388</v>
      </c>
      <c r="Q146" s="97" t="s">
        <v>379</v>
      </c>
      <c r="R146" s="97" t="s">
        <v>379</v>
      </c>
      <c r="S146" s="95" t="s">
        <v>379</v>
      </c>
      <c r="T146" s="74"/>
      <c r="U146" s="74"/>
      <c r="V146" s="74"/>
      <c r="W146" s="74"/>
      <c r="X146" s="74"/>
      <c r="Y146" s="74"/>
      <c r="Z146" s="74"/>
      <c r="AA146" s="74"/>
      <c r="AC146" s="74"/>
      <c r="AD146" s="74"/>
      <c r="AE146" s="74"/>
      <c r="AF146" s="74"/>
      <c r="AG146" s="74"/>
      <c r="AH146" s="74"/>
      <c r="AL146" s="230"/>
      <c r="AM146" s="230"/>
    </row>
    <row r="147" spans="1:39" x14ac:dyDescent="0.2">
      <c r="A147" s="84" t="s">
        <v>479</v>
      </c>
      <c r="B147" s="84">
        <v>3</v>
      </c>
      <c r="C147" s="84">
        <v>15</v>
      </c>
      <c r="D147" s="84" t="s">
        <v>47</v>
      </c>
      <c r="E147" s="84" t="s">
        <v>251</v>
      </c>
      <c r="F147" s="84" t="s">
        <v>252</v>
      </c>
      <c r="G147" s="101">
        <v>71.010300000000001</v>
      </c>
      <c r="H147" s="101">
        <v>71.010000000000005</v>
      </c>
      <c r="I147" s="121">
        <v>35.47</v>
      </c>
      <c r="J147" s="101">
        <v>17.47</v>
      </c>
      <c r="K147" s="102">
        <v>18</v>
      </c>
      <c r="L147" s="119">
        <v>0</v>
      </c>
      <c r="M147" s="101"/>
      <c r="N147" s="101"/>
      <c r="O147" s="96" t="s">
        <v>379</v>
      </c>
      <c r="P147" s="97" t="s">
        <v>388</v>
      </c>
      <c r="Q147" s="236" t="s">
        <v>394</v>
      </c>
      <c r="R147" s="97" t="s">
        <v>379</v>
      </c>
      <c r="S147" s="95" t="s">
        <v>379</v>
      </c>
      <c r="T147" s="74"/>
      <c r="U147" s="74"/>
      <c r="V147" s="74"/>
      <c r="W147" s="74"/>
      <c r="X147" s="74"/>
      <c r="Y147" s="74"/>
      <c r="Z147" s="74"/>
      <c r="AA147" s="74"/>
      <c r="AC147" s="74"/>
      <c r="AD147" s="74"/>
      <c r="AE147" s="74"/>
      <c r="AF147" s="74"/>
      <c r="AG147" s="74"/>
      <c r="AH147" s="74"/>
      <c r="AL147" s="230"/>
      <c r="AM147" s="230"/>
    </row>
    <row r="148" spans="1:39" x14ac:dyDescent="0.2">
      <c r="A148" s="84" t="s">
        <v>480</v>
      </c>
      <c r="B148" s="84">
        <v>4</v>
      </c>
      <c r="C148" s="84">
        <v>15</v>
      </c>
      <c r="D148" s="84" t="s">
        <v>47</v>
      </c>
      <c r="E148" s="84" t="s">
        <v>253</v>
      </c>
      <c r="F148" s="84" t="s">
        <v>254</v>
      </c>
      <c r="G148" s="101">
        <v>133.39599999999999</v>
      </c>
      <c r="H148" s="101">
        <v>204.4</v>
      </c>
      <c r="I148" s="121">
        <v>59.2</v>
      </c>
      <c r="J148" s="101">
        <v>13.71</v>
      </c>
      <c r="K148" s="102">
        <v>45.49</v>
      </c>
      <c r="L148" s="119">
        <v>1.4018200000000003</v>
      </c>
      <c r="M148" s="101"/>
      <c r="N148" s="101"/>
      <c r="O148" s="96" t="s">
        <v>379</v>
      </c>
      <c r="P148" s="97" t="s">
        <v>388</v>
      </c>
      <c r="Q148" s="236" t="s">
        <v>394</v>
      </c>
      <c r="R148" s="97" t="s">
        <v>379</v>
      </c>
      <c r="S148" s="95" t="s">
        <v>380</v>
      </c>
      <c r="T148" s="74"/>
      <c r="U148" s="74"/>
      <c r="V148" s="74"/>
      <c r="W148" s="74"/>
      <c r="X148" s="74"/>
      <c r="Y148" s="74"/>
      <c r="Z148" s="74"/>
      <c r="AA148" s="74"/>
      <c r="AC148" s="74"/>
      <c r="AD148" s="74"/>
      <c r="AE148" s="74"/>
      <c r="AF148" s="74"/>
      <c r="AG148" s="74"/>
      <c r="AH148" s="74"/>
      <c r="AL148" s="230"/>
      <c r="AM148" s="230"/>
    </row>
    <row r="149" spans="1:39" x14ac:dyDescent="0.2">
      <c r="A149" s="84" t="s">
        <v>481</v>
      </c>
      <c r="B149" s="84">
        <v>5</v>
      </c>
      <c r="C149" s="84">
        <v>15</v>
      </c>
      <c r="D149" s="84" t="s">
        <v>47</v>
      </c>
      <c r="E149" s="84" t="s">
        <v>255</v>
      </c>
      <c r="F149" s="84" t="s">
        <v>256</v>
      </c>
      <c r="G149" s="101">
        <v>142.0823</v>
      </c>
      <c r="H149" s="101">
        <v>346.48</v>
      </c>
      <c r="I149" s="121">
        <v>52.54</v>
      </c>
      <c r="J149" s="101">
        <v>21.1</v>
      </c>
      <c r="K149" s="102">
        <v>31.44</v>
      </c>
      <c r="L149" s="119">
        <v>0.93088599999999999</v>
      </c>
      <c r="M149" s="101"/>
      <c r="N149" s="101"/>
      <c r="O149" s="96" t="s">
        <v>379</v>
      </c>
      <c r="P149" s="97" t="s">
        <v>388</v>
      </c>
      <c r="Q149" s="236" t="s">
        <v>388</v>
      </c>
      <c r="R149" s="97" t="s">
        <v>379</v>
      </c>
      <c r="S149" s="95" t="s">
        <v>379</v>
      </c>
      <c r="T149" s="74"/>
      <c r="U149" s="74"/>
      <c r="V149" s="74"/>
      <c r="W149" s="74"/>
      <c r="X149" s="74"/>
      <c r="Y149" s="74"/>
      <c r="Z149" s="74"/>
      <c r="AA149" s="74"/>
      <c r="AC149" s="74"/>
      <c r="AD149" s="74"/>
      <c r="AE149" s="74"/>
      <c r="AF149" s="74"/>
      <c r="AG149" s="74"/>
      <c r="AH149" s="74"/>
      <c r="AL149" s="230"/>
      <c r="AM149" s="230"/>
    </row>
    <row r="150" spans="1:39" x14ac:dyDescent="0.2">
      <c r="A150" s="84" t="s">
        <v>482</v>
      </c>
      <c r="B150" s="84">
        <v>6</v>
      </c>
      <c r="C150" s="84">
        <v>15</v>
      </c>
      <c r="D150" s="84" t="s">
        <v>47</v>
      </c>
      <c r="E150" s="84" t="s">
        <v>257</v>
      </c>
      <c r="F150" s="84" t="s">
        <v>258</v>
      </c>
      <c r="G150" s="101">
        <v>42.676099999999998</v>
      </c>
      <c r="H150" s="101">
        <v>42.67</v>
      </c>
      <c r="I150" s="121">
        <v>18.04</v>
      </c>
      <c r="J150" s="101">
        <v>9.5</v>
      </c>
      <c r="K150" s="102">
        <v>8.5399999999999991</v>
      </c>
      <c r="L150" s="119">
        <v>0.14987200000000001</v>
      </c>
      <c r="M150" s="101"/>
      <c r="N150" s="101"/>
      <c r="O150" s="96" t="s">
        <v>379</v>
      </c>
      <c r="P150" s="97" t="s">
        <v>388</v>
      </c>
      <c r="Q150" s="97" t="s">
        <v>379</v>
      </c>
      <c r="R150" s="97" t="s">
        <v>379</v>
      </c>
      <c r="S150" s="95" t="s">
        <v>379</v>
      </c>
      <c r="T150" s="74"/>
      <c r="U150" s="74"/>
      <c r="V150" s="74"/>
      <c r="W150" s="74"/>
      <c r="X150" s="74"/>
      <c r="Y150" s="74"/>
      <c r="Z150" s="74"/>
      <c r="AA150" s="74"/>
      <c r="AC150" s="74"/>
      <c r="AD150" s="74"/>
      <c r="AE150" s="74"/>
      <c r="AF150" s="74"/>
      <c r="AG150" s="74"/>
      <c r="AH150" s="74"/>
      <c r="AL150" s="230"/>
      <c r="AM150" s="230"/>
    </row>
    <row r="151" spans="1:39" x14ac:dyDescent="0.2">
      <c r="A151" s="84" t="s">
        <v>483</v>
      </c>
      <c r="B151" s="84">
        <v>7</v>
      </c>
      <c r="C151" s="84">
        <v>15</v>
      </c>
      <c r="D151" s="84" t="s">
        <v>47</v>
      </c>
      <c r="E151" s="84" t="s">
        <v>259</v>
      </c>
      <c r="F151" s="84" t="s">
        <v>260</v>
      </c>
      <c r="G151" s="101">
        <v>102.1365</v>
      </c>
      <c r="H151" s="101">
        <v>102.13</v>
      </c>
      <c r="I151" s="121">
        <v>36.49</v>
      </c>
      <c r="J151" s="101">
        <v>15.44</v>
      </c>
      <c r="K151" s="102">
        <v>21.05</v>
      </c>
      <c r="L151" s="119">
        <v>1.5607360000000003</v>
      </c>
      <c r="M151" s="101"/>
      <c r="N151" s="101"/>
      <c r="O151" s="96" t="s">
        <v>379</v>
      </c>
      <c r="P151" s="97" t="s">
        <v>388</v>
      </c>
      <c r="Q151" s="236" t="s">
        <v>388</v>
      </c>
      <c r="R151" s="97" t="s">
        <v>379</v>
      </c>
      <c r="S151" s="95" t="s">
        <v>379</v>
      </c>
      <c r="T151" s="74"/>
      <c r="U151" s="74"/>
      <c r="V151" s="74"/>
      <c r="W151" s="74"/>
      <c r="X151" s="74"/>
      <c r="Y151" s="74"/>
      <c r="Z151" s="74"/>
      <c r="AA151" s="74"/>
      <c r="AC151" s="74"/>
      <c r="AD151" s="74"/>
      <c r="AE151" s="74"/>
      <c r="AF151" s="74"/>
      <c r="AG151" s="74"/>
      <c r="AH151" s="74"/>
      <c r="AL151" s="230"/>
      <c r="AM151" s="230"/>
    </row>
    <row r="152" spans="1:39" x14ac:dyDescent="0.2">
      <c r="A152" s="84" t="s">
        <v>489</v>
      </c>
      <c r="B152" s="84">
        <v>4</v>
      </c>
      <c r="C152" s="84">
        <v>16</v>
      </c>
      <c r="D152" s="84" t="s">
        <v>48</v>
      </c>
      <c r="E152" s="84" t="s">
        <v>271</v>
      </c>
      <c r="F152" s="84" t="s">
        <v>272</v>
      </c>
      <c r="G152" s="101">
        <v>69.052400000000006</v>
      </c>
      <c r="H152" s="101">
        <v>69.05</v>
      </c>
      <c r="I152" s="121">
        <v>11.76</v>
      </c>
      <c r="J152" s="101">
        <v>3.07</v>
      </c>
      <c r="K152" s="102">
        <v>8.69</v>
      </c>
      <c r="L152" s="119">
        <v>5.0388000000000002E-2</v>
      </c>
      <c r="M152" s="101"/>
      <c r="N152" s="101"/>
      <c r="O152" s="96" t="s">
        <v>379</v>
      </c>
      <c r="P152" s="97" t="s">
        <v>379</v>
      </c>
      <c r="Q152" s="97" t="s">
        <v>379</v>
      </c>
      <c r="R152" s="97" t="s">
        <v>379</v>
      </c>
      <c r="S152" s="95" t="s">
        <v>380</v>
      </c>
      <c r="T152" s="74"/>
      <c r="U152" s="74"/>
      <c r="V152" s="74"/>
      <c r="W152" s="74"/>
      <c r="X152" s="74"/>
      <c r="Y152" s="74"/>
      <c r="Z152" s="74"/>
      <c r="AA152" s="74"/>
      <c r="AC152" s="74"/>
      <c r="AD152" s="74"/>
      <c r="AE152" s="74"/>
      <c r="AF152" s="74"/>
      <c r="AG152" s="74"/>
      <c r="AH152" s="74"/>
      <c r="AL152" s="230"/>
      <c r="AM152" s="230"/>
    </row>
    <row r="153" spans="1:39" x14ac:dyDescent="0.2">
      <c r="A153" s="84" t="s">
        <v>476</v>
      </c>
      <c r="B153" s="84">
        <v>8</v>
      </c>
      <c r="C153" s="84">
        <v>14</v>
      </c>
      <c r="D153" s="84" t="s">
        <v>46</v>
      </c>
      <c r="E153" s="84" t="s">
        <v>245</v>
      </c>
      <c r="F153" s="84" t="s">
        <v>246</v>
      </c>
      <c r="G153" s="101">
        <v>59.1</v>
      </c>
      <c r="H153" s="101">
        <v>59.1</v>
      </c>
      <c r="I153" s="121" t="s">
        <v>402</v>
      </c>
      <c r="J153" s="101" t="s">
        <v>402</v>
      </c>
      <c r="K153" s="102">
        <v>1E-4</v>
      </c>
      <c r="L153" s="119">
        <v>0</v>
      </c>
      <c r="M153" s="101"/>
      <c r="N153" s="101"/>
      <c r="O153" s="96" t="s">
        <v>379</v>
      </c>
      <c r="P153" s="97" t="s">
        <v>379</v>
      </c>
      <c r="Q153" s="97" t="s">
        <v>379</v>
      </c>
      <c r="R153" s="97" t="s">
        <v>379</v>
      </c>
      <c r="S153" s="95" t="s">
        <v>379</v>
      </c>
      <c r="T153" s="74"/>
      <c r="U153" s="74"/>
      <c r="V153" s="74"/>
      <c r="W153" s="74"/>
      <c r="X153" s="74"/>
      <c r="Y153" s="74"/>
      <c r="Z153" s="74"/>
      <c r="AA153" s="74"/>
      <c r="AC153" s="74"/>
      <c r="AD153" s="74"/>
      <c r="AE153" s="74"/>
      <c r="AF153" s="74"/>
      <c r="AG153" s="74"/>
      <c r="AH153" s="74"/>
      <c r="AL153" s="230"/>
      <c r="AM153" s="230"/>
    </row>
    <row r="154" spans="1:39" x14ac:dyDescent="0.2">
      <c r="A154" s="84" t="s">
        <v>484</v>
      </c>
      <c r="B154" s="84">
        <v>8</v>
      </c>
      <c r="C154" s="84">
        <v>15</v>
      </c>
      <c r="D154" s="84" t="s">
        <v>47</v>
      </c>
      <c r="E154" s="84" t="s">
        <v>261</v>
      </c>
      <c r="F154" s="84" t="s">
        <v>262</v>
      </c>
      <c r="G154" s="101">
        <v>54</v>
      </c>
      <c r="H154" s="101">
        <v>54</v>
      </c>
      <c r="I154" s="121" t="s">
        <v>402</v>
      </c>
      <c r="J154" s="101" t="s">
        <v>402</v>
      </c>
      <c r="K154" s="102">
        <v>1E-4</v>
      </c>
      <c r="L154" s="119">
        <v>0</v>
      </c>
      <c r="M154" s="101"/>
      <c r="N154" s="101"/>
      <c r="O154" s="96" t="s">
        <v>379</v>
      </c>
      <c r="P154" s="97" t="s">
        <v>379</v>
      </c>
      <c r="Q154" s="97" t="s">
        <v>379</v>
      </c>
      <c r="R154" s="97" t="s">
        <v>379</v>
      </c>
      <c r="S154" s="95" t="s">
        <v>379</v>
      </c>
      <c r="T154" s="74"/>
      <c r="U154" s="74"/>
      <c r="V154" s="74"/>
      <c r="W154" s="74"/>
      <c r="X154" s="74"/>
      <c r="Y154" s="74"/>
      <c r="Z154" s="74"/>
      <c r="AA154" s="74"/>
      <c r="AC154" s="74"/>
      <c r="AD154" s="74"/>
      <c r="AE154" s="74"/>
      <c r="AF154" s="74"/>
      <c r="AG154" s="74"/>
      <c r="AH154" s="74"/>
      <c r="AL154" s="230"/>
      <c r="AM154" s="230"/>
    </row>
    <row r="155" spans="1:39" x14ac:dyDescent="0.2">
      <c r="A155" s="84" t="s">
        <v>485</v>
      </c>
      <c r="B155" s="84">
        <v>9</v>
      </c>
      <c r="C155" s="84">
        <v>15</v>
      </c>
      <c r="D155" s="84" t="s">
        <v>47</v>
      </c>
      <c r="E155" s="84" t="s">
        <v>263</v>
      </c>
      <c r="F155" s="84" t="s">
        <v>264</v>
      </c>
      <c r="G155" s="101">
        <v>27</v>
      </c>
      <c r="H155" s="101">
        <v>27</v>
      </c>
      <c r="I155" s="121" t="s">
        <v>402</v>
      </c>
      <c r="J155" s="101" t="s">
        <v>402</v>
      </c>
      <c r="K155" s="102">
        <v>1E-4</v>
      </c>
      <c r="L155" s="119">
        <v>0</v>
      </c>
      <c r="M155" s="101"/>
      <c r="N155" s="101"/>
      <c r="O155" s="96" t="s">
        <v>379</v>
      </c>
      <c r="P155" s="97" t="s">
        <v>379</v>
      </c>
      <c r="Q155" s="97" t="s">
        <v>379</v>
      </c>
      <c r="R155" s="97" t="s">
        <v>379</v>
      </c>
      <c r="S155" s="95" t="s">
        <v>379</v>
      </c>
      <c r="T155" s="74"/>
      <c r="U155" s="74"/>
      <c r="V155" s="74"/>
      <c r="W155" s="74"/>
      <c r="X155" s="74"/>
      <c r="Y155" s="74"/>
      <c r="Z155" s="74"/>
      <c r="AA155" s="74"/>
      <c r="AC155" s="74"/>
      <c r="AD155" s="74"/>
      <c r="AE155" s="74"/>
      <c r="AF155" s="74"/>
      <c r="AG155" s="74"/>
      <c r="AH155" s="74"/>
      <c r="AL155" s="230"/>
      <c r="AM155" s="230"/>
    </row>
    <row r="156" spans="1:39" ht="13.5" thickBot="1" x14ac:dyDescent="0.25">
      <c r="A156" s="261" t="s">
        <v>490</v>
      </c>
      <c r="B156" s="261">
        <v>5</v>
      </c>
      <c r="C156" s="261">
        <v>16</v>
      </c>
      <c r="D156" s="261" t="s">
        <v>48</v>
      </c>
      <c r="E156" s="261" t="s">
        <v>273</v>
      </c>
      <c r="F156" s="261" t="s">
        <v>274</v>
      </c>
      <c r="G156" s="288">
        <v>191</v>
      </c>
      <c r="H156" s="288">
        <v>191</v>
      </c>
      <c r="I156" s="289" t="s">
        <v>402</v>
      </c>
      <c r="J156" s="288" t="s">
        <v>402</v>
      </c>
      <c r="K156" s="290">
        <v>1E-4</v>
      </c>
      <c r="L156" s="288">
        <v>0</v>
      </c>
      <c r="M156" s="288"/>
      <c r="N156" s="288"/>
      <c r="O156" s="291" t="s">
        <v>379</v>
      </c>
      <c r="P156" s="292" t="s">
        <v>379</v>
      </c>
      <c r="Q156" s="292" t="s">
        <v>379</v>
      </c>
      <c r="R156" s="292" t="s">
        <v>379</v>
      </c>
      <c r="S156" s="293" t="s">
        <v>379</v>
      </c>
      <c r="T156" s="74"/>
      <c r="U156" s="74"/>
      <c r="V156" s="74"/>
      <c r="W156" s="74"/>
      <c r="X156" s="74"/>
      <c r="Y156" s="74"/>
      <c r="Z156" s="74"/>
      <c r="AA156" s="74"/>
      <c r="AC156" s="74"/>
      <c r="AD156" s="74"/>
      <c r="AE156" s="74"/>
      <c r="AF156" s="74"/>
      <c r="AG156" s="74"/>
      <c r="AH156" s="74"/>
      <c r="AL156" s="230"/>
      <c r="AM156" s="230"/>
    </row>
    <row r="157" spans="1:39" x14ac:dyDescent="0.2">
      <c r="AL157" s="230"/>
      <c r="AM157" s="230"/>
    </row>
    <row r="160" spans="1:39" x14ac:dyDescent="0.2">
      <c r="L160">
        <v>61.412119199999999</v>
      </c>
    </row>
  </sheetData>
  <sortState ref="A6:AK156">
    <sortCondition ref="E6:E156"/>
  </sortState>
  <mergeCells count="3">
    <mergeCell ref="O4:S4"/>
    <mergeCell ref="A2:H2"/>
    <mergeCell ref="A4:L4"/>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AL155"/>
  <sheetViews>
    <sheetView workbookViewId="0"/>
  </sheetViews>
  <sheetFormatPr defaultRowHeight="12.75" x14ac:dyDescent="0.2"/>
  <cols>
    <col min="2" max="2" width="25" bestFit="1" customWidth="1"/>
    <col min="3" max="3" width="10.140625" bestFit="1" customWidth="1"/>
    <col min="4" max="4" width="43.5703125" bestFit="1" customWidth="1"/>
    <col min="5" max="5" width="45.140625" bestFit="1" customWidth="1"/>
    <col min="9" max="9" width="5.5703125" bestFit="1" customWidth="1"/>
    <col min="10" max="10" width="7.85546875" bestFit="1" customWidth="1"/>
    <col min="11" max="11" width="6.7109375" bestFit="1" customWidth="1"/>
    <col min="12" max="12" width="30.85546875" bestFit="1" customWidth="1"/>
    <col min="13" max="13" width="12" bestFit="1" customWidth="1"/>
    <col min="14" max="14" width="40.42578125" bestFit="1" customWidth="1"/>
    <col min="19" max="38" width="13.28515625" style="180" customWidth="1"/>
  </cols>
  <sheetData>
    <row r="1" spans="2:38" x14ac:dyDescent="0.2">
      <c r="B1" s="187" t="str">
        <f>CONCATENATE("HUC11 Water Availability Summary for WMA ", B5, " ",B7)</f>
        <v xml:space="preserve">HUC11 Water Availability Summary for WMA 1 </v>
      </c>
      <c r="C1" s="58"/>
    </row>
    <row r="4" spans="2:38" x14ac:dyDescent="0.2">
      <c r="B4" t="s">
        <v>29</v>
      </c>
      <c r="C4" t="s">
        <v>30</v>
      </c>
      <c r="D4" t="s">
        <v>31</v>
      </c>
      <c r="E4" s="155" t="s">
        <v>32</v>
      </c>
      <c r="I4" s="54" t="s">
        <v>53</v>
      </c>
      <c r="J4" s="54" t="s">
        <v>54</v>
      </c>
      <c r="K4" s="54" t="s">
        <v>30</v>
      </c>
      <c r="L4" s="54" t="s">
        <v>31</v>
      </c>
      <c r="M4" s="54" t="s">
        <v>1</v>
      </c>
      <c r="N4" s="54" t="s">
        <v>55</v>
      </c>
      <c r="S4" s="180">
        <v>1</v>
      </c>
      <c r="T4" s="180">
        <v>2</v>
      </c>
      <c r="U4" s="180">
        <v>3</v>
      </c>
      <c r="V4" s="180">
        <v>4</v>
      </c>
      <c r="W4" s="180">
        <v>5</v>
      </c>
      <c r="X4" s="180">
        <v>6</v>
      </c>
      <c r="Y4" s="180">
        <v>7</v>
      </c>
      <c r="Z4" s="180">
        <v>8</v>
      </c>
      <c r="AA4" s="180">
        <v>9</v>
      </c>
      <c r="AB4" s="180">
        <v>10</v>
      </c>
      <c r="AC4" s="180">
        <v>11</v>
      </c>
      <c r="AD4" s="180">
        <v>12</v>
      </c>
      <c r="AE4" s="180">
        <v>13</v>
      </c>
      <c r="AF4" s="180">
        <v>14</v>
      </c>
      <c r="AG4" s="180">
        <v>15</v>
      </c>
      <c r="AH4" s="180">
        <v>16</v>
      </c>
      <c r="AI4" s="180">
        <v>17</v>
      </c>
      <c r="AJ4" s="180">
        <v>18</v>
      </c>
      <c r="AK4" s="180">
        <v>19</v>
      </c>
      <c r="AL4" s="180">
        <v>20</v>
      </c>
    </row>
    <row r="5" spans="2:38" x14ac:dyDescent="0.2">
      <c r="B5">
        <f>VLOOKUP(+'WMA Summary'!I3,E5:F24,2,FALSE)</f>
        <v>1</v>
      </c>
      <c r="C5">
        <v>1</v>
      </c>
      <c r="D5" t="s">
        <v>33</v>
      </c>
      <c r="E5" s="53" t="str">
        <f>CONCATENATE(C5,"-",D5)</f>
        <v>1-Upper Delaware</v>
      </c>
      <c r="F5">
        <v>1</v>
      </c>
      <c r="I5" s="55" t="str">
        <f t="shared" ref="I5:I68" si="0">CONCATENATE(K5,"-",J5)</f>
        <v>1-1</v>
      </c>
      <c r="J5" s="55">
        <v>1</v>
      </c>
      <c r="K5" s="56">
        <v>1</v>
      </c>
      <c r="L5" s="55" t="s">
        <v>33</v>
      </c>
      <c r="M5" s="55" t="s">
        <v>56</v>
      </c>
      <c r="N5" s="55" t="s">
        <v>57</v>
      </c>
      <c r="S5" s="191" t="s">
        <v>56</v>
      </c>
      <c r="T5" s="191" t="s">
        <v>94</v>
      </c>
      <c r="U5" s="191" t="s">
        <v>105</v>
      </c>
      <c r="V5" s="191" t="s">
        <v>113</v>
      </c>
      <c r="W5" s="191" t="s">
        <v>119</v>
      </c>
      <c r="X5" s="191" t="s">
        <v>126</v>
      </c>
      <c r="Y5" s="191" t="s">
        <v>134</v>
      </c>
      <c r="Z5" s="191" t="s">
        <v>142</v>
      </c>
      <c r="AA5" s="191" t="s">
        <v>157</v>
      </c>
      <c r="AB5" s="191" t="s">
        <v>169</v>
      </c>
      <c r="AC5" s="191" t="s">
        <v>175</v>
      </c>
      <c r="AD5" s="191" t="s">
        <v>185</v>
      </c>
      <c r="AE5" s="191" t="s">
        <v>201</v>
      </c>
      <c r="AF5" s="191" t="s">
        <v>231</v>
      </c>
      <c r="AG5" s="191" t="s">
        <v>247</v>
      </c>
      <c r="AH5" s="191" t="s">
        <v>265</v>
      </c>
      <c r="AI5" s="191" t="s">
        <v>275</v>
      </c>
      <c r="AJ5" s="191" t="s">
        <v>313</v>
      </c>
      <c r="AK5" s="191" t="s">
        <v>329</v>
      </c>
      <c r="AL5" s="191" t="s">
        <v>344</v>
      </c>
    </row>
    <row r="6" spans="2:38" x14ac:dyDescent="0.2">
      <c r="B6" t="str">
        <f>CONCATENATE(B5," ",VLOOKUP(B5,C5:D24,2))</f>
        <v>1 Upper Delaware</v>
      </c>
      <c r="C6">
        <v>2</v>
      </c>
      <c r="D6" t="s">
        <v>34</v>
      </c>
      <c r="E6" s="53" t="str">
        <f t="shared" ref="E6:E24" si="1">CONCATENATE(C6,"-",D6)</f>
        <v>2-Wallkill</v>
      </c>
      <c r="F6">
        <v>2</v>
      </c>
      <c r="I6" s="55" t="str">
        <f t="shared" si="0"/>
        <v>1-2</v>
      </c>
      <c r="J6" s="55">
        <v>2</v>
      </c>
      <c r="K6" s="56">
        <v>1</v>
      </c>
      <c r="L6" s="55" t="s">
        <v>33</v>
      </c>
      <c r="M6" s="55" t="s">
        <v>58</v>
      </c>
      <c r="N6" s="55" t="s">
        <v>59</v>
      </c>
      <c r="S6" s="191" t="s">
        <v>58</v>
      </c>
      <c r="T6" s="191" t="s">
        <v>96</v>
      </c>
      <c r="U6" s="191" t="s">
        <v>107</v>
      </c>
      <c r="V6" s="191" t="s">
        <v>115</v>
      </c>
      <c r="W6" s="191" t="s">
        <v>121</v>
      </c>
      <c r="X6" s="191" t="s">
        <v>128</v>
      </c>
      <c r="Y6" s="191" t="s">
        <v>136</v>
      </c>
      <c r="Z6" s="191" t="s">
        <v>144</v>
      </c>
      <c r="AA6" s="191" t="s">
        <v>159</v>
      </c>
      <c r="AB6" s="191" t="s">
        <v>171</v>
      </c>
      <c r="AC6" s="191" t="s">
        <v>177</v>
      </c>
      <c r="AD6" s="191" t="s">
        <v>187</v>
      </c>
      <c r="AE6" s="191" t="s">
        <v>203</v>
      </c>
      <c r="AF6" s="191" t="s">
        <v>233</v>
      </c>
      <c r="AG6" s="191" t="s">
        <v>249</v>
      </c>
      <c r="AH6" s="191" t="s">
        <v>267</v>
      </c>
      <c r="AI6" s="191" t="s">
        <v>277</v>
      </c>
      <c r="AJ6" s="191" t="s">
        <v>315</v>
      </c>
      <c r="AK6" s="191" t="s">
        <v>331</v>
      </c>
      <c r="AL6" s="191" t="s">
        <v>346</v>
      </c>
    </row>
    <row r="7" spans="2:38" x14ac:dyDescent="0.2">
      <c r="C7">
        <v>3</v>
      </c>
      <c r="D7" t="s">
        <v>35</v>
      </c>
      <c r="E7" s="53" t="str">
        <f t="shared" si="1"/>
        <v>3-Pompton, Pequannock, Wanaque and Ramapo</v>
      </c>
      <c r="F7">
        <v>3</v>
      </c>
      <c r="I7" s="55" t="str">
        <f t="shared" si="0"/>
        <v>1-3</v>
      </c>
      <c r="J7" s="55">
        <v>3</v>
      </c>
      <c r="K7" s="56">
        <v>1</v>
      </c>
      <c r="L7" s="55" t="s">
        <v>33</v>
      </c>
      <c r="M7" s="55" t="s">
        <v>60</v>
      </c>
      <c r="N7" s="55" t="s">
        <v>61</v>
      </c>
      <c r="S7" s="191" t="s">
        <v>60</v>
      </c>
      <c r="T7" s="191" t="s">
        <v>98</v>
      </c>
      <c r="U7" s="191" t="s">
        <v>109</v>
      </c>
      <c r="V7" s="191" t="s">
        <v>117</v>
      </c>
      <c r="W7" s="191" t="s">
        <v>123</v>
      </c>
      <c r="X7" s="191" t="s">
        <v>130</v>
      </c>
      <c r="Y7" s="191" t="s">
        <v>138</v>
      </c>
      <c r="Z7" s="191" t="s">
        <v>146</v>
      </c>
      <c r="AA7" s="191" t="s">
        <v>161</v>
      </c>
      <c r="AB7" s="191" t="s">
        <v>173</v>
      </c>
      <c r="AC7" s="191" t="s">
        <v>179</v>
      </c>
      <c r="AD7" s="191" t="s">
        <v>189</v>
      </c>
      <c r="AE7" s="191" t="s">
        <v>205</v>
      </c>
      <c r="AF7" s="191" t="s">
        <v>235</v>
      </c>
      <c r="AG7" s="191" t="s">
        <v>251</v>
      </c>
      <c r="AH7" s="191" t="s">
        <v>269</v>
      </c>
      <c r="AI7" s="191" t="s">
        <v>279</v>
      </c>
      <c r="AJ7" s="191" t="s">
        <v>317</v>
      </c>
      <c r="AK7" s="191" t="s">
        <v>333</v>
      </c>
      <c r="AL7" s="191" t="s">
        <v>348</v>
      </c>
    </row>
    <row r="8" spans="2:38" x14ac:dyDescent="0.2">
      <c r="C8">
        <v>4</v>
      </c>
      <c r="D8" t="s">
        <v>36</v>
      </c>
      <c r="E8" s="53" t="str">
        <f t="shared" si="1"/>
        <v>4-Lower Passaic and Saddle</v>
      </c>
      <c r="F8">
        <v>4</v>
      </c>
      <c r="I8" s="55" t="str">
        <f t="shared" si="0"/>
        <v>1-4</v>
      </c>
      <c r="J8" s="55">
        <v>4</v>
      </c>
      <c r="K8" s="56">
        <v>1</v>
      </c>
      <c r="L8" s="55" t="s">
        <v>33</v>
      </c>
      <c r="M8" s="55" t="s">
        <v>62</v>
      </c>
      <c r="N8" s="55" t="s">
        <v>63</v>
      </c>
      <c r="S8" s="191" t="s">
        <v>62</v>
      </c>
      <c r="T8" s="191" t="s">
        <v>100</v>
      </c>
      <c r="U8" s="191" t="s">
        <v>111</v>
      </c>
      <c r="V8" s="193" t="str">
        <f>""</f>
        <v/>
      </c>
      <c r="W8" s="193" t="str">
        <f>""</f>
        <v/>
      </c>
      <c r="X8" s="191" t="s">
        <v>132</v>
      </c>
      <c r="Y8" s="191" t="s">
        <v>140</v>
      </c>
      <c r="Z8" s="191" t="s">
        <v>148</v>
      </c>
      <c r="AA8" s="191" t="s">
        <v>163</v>
      </c>
      <c r="AB8" s="193" t="str">
        <f>""</f>
        <v/>
      </c>
      <c r="AC8" s="191" t="s">
        <v>181</v>
      </c>
      <c r="AD8" s="191" t="s">
        <v>191</v>
      </c>
      <c r="AE8" s="191" t="s">
        <v>207</v>
      </c>
      <c r="AF8" s="191" t="s">
        <v>237</v>
      </c>
      <c r="AG8" s="191" t="s">
        <v>253</v>
      </c>
      <c r="AH8" s="191" t="s">
        <v>271</v>
      </c>
      <c r="AI8" s="191" t="s">
        <v>281</v>
      </c>
      <c r="AJ8" s="191" t="s">
        <v>319</v>
      </c>
      <c r="AK8" s="191" t="s">
        <v>335</v>
      </c>
      <c r="AL8" s="191" t="s">
        <v>350</v>
      </c>
    </row>
    <row r="9" spans="2:38" x14ac:dyDescent="0.2">
      <c r="C9">
        <v>5</v>
      </c>
      <c r="D9" t="s">
        <v>37</v>
      </c>
      <c r="E9" s="53" t="str">
        <f t="shared" si="1"/>
        <v>5-Hackensack, Hudson and Pascack</v>
      </c>
      <c r="F9">
        <v>5</v>
      </c>
      <c r="I9" s="55" t="str">
        <f t="shared" si="0"/>
        <v>1-5</v>
      </c>
      <c r="J9" s="55">
        <v>5</v>
      </c>
      <c r="K9" s="56">
        <v>1</v>
      </c>
      <c r="L9" s="55" t="s">
        <v>33</v>
      </c>
      <c r="M9" s="55" t="s">
        <v>64</v>
      </c>
      <c r="N9" s="55" t="s">
        <v>65</v>
      </c>
      <c r="S9" s="191" t="s">
        <v>64</v>
      </c>
      <c r="T9" s="191" t="s">
        <v>102</v>
      </c>
      <c r="U9" s="193" t="str">
        <f>""</f>
        <v/>
      </c>
      <c r="V9" s="193" t="str">
        <f>""</f>
        <v/>
      </c>
      <c r="W9" s="193" t="str">
        <f>""</f>
        <v/>
      </c>
      <c r="X9" s="193" t="str">
        <f>""</f>
        <v/>
      </c>
      <c r="Y9" s="193" t="str">
        <f>""</f>
        <v/>
      </c>
      <c r="Z9" s="191" t="s">
        <v>150</v>
      </c>
      <c r="AA9" s="191" t="s">
        <v>165</v>
      </c>
      <c r="AB9" s="193" t="str">
        <f>""</f>
        <v/>
      </c>
      <c r="AC9" s="191" t="s">
        <v>183</v>
      </c>
      <c r="AD9" s="191" t="s">
        <v>193</v>
      </c>
      <c r="AE9" s="191" t="s">
        <v>209</v>
      </c>
      <c r="AF9" s="191" t="s">
        <v>239</v>
      </c>
      <c r="AG9" s="191" t="s">
        <v>255</v>
      </c>
      <c r="AH9" s="191" t="s">
        <v>273</v>
      </c>
      <c r="AI9" s="191" t="s">
        <v>283</v>
      </c>
      <c r="AJ9" s="191" t="s">
        <v>321</v>
      </c>
      <c r="AK9" s="191" t="s">
        <v>337</v>
      </c>
      <c r="AL9" s="191" t="s">
        <v>352</v>
      </c>
    </row>
    <row r="10" spans="2:38" x14ac:dyDescent="0.2">
      <c r="C10">
        <v>6</v>
      </c>
      <c r="D10" t="s">
        <v>38</v>
      </c>
      <c r="E10" s="53" t="str">
        <f t="shared" si="1"/>
        <v>6-Upper and Mid Passaic, Whippany and Rockaway</v>
      </c>
      <c r="F10">
        <v>6</v>
      </c>
      <c r="I10" s="55" t="str">
        <f t="shared" si="0"/>
        <v>1-6</v>
      </c>
      <c r="J10" s="55">
        <v>6</v>
      </c>
      <c r="K10" s="56">
        <v>1</v>
      </c>
      <c r="L10" s="55" t="s">
        <v>33</v>
      </c>
      <c r="M10" s="55" t="s">
        <v>66</v>
      </c>
      <c r="N10" s="55" t="s">
        <v>67</v>
      </c>
      <c r="S10" s="191" t="s">
        <v>66</v>
      </c>
      <c r="T10" s="193" t="str">
        <f>""</f>
        <v/>
      </c>
      <c r="U10" s="193" t="str">
        <f>""</f>
        <v/>
      </c>
      <c r="V10" s="193" t="str">
        <f>""</f>
        <v/>
      </c>
      <c r="W10" s="193" t="str">
        <f>""</f>
        <v/>
      </c>
      <c r="X10" s="193" t="str">
        <f>""</f>
        <v/>
      </c>
      <c r="Y10" s="193" t="str">
        <f>""</f>
        <v/>
      </c>
      <c r="Z10" s="191" t="s">
        <v>152</v>
      </c>
      <c r="AA10" s="191" t="s">
        <v>167</v>
      </c>
      <c r="AB10" s="193" t="str">
        <f>""</f>
        <v/>
      </c>
      <c r="AC10" s="193" t="str">
        <f>""</f>
        <v/>
      </c>
      <c r="AD10" s="191" t="s">
        <v>195</v>
      </c>
      <c r="AE10" s="191" t="s">
        <v>211</v>
      </c>
      <c r="AF10" s="191" t="s">
        <v>241</v>
      </c>
      <c r="AG10" s="191" t="s">
        <v>257</v>
      </c>
      <c r="AH10" s="193" t="str">
        <f>""</f>
        <v/>
      </c>
      <c r="AI10" s="191" t="s">
        <v>285</v>
      </c>
      <c r="AJ10" s="191" t="s">
        <v>323</v>
      </c>
      <c r="AK10" s="191" t="s">
        <v>339</v>
      </c>
      <c r="AL10" s="191" t="s">
        <v>354</v>
      </c>
    </row>
    <row r="11" spans="2:38" x14ac:dyDescent="0.2">
      <c r="C11">
        <v>7</v>
      </c>
      <c r="D11" t="s">
        <v>39</v>
      </c>
      <c r="E11" s="53" t="str">
        <f t="shared" si="1"/>
        <v>7-Arthur Kill</v>
      </c>
      <c r="F11">
        <v>7</v>
      </c>
      <c r="I11" s="55" t="str">
        <f t="shared" si="0"/>
        <v>1-7</v>
      </c>
      <c r="J11" s="55">
        <v>7</v>
      </c>
      <c r="K11" s="56">
        <v>1</v>
      </c>
      <c r="L11" s="55" t="s">
        <v>33</v>
      </c>
      <c r="M11" s="55" t="s">
        <v>68</v>
      </c>
      <c r="N11" s="55" t="s">
        <v>69</v>
      </c>
      <c r="S11" s="191" t="s">
        <v>68</v>
      </c>
      <c r="T11" s="193" t="str">
        <f>""</f>
        <v/>
      </c>
      <c r="U11" s="193" t="str">
        <f>""</f>
        <v/>
      </c>
      <c r="V11" s="193" t="str">
        <f>""</f>
        <v/>
      </c>
      <c r="W11" s="193" t="str">
        <f>""</f>
        <v/>
      </c>
      <c r="X11" s="193" t="str">
        <f>""</f>
        <v/>
      </c>
      <c r="Y11" s="193" t="str">
        <f>""</f>
        <v/>
      </c>
      <c r="Z11" s="191" t="s">
        <v>154</v>
      </c>
      <c r="AA11" s="193" t="str">
        <f>""</f>
        <v/>
      </c>
      <c r="AB11" s="193" t="str">
        <f>""</f>
        <v/>
      </c>
      <c r="AC11" s="193" t="str">
        <f>""</f>
        <v/>
      </c>
      <c r="AD11" s="191" t="s">
        <v>197</v>
      </c>
      <c r="AE11" s="191" t="s">
        <v>213</v>
      </c>
      <c r="AF11" s="191" t="s">
        <v>243</v>
      </c>
      <c r="AG11" s="191" t="s">
        <v>259</v>
      </c>
      <c r="AH11" s="193" t="str">
        <f>""</f>
        <v/>
      </c>
      <c r="AI11" s="191" t="s">
        <v>287</v>
      </c>
      <c r="AJ11" s="191" t="s">
        <v>325</v>
      </c>
      <c r="AK11" s="191" t="s">
        <v>341</v>
      </c>
      <c r="AL11" s="191" t="s">
        <v>356</v>
      </c>
    </row>
    <row r="12" spans="2:38" x14ac:dyDescent="0.2">
      <c r="C12">
        <v>8</v>
      </c>
      <c r="D12" t="s">
        <v>40</v>
      </c>
      <c r="E12" s="53" t="str">
        <f t="shared" si="1"/>
        <v>8-North and South Branch Raritan</v>
      </c>
      <c r="F12">
        <v>8</v>
      </c>
      <c r="I12" s="55" t="str">
        <f t="shared" si="0"/>
        <v>1-8</v>
      </c>
      <c r="J12" s="55">
        <v>8</v>
      </c>
      <c r="K12" s="56">
        <v>1</v>
      </c>
      <c r="L12" s="55" t="s">
        <v>33</v>
      </c>
      <c r="M12" s="55" t="s">
        <v>70</v>
      </c>
      <c r="N12" s="55" t="s">
        <v>71</v>
      </c>
      <c r="S12" s="191" t="s">
        <v>70</v>
      </c>
      <c r="T12" s="193" t="str">
        <f>""</f>
        <v/>
      </c>
      <c r="U12" s="193" t="str">
        <f>""</f>
        <v/>
      </c>
      <c r="V12" s="193" t="str">
        <f>""</f>
        <v/>
      </c>
      <c r="W12" s="193" t="str">
        <f>""</f>
        <v/>
      </c>
      <c r="X12" s="193" t="str">
        <f>""</f>
        <v/>
      </c>
      <c r="Y12" s="193" t="str">
        <f>""</f>
        <v/>
      </c>
      <c r="Z12" s="193" t="str">
        <f>""</f>
        <v/>
      </c>
      <c r="AA12" s="193" t="str">
        <f>""</f>
        <v/>
      </c>
      <c r="AB12" s="193" t="str">
        <f>""</f>
        <v/>
      </c>
      <c r="AC12" s="193" t="str">
        <f>""</f>
        <v/>
      </c>
      <c r="AD12" s="191" t="s">
        <v>199</v>
      </c>
      <c r="AE12" s="191" t="s">
        <v>215</v>
      </c>
      <c r="AF12" s="191" t="s">
        <v>245</v>
      </c>
      <c r="AG12" s="191" t="s">
        <v>261</v>
      </c>
      <c r="AH12" s="193" t="str">
        <f>""</f>
        <v/>
      </c>
      <c r="AI12" s="191" t="s">
        <v>289</v>
      </c>
      <c r="AJ12" s="191" t="s">
        <v>327</v>
      </c>
      <c r="AK12" s="193" t="str">
        <f>""</f>
        <v/>
      </c>
      <c r="AL12" s="191" t="s">
        <v>358</v>
      </c>
    </row>
    <row r="13" spans="2:38" x14ac:dyDescent="0.2">
      <c r="C13">
        <v>9</v>
      </c>
      <c r="D13" t="s">
        <v>41</v>
      </c>
      <c r="E13" s="53" t="str">
        <f t="shared" si="1"/>
        <v>9-Lower Raritan, South and Lawrence</v>
      </c>
      <c r="F13">
        <v>9</v>
      </c>
      <c r="I13" s="55" t="str">
        <f t="shared" si="0"/>
        <v>1-9</v>
      </c>
      <c r="J13" s="55">
        <v>9</v>
      </c>
      <c r="K13" s="56">
        <v>1</v>
      </c>
      <c r="L13" s="55" t="s">
        <v>33</v>
      </c>
      <c r="M13" s="55" t="s">
        <v>72</v>
      </c>
      <c r="N13" s="55" t="s">
        <v>73</v>
      </c>
      <c r="S13" s="191" t="s">
        <v>72</v>
      </c>
      <c r="T13" s="193" t="str">
        <f>""</f>
        <v/>
      </c>
      <c r="U13" s="193" t="str">
        <f>""</f>
        <v/>
      </c>
      <c r="V13" s="193" t="str">
        <f>""</f>
        <v/>
      </c>
      <c r="W13" s="193" t="str">
        <f>""</f>
        <v/>
      </c>
      <c r="X13" s="193" t="str">
        <f>""</f>
        <v/>
      </c>
      <c r="Y13" s="193" t="str">
        <f>""</f>
        <v/>
      </c>
      <c r="Z13" s="193" t="str">
        <f>""</f>
        <v/>
      </c>
      <c r="AA13" s="193" t="str">
        <f>""</f>
        <v/>
      </c>
      <c r="AB13" s="193" t="str">
        <f>""</f>
        <v/>
      </c>
      <c r="AC13" s="193" t="str">
        <f>""</f>
        <v/>
      </c>
      <c r="AD13" s="193" t="str">
        <f>""</f>
        <v/>
      </c>
      <c r="AE13" s="191" t="s">
        <v>217</v>
      </c>
      <c r="AF13" s="193" t="str">
        <f>""</f>
        <v/>
      </c>
      <c r="AG13" s="191" t="s">
        <v>263</v>
      </c>
      <c r="AH13" s="193" t="str">
        <f>""</f>
        <v/>
      </c>
      <c r="AI13" s="191" t="s">
        <v>291</v>
      </c>
      <c r="AJ13" s="193" t="str">
        <f>""</f>
        <v/>
      </c>
      <c r="AK13" s="193" t="str">
        <f>""</f>
        <v/>
      </c>
      <c r="AL13" s="191" t="s">
        <v>360</v>
      </c>
    </row>
    <row r="14" spans="2:38" x14ac:dyDescent="0.2">
      <c r="C14">
        <v>10</v>
      </c>
      <c r="D14" t="s">
        <v>42</v>
      </c>
      <c r="E14" s="53" t="str">
        <f t="shared" si="1"/>
        <v>10-Millstone</v>
      </c>
      <c r="F14">
        <v>10</v>
      </c>
      <c r="I14" s="55" t="str">
        <f t="shared" si="0"/>
        <v>1-10</v>
      </c>
      <c r="J14" s="55">
        <v>10</v>
      </c>
      <c r="K14" s="56">
        <v>1</v>
      </c>
      <c r="L14" s="55" t="s">
        <v>33</v>
      </c>
      <c r="M14" s="55" t="s">
        <v>74</v>
      </c>
      <c r="N14" s="55" t="s">
        <v>75</v>
      </c>
      <c r="S14" s="191" t="s">
        <v>74</v>
      </c>
      <c r="T14" s="193" t="str">
        <f>""</f>
        <v/>
      </c>
      <c r="U14" s="193" t="str">
        <f>""</f>
        <v/>
      </c>
      <c r="V14" s="193" t="str">
        <f>""</f>
        <v/>
      </c>
      <c r="W14" s="193" t="str">
        <f>""</f>
        <v/>
      </c>
      <c r="X14" s="193" t="str">
        <f>""</f>
        <v/>
      </c>
      <c r="Y14" s="193" t="str">
        <f>""</f>
        <v/>
      </c>
      <c r="Z14" s="193" t="str">
        <f>""</f>
        <v/>
      </c>
      <c r="AA14" s="193" t="str">
        <f>""</f>
        <v/>
      </c>
      <c r="AB14" s="193" t="str">
        <f>""</f>
        <v/>
      </c>
      <c r="AC14" s="193" t="str">
        <f>""</f>
        <v/>
      </c>
      <c r="AD14" s="193" t="str">
        <f>""</f>
        <v/>
      </c>
      <c r="AE14" s="191" t="s">
        <v>219</v>
      </c>
      <c r="AF14" s="193" t="str">
        <f>""</f>
        <v/>
      </c>
      <c r="AG14" s="193" t="str">
        <f>""</f>
        <v/>
      </c>
      <c r="AH14" s="193" t="str">
        <f>""</f>
        <v/>
      </c>
      <c r="AI14" s="191" t="s">
        <v>293</v>
      </c>
      <c r="AJ14" s="193" t="str">
        <f>""</f>
        <v/>
      </c>
      <c r="AK14" s="193" t="str">
        <f>""</f>
        <v/>
      </c>
      <c r="AL14" s="193" t="str">
        <f>""</f>
        <v/>
      </c>
    </row>
    <row r="15" spans="2:38" x14ac:dyDescent="0.2">
      <c r="C15">
        <v>11</v>
      </c>
      <c r="D15" t="s">
        <v>43</v>
      </c>
      <c r="E15" s="53" t="str">
        <f t="shared" si="1"/>
        <v>11-Central Delaware</v>
      </c>
      <c r="F15">
        <v>11</v>
      </c>
      <c r="I15" s="55" t="str">
        <f t="shared" si="0"/>
        <v>1-11</v>
      </c>
      <c r="J15" s="55">
        <v>11</v>
      </c>
      <c r="K15" s="56">
        <v>1</v>
      </c>
      <c r="L15" s="55" t="s">
        <v>33</v>
      </c>
      <c r="M15" s="55" t="s">
        <v>76</v>
      </c>
      <c r="N15" s="55" t="s">
        <v>77</v>
      </c>
      <c r="S15" s="191" t="s">
        <v>76</v>
      </c>
      <c r="T15" s="193" t="str">
        <f>""</f>
        <v/>
      </c>
      <c r="U15" s="193" t="str">
        <f>""</f>
        <v/>
      </c>
      <c r="V15" s="193" t="str">
        <f>""</f>
        <v/>
      </c>
      <c r="W15" s="193" t="str">
        <f>""</f>
        <v/>
      </c>
      <c r="X15" s="193" t="str">
        <f>""</f>
        <v/>
      </c>
      <c r="Y15" s="193" t="str">
        <f>""</f>
        <v/>
      </c>
      <c r="Z15" s="193" t="str">
        <f>""</f>
        <v/>
      </c>
      <c r="AA15" s="193" t="str">
        <f>""</f>
        <v/>
      </c>
      <c r="AB15" s="193" t="str">
        <f>""</f>
        <v/>
      </c>
      <c r="AC15" s="193" t="str">
        <f>""</f>
        <v/>
      </c>
      <c r="AD15" s="193" t="str">
        <f>""</f>
        <v/>
      </c>
      <c r="AE15" s="191" t="s">
        <v>221</v>
      </c>
      <c r="AF15" s="193" t="str">
        <f>""</f>
        <v/>
      </c>
      <c r="AG15" s="193" t="str">
        <f>""</f>
        <v/>
      </c>
      <c r="AH15" s="193" t="str">
        <f>""</f>
        <v/>
      </c>
      <c r="AI15" s="191" t="s">
        <v>295</v>
      </c>
      <c r="AJ15" s="193" t="str">
        <f>""</f>
        <v/>
      </c>
      <c r="AK15" s="193" t="str">
        <f>""</f>
        <v/>
      </c>
      <c r="AL15" s="193" t="str">
        <f>""</f>
        <v/>
      </c>
    </row>
    <row r="16" spans="2:38" x14ac:dyDescent="0.2">
      <c r="C16">
        <v>12</v>
      </c>
      <c r="D16" t="s">
        <v>44</v>
      </c>
      <c r="E16" s="53" t="str">
        <f t="shared" si="1"/>
        <v>12-Monmouth</v>
      </c>
      <c r="F16">
        <v>12</v>
      </c>
      <c r="I16" s="55" t="str">
        <f t="shared" si="0"/>
        <v>1-12</v>
      </c>
      <c r="J16" s="55">
        <v>12</v>
      </c>
      <c r="K16" s="56">
        <v>1</v>
      </c>
      <c r="L16" s="55" t="s">
        <v>33</v>
      </c>
      <c r="M16" s="55" t="s">
        <v>78</v>
      </c>
      <c r="N16" s="55" t="s">
        <v>79</v>
      </c>
      <c r="S16" s="191" t="s">
        <v>78</v>
      </c>
      <c r="T16" s="193" t="str">
        <f>""</f>
        <v/>
      </c>
      <c r="U16" s="193" t="str">
        <f>""</f>
        <v/>
      </c>
      <c r="V16" s="193" t="str">
        <f>""</f>
        <v/>
      </c>
      <c r="W16" s="193" t="str">
        <f>""</f>
        <v/>
      </c>
      <c r="X16" s="193" t="str">
        <f>""</f>
        <v/>
      </c>
      <c r="Y16" s="193" t="str">
        <f>""</f>
        <v/>
      </c>
      <c r="Z16" s="193" t="str">
        <f>""</f>
        <v/>
      </c>
      <c r="AA16" s="193" t="str">
        <f>""</f>
        <v/>
      </c>
      <c r="AB16" s="193" t="str">
        <f>""</f>
        <v/>
      </c>
      <c r="AC16" s="193" t="str">
        <f>""</f>
        <v/>
      </c>
      <c r="AD16" s="193" t="str">
        <f>""</f>
        <v/>
      </c>
      <c r="AE16" s="191" t="s">
        <v>223</v>
      </c>
      <c r="AF16" s="193" t="str">
        <f>""</f>
        <v/>
      </c>
      <c r="AG16" s="193" t="str">
        <f>""</f>
        <v/>
      </c>
      <c r="AH16" s="193" t="str">
        <f>""</f>
        <v/>
      </c>
      <c r="AI16" s="191" t="s">
        <v>297</v>
      </c>
      <c r="AJ16" s="193" t="str">
        <f>""</f>
        <v/>
      </c>
      <c r="AK16" s="193" t="str">
        <f>""</f>
        <v/>
      </c>
      <c r="AL16" s="193" t="str">
        <f>""</f>
        <v/>
      </c>
    </row>
    <row r="17" spans="2:38" x14ac:dyDescent="0.2">
      <c r="C17">
        <v>13</v>
      </c>
      <c r="D17" t="s">
        <v>45</v>
      </c>
      <c r="E17" s="53" t="str">
        <f t="shared" si="1"/>
        <v>13-Barnegat Bay</v>
      </c>
      <c r="F17">
        <v>13</v>
      </c>
      <c r="I17" s="55" t="str">
        <f t="shared" si="0"/>
        <v>1-13</v>
      </c>
      <c r="J17" s="55">
        <v>13</v>
      </c>
      <c r="K17" s="56">
        <v>1</v>
      </c>
      <c r="L17" s="55" t="s">
        <v>33</v>
      </c>
      <c r="M17" s="55" t="s">
        <v>80</v>
      </c>
      <c r="N17" s="55" t="s">
        <v>81</v>
      </c>
      <c r="S17" s="191" t="s">
        <v>80</v>
      </c>
      <c r="T17" s="193" t="str">
        <f>""</f>
        <v/>
      </c>
      <c r="U17" s="193" t="str">
        <f>""</f>
        <v/>
      </c>
      <c r="V17" s="193" t="str">
        <f>""</f>
        <v/>
      </c>
      <c r="W17" s="193" t="str">
        <f>""</f>
        <v/>
      </c>
      <c r="X17" s="193" t="str">
        <f>""</f>
        <v/>
      </c>
      <c r="Y17" s="193" t="str">
        <f>""</f>
        <v/>
      </c>
      <c r="Z17" s="193" t="str">
        <f>""</f>
        <v/>
      </c>
      <c r="AA17" s="193" t="str">
        <f>""</f>
        <v/>
      </c>
      <c r="AB17" s="193" t="str">
        <f>""</f>
        <v/>
      </c>
      <c r="AC17" s="193" t="str">
        <f>""</f>
        <v/>
      </c>
      <c r="AD17" s="193" t="str">
        <f>""</f>
        <v/>
      </c>
      <c r="AE17" s="191" t="s">
        <v>225</v>
      </c>
      <c r="AF17" s="193" t="str">
        <f>""</f>
        <v/>
      </c>
      <c r="AG17" s="193" t="str">
        <f>""</f>
        <v/>
      </c>
      <c r="AH17" s="193" t="str">
        <f>""</f>
        <v/>
      </c>
      <c r="AI17" s="191" t="s">
        <v>299</v>
      </c>
      <c r="AJ17" s="193" t="str">
        <f>""</f>
        <v/>
      </c>
      <c r="AK17" s="193" t="str">
        <f>""</f>
        <v/>
      </c>
      <c r="AL17" s="193" t="str">
        <f>""</f>
        <v/>
      </c>
    </row>
    <row r="18" spans="2:38" x14ac:dyDescent="0.2">
      <c r="C18">
        <v>14</v>
      </c>
      <c r="D18" t="s">
        <v>46</v>
      </c>
      <c r="E18" s="53" t="str">
        <f t="shared" si="1"/>
        <v>14-Mullica</v>
      </c>
      <c r="F18">
        <v>14</v>
      </c>
      <c r="I18" s="55" t="str">
        <f t="shared" si="0"/>
        <v>1-14</v>
      </c>
      <c r="J18" s="55">
        <v>14</v>
      </c>
      <c r="K18" s="56">
        <v>1</v>
      </c>
      <c r="L18" s="55" t="s">
        <v>33</v>
      </c>
      <c r="M18" s="55" t="s">
        <v>82</v>
      </c>
      <c r="N18" s="55" t="s">
        <v>83</v>
      </c>
      <c r="S18" s="191" t="s">
        <v>82</v>
      </c>
      <c r="T18" s="193" t="str">
        <f>""</f>
        <v/>
      </c>
      <c r="U18" s="193" t="str">
        <f>""</f>
        <v/>
      </c>
      <c r="V18" s="193" t="str">
        <f>""</f>
        <v/>
      </c>
      <c r="W18" s="193" t="str">
        <f>""</f>
        <v/>
      </c>
      <c r="X18" s="193" t="str">
        <f>""</f>
        <v/>
      </c>
      <c r="Y18" s="193" t="str">
        <f>""</f>
        <v/>
      </c>
      <c r="Z18" s="193" t="str">
        <f>""</f>
        <v/>
      </c>
      <c r="AA18" s="193" t="str">
        <f>""</f>
        <v/>
      </c>
      <c r="AB18" s="193" t="str">
        <f>""</f>
        <v/>
      </c>
      <c r="AC18" s="193" t="str">
        <f>""</f>
        <v/>
      </c>
      <c r="AD18" s="193" t="str">
        <f>""</f>
        <v/>
      </c>
      <c r="AE18" s="191" t="s">
        <v>227</v>
      </c>
      <c r="AF18" s="193" t="str">
        <f>""</f>
        <v/>
      </c>
      <c r="AG18" s="193" t="str">
        <f>""</f>
        <v/>
      </c>
      <c r="AH18" s="193" t="str">
        <f>""</f>
        <v/>
      </c>
      <c r="AI18" s="191" t="s">
        <v>301</v>
      </c>
      <c r="AJ18" s="193" t="str">
        <f>""</f>
        <v/>
      </c>
      <c r="AK18" s="193" t="str">
        <f>""</f>
        <v/>
      </c>
      <c r="AL18" s="193" t="str">
        <f>""</f>
        <v/>
      </c>
    </row>
    <row r="19" spans="2:38" x14ac:dyDescent="0.2">
      <c r="C19">
        <v>15</v>
      </c>
      <c r="D19" t="s">
        <v>47</v>
      </c>
      <c r="E19" s="53" t="str">
        <f t="shared" si="1"/>
        <v>15-Great Egg Harbor</v>
      </c>
      <c r="F19">
        <v>15</v>
      </c>
      <c r="I19" s="55" t="str">
        <f t="shared" si="0"/>
        <v>1-15</v>
      </c>
      <c r="J19" s="55">
        <v>15</v>
      </c>
      <c r="K19" s="56">
        <v>1</v>
      </c>
      <c r="L19" s="55" t="s">
        <v>33</v>
      </c>
      <c r="M19" s="55" t="s">
        <v>84</v>
      </c>
      <c r="N19" s="55" t="s">
        <v>85</v>
      </c>
      <c r="S19" s="191" t="s">
        <v>84</v>
      </c>
      <c r="T19" s="193" t="str">
        <f>""</f>
        <v/>
      </c>
      <c r="U19" s="193" t="str">
        <f>""</f>
        <v/>
      </c>
      <c r="V19" s="193" t="str">
        <f>""</f>
        <v/>
      </c>
      <c r="W19" s="193" t="str">
        <f>""</f>
        <v/>
      </c>
      <c r="X19" s="193" t="str">
        <f>""</f>
        <v/>
      </c>
      <c r="Y19" s="193" t="str">
        <f>""</f>
        <v/>
      </c>
      <c r="Z19" s="193" t="str">
        <f>""</f>
        <v/>
      </c>
      <c r="AA19" s="193" t="str">
        <f>""</f>
        <v/>
      </c>
      <c r="AB19" s="193" t="str">
        <f>""</f>
        <v/>
      </c>
      <c r="AC19" s="193" t="str">
        <f>""</f>
        <v/>
      </c>
      <c r="AD19" s="193" t="str">
        <f>""</f>
        <v/>
      </c>
      <c r="AE19" s="191" t="s">
        <v>229</v>
      </c>
      <c r="AF19" s="193" t="str">
        <f>""</f>
        <v/>
      </c>
      <c r="AG19" s="193" t="str">
        <f>""</f>
        <v/>
      </c>
      <c r="AH19" s="193" t="str">
        <f>""</f>
        <v/>
      </c>
      <c r="AI19" s="191" t="s">
        <v>303</v>
      </c>
      <c r="AJ19" s="193" t="str">
        <f>""</f>
        <v/>
      </c>
      <c r="AK19" s="193" t="str">
        <f>""</f>
        <v/>
      </c>
      <c r="AL19" s="193" t="str">
        <f>""</f>
        <v/>
      </c>
    </row>
    <row r="20" spans="2:38" x14ac:dyDescent="0.2">
      <c r="C20">
        <v>16</v>
      </c>
      <c r="D20" t="s">
        <v>48</v>
      </c>
      <c r="E20" s="53" t="str">
        <f t="shared" si="1"/>
        <v>16-Cape May</v>
      </c>
      <c r="F20">
        <v>16</v>
      </c>
      <c r="I20" s="55" t="str">
        <f t="shared" si="0"/>
        <v>1-16</v>
      </c>
      <c r="J20" s="55">
        <v>16</v>
      </c>
      <c r="K20" s="56">
        <v>1</v>
      </c>
      <c r="L20" s="55" t="s">
        <v>33</v>
      </c>
      <c r="M20" s="55" t="s">
        <v>86</v>
      </c>
      <c r="N20" s="55" t="s">
        <v>87</v>
      </c>
      <c r="S20" s="191" t="s">
        <v>86</v>
      </c>
      <c r="T20" s="193" t="str">
        <f>""</f>
        <v/>
      </c>
      <c r="U20" s="193" t="str">
        <f>""</f>
        <v/>
      </c>
      <c r="V20" s="193" t="str">
        <f>""</f>
        <v/>
      </c>
      <c r="W20" s="193" t="str">
        <f>""</f>
        <v/>
      </c>
      <c r="X20" s="193" t="str">
        <f>""</f>
        <v/>
      </c>
      <c r="Y20" s="193" t="str">
        <f>""</f>
        <v/>
      </c>
      <c r="Z20" s="193" t="str">
        <f>""</f>
        <v/>
      </c>
      <c r="AA20" s="193" t="str">
        <f>""</f>
        <v/>
      </c>
      <c r="AB20" s="193" t="str">
        <f>""</f>
        <v/>
      </c>
      <c r="AC20" s="193" t="str">
        <f>""</f>
        <v/>
      </c>
      <c r="AD20" s="193" t="str">
        <f>""</f>
        <v/>
      </c>
      <c r="AE20" s="193" t="str">
        <f>""</f>
        <v/>
      </c>
      <c r="AF20" s="193" t="str">
        <f>""</f>
        <v/>
      </c>
      <c r="AG20" s="193" t="str">
        <f>""</f>
        <v/>
      </c>
      <c r="AH20" s="193" t="str">
        <f>""</f>
        <v/>
      </c>
      <c r="AI20" s="191" t="s">
        <v>305</v>
      </c>
      <c r="AJ20" s="193" t="str">
        <f>""</f>
        <v/>
      </c>
      <c r="AK20" s="193" t="str">
        <f>""</f>
        <v/>
      </c>
      <c r="AL20" s="193" t="str">
        <f>""</f>
        <v/>
      </c>
    </row>
    <row r="21" spans="2:38" x14ac:dyDescent="0.2">
      <c r="C21">
        <v>17</v>
      </c>
      <c r="D21" t="s">
        <v>49</v>
      </c>
      <c r="E21" s="53" t="str">
        <f t="shared" si="1"/>
        <v>17-Maurice, Salem and Cohansey</v>
      </c>
      <c r="F21">
        <v>17</v>
      </c>
      <c r="I21" s="55" t="str">
        <f t="shared" si="0"/>
        <v>1-17</v>
      </c>
      <c r="J21" s="55">
        <v>17</v>
      </c>
      <c r="K21" s="56">
        <v>1</v>
      </c>
      <c r="L21" s="55" t="s">
        <v>33</v>
      </c>
      <c r="M21" s="55" t="s">
        <v>88</v>
      </c>
      <c r="N21" s="55" t="s">
        <v>89</v>
      </c>
      <c r="S21" s="191" t="s">
        <v>88</v>
      </c>
      <c r="T21" s="193" t="str">
        <f>""</f>
        <v/>
      </c>
      <c r="U21" s="193" t="str">
        <f>""</f>
        <v/>
      </c>
      <c r="V21" s="193" t="str">
        <f>""</f>
        <v/>
      </c>
      <c r="W21" s="193" t="str">
        <f>""</f>
        <v/>
      </c>
      <c r="X21" s="193" t="str">
        <f>""</f>
        <v/>
      </c>
      <c r="Y21" s="193" t="str">
        <f>""</f>
        <v/>
      </c>
      <c r="Z21" s="193" t="str">
        <f>""</f>
        <v/>
      </c>
      <c r="AA21" s="193" t="str">
        <f>""</f>
        <v/>
      </c>
      <c r="AB21" s="193" t="str">
        <f>""</f>
        <v/>
      </c>
      <c r="AC21" s="193" t="str">
        <f>""</f>
        <v/>
      </c>
      <c r="AD21" s="193" t="str">
        <f>""</f>
        <v/>
      </c>
      <c r="AE21" s="193" t="str">
        <f>""</f>
        <v/>
      </c>
      <c r="AF21" s="193" t="str">
        <f>""</f>
        <v/>
      </c>
      <c r="AG21" s="193" t="str">
        <f>""</f>
        <v/>
      </c>
      <c r="AH21" s="193" t="str">
        <f>""</f>
        <v/>
      </c>
      <c r="AI21" s="191" t="s">
        <v>307</v>
      </c>
      <c r="AJ21" s="193" t="str">
        <f>""</f>
        <v/>
      </c>
      <c r="AK21" s="193" t="str">
        <f>""</f>
        <v/>
      </c>
      <c r="AL21" s="193" t="str">
        <f>""</f>
        <v/>
      </c>
    </row>
    <row r="22" spans="2:38" x14ac:dyDescent="0.2">
      <c r="C22">
        <v>18</v>
      </c>
      <c r="D22" t="s">
        <v>50</v>
      </c>
      <c r="E22" s="53" t="str">
        <f t="shared" si="1"/>
        <v>18-Lower Delaware</v>
      </c>
      <c r="F22">
        <v>18</v>
      </c>
      <c r="I22" s="55" t="str">
        <f t="shared" si="0"/>
        <v>1-18</v>
      </c>
      <c r="J22" s="55">
        <v>18</v>
      </c>
      <c r="K22" s="56">
        <v>1</v>
      </c>
      <c r="L22" s="55" t="s">
        <v>33</v>
      </c>
      <c r="M22" s="55" t="s">
        <v>90</v>
      </c>
      <c r="N22" s="55" t="s">
        <v>91</v>
      </c>
      <c r="S22" s="191" t="s">
        <v>90</v>
      </c>
      <c r="T22" s="193" t="str">
        <f>""</f>
        <v/>
      </c>
      <c r="U22" s="193" t="str">
        <f>""</f>
        <v/>
      </c>
      <c r="V22" s="193" t="str">
        <f>""</f>
        <v/>
      </c>
      <c r="W22" s="193" t="str">
        <f>""</f>
        <v/>
      </c>
      <c r="X22" s="193" t="str">
        <f>""</f>
        <v/>
      </c>
      <c r="Y22" s="193" t="str">
        <f>""</f>
        <v/>
      </c>
      <c r="Z22" s="193" t="str">
        <f>""</f>
        <v/>
      </c>
      <c r="AA22" s="193" t="str">
        <f>""</f>
        <v/>
      </c>
      <c r="AB22" s="193" t="str">
        <f>""</f>
        <v/>
      </c>
      <c r="AC22" s="193" t="str">
        <f>""</f>
        <v/>
      </c>
      <c r="AD22" s="193" t="str">
        <f>""</f>
        <v/>
      </c>
      <c r="AE22" s="193" t="str">
        <f>""</f>
        <v/>
      </c>
      <c r="AF22" s="193" t="str">
        <f>""</f>
        <v/>
      </c>
      <c r="AG22" s="193" t="str">
        <f>""</f>
        <v/>
      </c>
      <c r="AH22" s="193" t="str">
        <f>""</f>
        <v/>
      </c>
      <c r="AI22" s="191" t="s">
        <v>309</v>
      </c>
      <c r="AJ22" s="193" t="str">
        <f>""</f>
        <v/>
      </c>
      <c r="AK22" s="193" t="str">
        <f>""</f>
        <v/>
      </c>
      <c r="AL22" s="193" t="str">
        <f>""</f>
        <v/>
      </c>
    </row>
    <row r="23" spans="2:38" x14ac:dyDescent="0.2">
      <c r="C23">
        <v>19</v>
      </c>
      <c r="D23" t="s">
        <v>51</v>
      </c>
      <c r="E23" s="53" t="str">
        <f t="shared" si="1"/>
        <v>19-Rancocas</v>
      </c>
      <c r="F23">
        <v>19</v>
      </c>
      <c r="I23" s="55" t="str">
        <f t="shared" si="0"/>
        <v>1-19</v>
      </c>
      <c r="J23" s="55">
        <v>19</v>
      </c>
      <c r="K23" s="56">
        <v>1</v>
      </c>
      <c r="L23" s="55" t="s">
        <v>33</v>
      </c>
      <c r="M23" s="55" t="s">
        <v>92</v>
      </c>
      <c r="N23" s="55" t="s">
        <v>93</v>
      </c>
      <c r="S23" s="191" t="s">
        <v>92</v>
      </c>
      <c r="T23" s="193" t="str">
        <f>""</f>
        <v/>
      </c>
      <c r="U23" s="193" t="str">
        <f>""</f>
        <v/>
      </c>
      <c r="V23" s="193" t="str">
        <f>""</f>
        <v/>
      </c>
      <c r="W23" s="193" t="str">
        <f>""</f>
        <v/>
      </c>
      <c r="X23" s="193" t="str">
        <f>""</f>
        <v/>
      </c>
      <c r="Y23" s="193" t="str">
        <f>""</f>
        <v/>
      </c>
      <c r="Z23" s="193" t="str">
        <f>""</f>
        <v/>
      </c>
      <c r="AA23" s="193" t="str">
        <f>""</f>
        <v/>
      </c>
      <c r="AB23" s="193" t="str">
        <f>""</f>
        <v/>
      </c>
      <c r="AC23" s="193" t="str">
        <f>""</f>
        <v/>
      </c>
      <c r="AD23" s="193" t="str">
        <f>""</f>
        <v/>
      </c>
      <c r="AE23" s="193" t="str">
        <f>""</f>
        <v/>
      </c>
      <c r="AF23" s="193" t="str">
        <f>""</f>
        <v/>
      </c>
      <c r="AG23" s="193" t="str">
        <f>""</f>
        <v/>
      </c>
      <c r="AH23" s="193" t="str">
        <f>""</f>
        <v/>
      </c>
      <c r="AI23" s="191" t="s">
        <v>311</v>
      </c>
      <c r="AJ23" s="193" t="str">
        <f>""</f>
        <v/>
      </c>
      <c r="AK23" s="193" t="str">
        <f>""</f>
        <v/>
      </c>
      <c r="AL23" s="193" t="str">
        <f>""</f>
        <v/>
      </c>
    </row>
    <row r="24" spans="2:38" x14ac:dyDescent="0.2">
      <c r="C24">
        <v>20</v>
      </c>
      <c r="D24" t="s">
        <v>52</v>
      </c>
      <c r="E24" s="53" t="str">
        <f t="shared" si="1"/>
        <v>20-Assiscunk, Crosswicks and Doctors</v>
      </c>
      <c r="F24">
        <v>20</v>
      </c>
      <c r="I24" s="55" t="str">
        <f t="shared" si="0"/>
        <v>2-1</v>
      </c>
      <c r="J24" s="55">
        <v>1</v>
      </c>
      <c r="K24" s="56">
        <v>2</v>
      </c>
      <c r="L24" s="55" t="s">
        <v>34</v>
      </c>
      <c r="M24" s="55" t="s">
        <v>94</v>
      </c>
      <c r="N24" s="55" t="s">
        <v>95</v>
      </c>
      <c r="S24" s="192"/>
      <c r="T24" s="192"/>
      <c r="U24" s="192"/>
      <c r="V24" s="192"/>
      <c r="W24" s="192"/>
      <c r="X24" s="192"/>
      <c r="Y24" s="192"/>
      <c r="Z24" s="192"/>
      <c r="AA24" s="192"/>
      <c r="AB24" s="192"/>
      <c r="AC24" s="192"/>
      <c r="AD24" s="192"/>
      <c r="AE24" s="192"/>
      <c r="AF24" s="192"/>
      <c r="AG24" s="192"/>
      <c r="AH24" s="192"/>
      <c r="AI24" s="192"/>
      <c r="AJ24" s="192"/>
      <c r="AK24" s="192"/>
      <c r="AL24" s="192"/>
    </row>
    <row r="25" spans="2:38" x14ac:dyDescent="0.2">
      <c r="I25" s="55" t="str">
        <f t="shared" si="0"/>
        <v>2-2</v>
      </c>
      <c r="J25" s="55">
        <v>2</v>
      </c>
      <c r="K25" s="56">
        <v>2</v>
      </c>
      <c r="L25" s="55" t="s">
        <v>34</v>
      </c>
      <c r="M25" s="55" t="s">
        <v>96</v>
      </c>
      <c r="N25" s="55" t="s">
        <v>97</v>
      </c>
    </row>
    <row r="26" spans="2:38" x14ac:dyDescent="0.2">
      <c r="B26" s="187"/>
      <c r="I26" s="55" t="str">
        <f t="shared" si="0"/>
        <v>2-3</v>
      </c>
      <c r="J26" s="55">
        <v>3</v>
      </c>
      <c r="K26" s="56">
        <v>2</v>
      </c>
      <c r="L26" s="55" t="s">
        <v>34</v>
      </c>
      <c r="M26" s="55" t="s">
        <v>98</v>
      </c>
      <c r="N26" s="55" t="s">
        <v>99</v>
      </c>
    </row>
    <row r="27" spans="2:38" x14ac:dyDescent="0.2">
      <c r="I27" s="55" t="str">
        <f t="shared" si="0"/>
        <v>2-4</v>
      </c>
      <c r="J27" s="55">
        <v>4</v>
      </c>
      <c r="K27" s="56">
        <v>2</v>
      </c>
      <c r="L27" s="55" t="s">
        <v>34</v>
      </c>
      <c r="M27" s="55" t="s">
        <v>100</v>
      </c>
      <c r="N27" s="55" t="s">
        <v>101</v>
      </c>
    </row>
    <row r="28" spans="2:38" x14ac:dyDescent="0.2">
      <c r="I28" s="55" t="str">
        <f t="shared" si="0"/>
        <v>2-5</v>
      </c>
      <c r="J28" s="55">
        <v>5</v>
      </c>
      <c r="K28" s="56">
        <v>2</v>
      </c>
      <c r="L28" s="55" t="s">
        <v>34</v>
      </c>
      <c r="M28" s="55" t="s">
        <v>102</v>
      </c>
      <c r="N28" s="55" t="s">
        <v>103</v>
      </c>
    </row>
    <row r="29" spans="2:38" x14ac:dyDescent="0.2">
      <c r="I29" s="55" t="str">
        <f t="shared" si="0"/>
        <v>3-1</v>
      </c>
      <c r="J29" s="55">
        <v>1</v>
      </c>
      <c r="K29" s="56">
        <v>3</v>
      </c>
      <c r="L29" s="55" t="s">
        <v>104</v>
      </c>
      <c r="M29" s="55" t="s">
        <v>105</v>
      </c>
      <c r="N29" s="55" t="s">
        <v>106</v>
      </c>
    </row>
    <row r="30" spans="2:38" x14ac:dyDescent="0.2">
      <c r="I30" s="55" t="str">
        <f t="shared" si="0"/>
        <v>3-2</v>
      </c>
      <c r="J30" s="55">
        <v>2</v>
      </c>
      <c r="K30" s="56">
        <v>3</v>
      </c>
      <c r="L30" s="55" t="s">
        <v>104</v>
      </c>
      <c r="M30" s="55" t="s">
        <v>107</v>
      </c>
      <c r="N30" s="55" t="s">
        <v>108</v>
      </c>
    </row>
    <row r="31" spans="2:38" x14ac:dyDescent="0.2">
      <c r="I31" s="55" t="str">
        <f t="shared" si="0"/>
        <v>3-3</v>
      </c>
      <c r="J31" s="55">
        <v>3</v>
      </c>
      <c r="K31" s="56">
        <v>3</v>
      </c>
      <c r="L31" s="55" t="s">
        <v>104</v>
      </c>
      <c r="M31" s="55" t="s">
        <v>109</v>
      </c>
      <c r="N31" s="55" t="s">
        <v>110</v>
      </c>
    </row>
    <row r="32" spans="2:38" x14ac:dyDescent="0.2">
      <c r="D32" s="155" t="s">
        <v>556</v>
      </c>
      <c r="I32" s="55" t="str">
        <f t="shared" si="0"/>
        <v>3-4</v>
      </c>
      <c r="J32" s="55">
        <v>4</v>
      </c>
      <c r="K32" s="56">
        <v>3</v>
      </c>
      <c r="L32" s="55" t="s">
        <v>104</v>
      </c>
      <c r="M32" s="55" t="s">
        <v>111</v>
      </c>
      <c r="N32" s="55" t="s">
        <v>112</v>
      </c>
    </row>
    <row r="33" spans="2:14" x14ac:dyDescent="0.2">
      <c r="I33" s="55" t="str">
        <f t="shared" si="0"/>
        <v>4-1</v>
      </c>
      <c r="J33" s="55">
        <v>1</v>
      </c>
      <c r="K33" s="56">
        <v>4</v>
      </c>
      <c r="L33" s="55" t="s">
        <v>36</v>
      </c>
      <c r="M33" s="55" t="s">
        <v>113</v>
      </c>
      <c r="N33" s="55" t="s">
        <v>114</v>
      </c>
    </row>
    <row r="34" spans="2:14" x14ac:dyDescent="0.2">
      <c r="I34" s="55" t="str">
        <f t="shared" si="0"/>
        <v>4-2</v>
      </c>
      <c r="J34" s="55">
        <v>2</v>
      </c>
      <c r="K34" s="56">
        <v>4</v>
      </c>
      <c r="L34" s="55" t="s">
        <v>36</v>
      </c>
      <c r="M34" s="55" t="s">
        <v>115</v>
      </c>
      <c r="N34" s="55" t="s">
        <v>116</v>
      </c>
    </row>
    <row r="35" spans="2:14" x14ac:dyDescent="0.2">
      <c r="I35" s="55" t="str">
        <f t="shared" si="0"/>
        <v>4-3</v>
      </c>
      <c r="J35" s="55">
        <v>3</v>
      </c>
      <c r="K35" s="56">
        <v>4</v>
      </c>
      <c r="L35" s="55" t="s">
        <v>36</v>
      </c>
      <c r="M35" s="55" t="s">
        <v>117</v>
      </c>
      <c r="N35" s="55" t="s">
        <v>118</v>
      </c>
    </row>
    <row r="36" spans="2:14" x14ac:dyDescent="0.2">
      <c r="I36" s="55" t="str">
        <f t="shared" si="0"/>
        <v>5-1</v>
      </c>
      <c r="J36" s="55">
        <v>1</v>
      </c>
      <c r="K36" s="56">
        <v>5</v>
      </c>
      <c r="L36" s="55" t="s">
        <v>37</v>
      </c>
      <c r="M36" s="55" t="s">
        <v>119</v>
      </c>
      <c r="N36" s="55" t="s">
        <v>120</v>
      </c>
    </row>
    <row r="37" spans="2:14" x14ac:dyDescent="0.2">
      <c r="I37" s="55" t="str">
        <f t="shared" si="0"/>
        <v>5-2</v>
      </c>
      <c r="J37" s="55">
        <v>2</v>
      </c>
      <c r="K37" s="56">
        <v>5</v>
      </c>
      <c r="L37" s="55" t="s">
        <v>37</v>
      </c>
      <c r="M37" s="55" t="s">
        <v>121</v>
      </c>
      <c r="N37" s="55" t="s">
        <v>122</v>
      </c>
    </row>
    <row r="38" spans="2:14" x14ac:dyDescent="0.2">
      <c r="B38" t="s">
        <v>363</v>
      </c>
      <c r="C38" t="s">
        <v>362</v>
      </c>
      <c r="I38" s="55" t="str">
        <f t="shared" si="0"/>
        <v>5-3</v>
      </c>
      <c r="J38" s="55">
        <v>3</v>
      </c>
      <c r="K38" s="56">
        <v>5</v>
      </c>
      <c r="L38" s="55" t="s">
        <v>37</v>
      </c>
      <c r="M38" s="55" t="s">
        <v>123</v>
      </c>
      <c r="N38" s="55" t="s">
        <v>124</v>
      </c>
    </row>
    <row r="39" spans="2:14" x14ac:dyDescent="0.2">
      <c r="B39">
        <v>1998</v>
      </c>
      <c r="C39">
        <v>2007</v>
      </c>
      <c r="I39" s="55" t="str">
        <f t="shared" si="0"/>
        <v>6-1</v>
      </c>
      <c r="J39" s="55">
        <v>1</v>
      </c>
      <c r="K39" s="56">
        <v>6</v>
      </c>
      <c r="L39" s="55" t="s">
        <v>125</v>
      </c>
      <c r="M39" s="55" t="s">
        <v>126</v>
      </c>
      <c r="N39" s="55" t="s">
        <v>127</v>
      </c>
    </row>
    <row r="40" spans="2:14" x14ac:dyDescent="0.2">
      <c r="I40" s="55" t="str">
        <f t="shared" si="0"/>
        <v>6-2</v>
      </c>
      <c r="J40" s="55">
        <v>2</v>
      </c>
      <c r="K40" s="56">
        <v>6</v>
      </c>
      <c r="L40" s="55" t="s">
        <v>125</v>
      </c>
      <c r="M40" s="55" t="s">
        <v>128</v>
      </c>
      <c r="N40" s="55" t="s">
        <v>129</v>
      </c>
    </row>
    <row r="41" spans="2:14" x14ac:dyDescent="0.2">
      <c r="I41" s="55" t="str">
        <f t="shared" si="0"/>
        <v>6-3</v>
      </c>
      <c r="J41" s="55">
        <v>3</v>
      </c>
      <c r="K41" s="56">
        <v>6</v>
      </c>
      <c r="L41" s="55" t="s">
        <v>125</v>
      </c>
      <c r="M41" s="55" t="s">
        <v>130</v>
      </c>
      <c r="N41" s="55" t="s">
        <v>131</v>
      </c>
    </row>
    <row r="42" spans="2:14" x14ac:dyDescent="0.2">
      <c r="I42" s="55" t="str">
        <f t="shared" si="0"/>
        <v>6-4</v>
      </c>
      <c r="J42" s="55">
        <v>4</v>
      </c>
      <c r="K42" s="56">
        <v>6</v>
      </c>
      <c r="L42" s="55" t="s">
        <v>125</v>
      </c>
      <c r="M42" s="55" t="s">
        <v>132</v>
      </c>
      <c r="N42" s="55" t="s">
        <v>133</v>
      </c>
    </row>
    <row r="43" spans="2:14" x14ac:dyDescent="0.2">
      <c r="I43" s="55" t="str">
        <f t="shared" si="0"/>
        <v>7-1</v>
      </c>
      <c r="J43" s="55">
        <v>1</v>
      </c>
      <c r="K43" s="56">
        <v>7</v>
      </c>
      <c r="L43" s="55" t="s">
        <v>39</v>
      </c>
      <c r="M43" s="55" t="s">
        <v>134</v>
      </c>
      <c r="N43" s="55" t="s">
        <v>135</v>
      </c>
    </row>
    <row r="44" spans="2:14" x14ac:dyDescent="0.2">
      <c r="I44" s="55" t="str">
        <f t="shared" si="0"/>
        <v>7-2</v>
      </c>
      <c r="J44" s="55">
        <v>2</v>
      </c>
      <c r="K44" s="56">
        <v>7</v>
      </c>
      <c r="L44" s="55" t="s">
        <v>39</v>
      </c>
      <c r="M44" s="55" t="s">
        <v>136</v>
      </c>
      <c r="N44" s="55" t="s">
        <v>137</v>
      </c>
    </row>
    <row r="45" spans="2:14" x14ac:dyDescent="0.2">
      <c r="I45" s="55" t="str">
        <f t="shared" si="0"/>
        <v>7-3</v>
      </c>
      <c r="J45" s="55">
        <v>3</v>
      </c>
      <c r="K45" s="56">
        <v>7</v>
      </c>
      <c r="L45" s="55" t="s">
        <v>39</v>
      </c>
      <c r="M45" s="55" t="s">
        <v>138</v>
      </c>
      <c r="N45" s="55" t="s">
        <v>139</v>
      </c>
    </row>
    <row r="46" spans="2:14" x14ac:dyDescent="0.2">
      <c r="I46" s="55" t="str">
        <f t="shared" si="0"/>
        <v>7-4</v>
      </c>
      <c r="J46" s="55">
        <v>4</v>
      </c>
      <c r="K46" s="56">
        <v>7</v>
      </c>
      <c r="L46" s="55" t="s">
        <v>39</v>
      </c>
      <c r="M46" s="55" t="s">
        <v>140</v>
      </c>
      <c r="N46" s="55" t="s">
        <v>141</v>
      </c>
    </row>
    <row r="47" spans="2:14" x14ac:dyDescent="0.2">
      <c r="I47" s="55" t="str">
        <f t="shared" si="0"/>
        <v>8-1</v>
      </c>
      <c r="J47" s="55">
        <v>1</v>
      </c>
      <c r="K47" s="56">
        <v>8</v>
      </c>
      <c r="L47" s="55" t="s">
        <v>40</v>
      </c>
      <c r="M47" s="55" t="s">
        <v>142</v>
      </c>
      <c r="N47" s="55" t="s">
        <v>143</v>
      </c>
    </row>
    <row r="48" spans="2:14" x14ac:dyDescent="0.2">
      <c r="I48" s="55" t="str">
        <f t="shared" si="0"/>
        <v>8-2</v>
      </c>
      <c r="J48" s="55">
        <v>2</v>
      </c>
      <c r="K48" s="56">
        <v>8</v>
      </c>
      <c r="L48" s="55" t="s">
        <v>40</v>
      </c>
      <c r="M48" s="55" t="s">
        <v>144</v>
      </c>
      <c r="N48" s="55" t="s">
        <v>145</v>
      </c>
    </row>
    <row r="49" spans="9:14" x14ac:dyDescent="0.2">
      <c r="I49" s="55" t="str">
        <f t="shared" si="0"/>
        <v>8-3</v>
      </c>
      <c r="J49" s="55">
        <v>3</v>
      </c>
      <c r="K49" s="56">
        <v>8</v>
      </c>
      <c r="L49" s="55" t="s">
        <v>40</v>
      </c>
      <c r="M49" s="55" t="s">
        <v>146</v>
      </c>
      <c r="N49" s="55" t="s">
        <v>147</v>
      </c>
    </row>
    <row r="50" spans="9:14" x14ac:dyDescent="0.2">
      <c r="I50" s="55" t="str">
        <f t="shared" si="0"/>
        <v>8-4</v>
      </c>
      <c r="J50" s="55">
        <v>4</v>
      </c>
      <c r="K50" s="56">
        <v>8</v>
      </c>
      <c r="L50" s="55" t="s">
        <v>40</v>
      </c>
      <c r="M50" s="55" t="s">
        <v>148</v>
      </c>
      <c r="N50" s="55" t="s">
        <v>149</v>
      </c>
    </row>
    <row r="51" spans="9:14" x14ac:dyDescent="0.2">
      <c r="I51" s="55" t="str">
        <f t="shared" si="0"/>
        <v>8-5</v>
      </c>
      <c r="J51" s="55">
        <v>5</v>
      </c>
      <c r="K51" s="56">
        <v>8</v>
      </c>
      <c r="L51" s="55" t="s">
        <v>40</v>
      </c>
      <c r="M51" s="55" t="s">
        <v>150</v>
      </c>
      <c r="N51" s="55" t="s">
        <v>151</v>
      </c>
    </row>
    <row r="52" spans="9:14" x14ac:dyDescent="0.2">
      <c r="I52" s="55" t="str">
        <f t="shared" si="0"/>
        <v>8-6</v>
      </c>
      <c r="J52" s="55">
        <v>6</v>
      </c>
      <c r="K52" s="56">
        <v>8</v>
      </c>
      <c r="L52" s="55" t="s">
        <v>40</v>
      </c>
      <c r="M52" s="55" t="s">
        <v>152</v>
      </c>
      <c r="N52" s="55" t="s">
        <v>153</v>
      </c>
    </row>
    <row r="53" spans="9:14" x14ac:dyDescent="0.2">
      <c r="I53" s="55" t="str">
        <f t="shared" si="0"/>
        <v>8-7</v>
      </c>
      <c r="J53" s="55">
        <v>7</v>
      </c>
      <c r="K53" s="56">
        <v>8</v>
      </c>
      <c r="L53" s="55" t="s">
        <v>40</v>
      </c>
      <c r="M53" s="55" t="s">
        <v>154</v>
      </c>
      <c r="N53" s="55" t="s">
        <v>155</v>
      </c>
    </row>
    <row r="54" spans="9:14" x14ac:dyDescent="0.2">
      <c r="I54" s="55" t="str">
        <f t="shared" si="0"/>
        <v>9-1</v>
      </c>
      <c r="J54" s="55">
        <v>1</v>
      </c>
      <c r="K54" s="56">
        <v>9</v>
      </c>
      <c r="L54" s="55" t="s">
        <v>156</v>
      </c>
      <c r="M54" s="55" t="s">
        <v>157</v>
      </c>
      <c r="N54" s="55" t="s">
        <v>158</v>
      </c>
    </row>
    <row r="55" spans="9:14" x14ac:dyDescent="0.2">
      <c r="I55" s="55" t="str">
        <f t="shared" si="0"/>
        <v>9-2</v>
      </c>
      <c r="J55" s="55">
        <v>2</v>
      </c>
      <c r="K55" s="56">
        <v>9</v>
      </c>
      <c r="L55" s="55" t="s">
        <v>156</v>
      </c>
      <c r="M55" s="55" t="s">
        <v>159</v>
      </c>
      <c r="N55" s="55" t="s">
        <v>160</v>
      </c>
    </row>
    <row r="56" spans="9:14" x14ac:dyDescent="0.2">
      <c r="I56" s="55" t="str">
        <f t="shared" si="0"/>
        <v>9-3</v>
      </c>
      <c r="J56" s="55">
        <v>3</v>
      </c>
      <c r="K56" s="56">
        <v>9</v>
      </c>
      <c r="L56" s="55" t="s">
        <v>156</v>
      </c>
      <c r="M56" s="55" t="s">
        <v>161</v>
      </c>
      <c r="N56" s="55" t="s">
        <v>162</v>
      </c>
    </row>
    <row r="57" spans="9:14" x14ac:dyDescent="0.2">
      <c r="I57" s="55" t="str">
        <f t="shared" si="0"/>
        <v>9-4</v>
      </c>
      <c r="J57" s="55">
        <v>4</v>
      </c>
      <c r="K57" s="56">
        <v>9</v>
      </c>
      <c r="L57" s="55" t="s">
        <v>156</v>
      </c>
      <c r="M57" s="55" t="s">
        <v>163</v>
      </c>
      <c r="N57" s="55" t="s">
        <v>164</v>
      </c>
    </row>
    <row r="58" spans="9:14" x14ac:dyDescent="0.2">
      <c r="I58" s="55" t="str">
        <f t="shared" si="0"/>
        <v>9-5</v>
      </c>
      <c r="J58" s="55">
        <v>5</v>
      </c>
      <c r="K58" s="56">
        <v>9</v>
      </c>
      <c r="L58" s="55" t="s">
        <v>156</v>
      </c>
      <c r="M58" s="55" t="s">
        <v>165</v>
      </c>
      <c r="N58" s="55" t="s">
        <v>166</v>
      </c>
    </row>
    <row r="59" spans="9:14" x14ac:dyDescent="0.2">
      <c r="I59" s="55" t="str">
        <f t="shared" si="0"/>
        <v>9-6</v>
      </c>
      <c r="J59" s="55">
        <v>6</v>
      </c>
      <c r="K59" s="56">
        <v>9</v>
      </c>
      <c r="L59" s="55" t="s">
        <v>156</v>
      </c>
      <c r="M59" s="55" t="s">
        <v>167</v>
      </c>
      <c r="N59" s="55" t="s">
        <v>168</v>
      </c>
    </row>
    <row r="60" spans="9:14" x14ac:dyDescent="0.2">
      <c r="I60" s="55" t="str">
        <f t="shared" si="0"/>
        <v>10-1</v>
      </c>
      <c r="J60" s="55">
        <v>1</v>
      </c>
      <c r="K60" s="56">
        <v>10</v>
      </c>
      <c r="L60" s="55" t="s">
        <v>42</v>
      </c>
      <c r="M60" s="55" t="s">
        <v>169</v>
      </c>
      <c r="N60" s="55" t="s">
        <v>170</v>
      </c>
    </row>
    <row r="61" spans="9:14" x14ac:dyDescent="0.2">
      <c r="I61" s="55" t="str">
        <f t="shared" si="0"/>
        <v>10-2</v>
      </c>
      <c r="J61" s="55">
        <v>2</v>
      </c>
      <c r="K61" s="56">
        <v>10</v>
      </c>
      <c r="L61" s="55" t="s">
        <v>42</v>
      </c>
      <c r="M61" s="55" t="s">
        <v>171</v>
      </c>
      <c r="N61" s="55" t="s">
        <v>172</v>
      </c>
    </row>
    <row r="62" spans="9:14" x14ac:dyDescent="0.2">
      <c r="I62" s="55" t="str">
        <f t="shared" si="0"/>
        <v>10-3</v>
      </c>
      <c r="J62" s="55">
        <v>3</v>
      </c>
      <c r="K62" s="56">
        <v>10</v>
      </c>
      <c r="L62" s="55" t="s">
        <v>42</v>
      </c>
      <c r="M62" s="55" t="s">
        <v>173</v>
      </c>
      <c r="N62" s="55" t="s">
        <v>174</v>
      </c>
    </row>
    <row r="63" spans="9:14" x14ac:dyDescent="0.2">
      <c r="I63" s="55" t="str">
        <f t="shared" si="0"/>
        <v>11-1</v>
      </c>
      <c r="J63" s="55">
        <v>1</v>
      </c>
      <c r="K63" s="56">
        <v>11</v>
      </c>
      <c r="L63" s="55" t="s">
        <v>43</v>
      </c>
      <c r="M63" s="55" t="s">
        <v>175</v>
      </c>
      <c r="N63" s="55" t="s">
        <v>176</v>
      </c>
    </row>
    <row r="64" spans="9:14" x14ac:dyDescent="0.2">
      <c r="I64" s="55" t="str">
        <f t="shared" si="0"/>
        <v>11-2</v>
      </c>
      <c r="J64" s="55">
        <v>2</v>
      </c>
      <c r="K64" s="56">
        <v>11</v>
      </c>
      <c r="L64" s="55" t="s">
        <v>43</v>
      </c>
      <c r="M64" s="55" t="s">
        <v>177</v>
      </c>
      <c r="N64" s="55" t="s">
        <v>178</v>
      </c>
    </row>
    <row r="65" spans="9:14" x14ac:dyDescent="0.2">
      <c r="I65" s="55" t="str">
        <f t="shared" si="0"/>
        <v>11-3</v>
      </c>
      <c r="J65" s="55">
        <v>3</v>
      </c>
      <c r="K65" s="56">
        <v>11</v>
      </c>
      <c r="L65" s="55" t="s">
        <v>43</v>
      </c>
      <c r="M65" s="55" t="s">
        <v>179</v>
      </c>
      <c r="N65" s="55" t="s">
        <v>180</v>
      </c>
    </row>
    <row r="66" spans="9:14" x14ac:dyDescent="0.2">
      <c r="I66" s="55" t="str">
        <f t="shared" si="0"/>
        <v>11-4</v>
      </c>
      <c r="J66" s="55">
        <v>4</v>
      </c>
      <c r="K66" s="56">
        <v>11</v>
      </c>
      <c r="L66" s="55" t="s">
        <v>43</v>
      </c>
      <c r="M66" s="55" t="s">
        <v>181</v>
      </c>
      <c r="N66" s="55" t="s">
        <v>182</v>
      </c>
    </row>
    <row r="67" spans="9:14" x14ac:dyDescent="0.2">
      <c r="I67" s="55" t="str">
        <f t="shared" si="0"/>
        <v>11-5</v>
      </c>
      <c r="J67" s="55">
        <v>5</v>
      </c>
      <c r="K67" s="56">
        <v>11</v>
      </c>
      <c r="L67" s="55" t="s">
        <v>43</v>
      </c>
      <c r="M67" s="55" t="s">
        <v>183</v>
      </c>
      <c r="N67" s="55" t="s">
        <v>184</v>
      </c>
    </row>
    <row r="68" spans="9:14" x14ac:dyDescent="0.2">
      <c r="I68" s="55" t="str">
        <f t="shared" si="0"/>
        <v>12-1</v>
      </c>
      <c r="J68" s="55">
        <v>1</v>
      </c>
      <c r="K68" s="56">
        <v>12</v>
      </c>
      <c r="L68" s="55" t="s">
        <v>44</v>
      </c>
      <c r="M68" s="55" t="s">
        <v>185</v>
      </c>
      <c r="N68" s="55" t="s">
        <v>186</v>
      </c>
    </row>
    <row r="69" spans="9:14" x14ac:dyDescent="0.2">
      <c r="I69" s="55" t="str">
        <f t="shared" ref="I69:I132" si="2">CONCATENATE(K69,"-",J69)</f>
        <v>12-2</v>
      </c>
      <c r="J69" s="55">
        <v>2</v>
      </c>
      <c r="K69" s="56">
        <v>12</v>
      </c>
      <c r="L69" s="55" t="s">
        <v>44</v>
      </c>
      <c r="M69" s="55" t="s">
        <v>187</v>
      </c>
      <c r="N69" s="55" t="s">
        <v>188</v>
      </c>
    </row>
    <row r="70" spans="9:14" x14ac:dyDescent="0.2">
      <c r="I70" s="55" t="str">
        <f t="shared" si="2"/>
        <v>12-3</v>
      </c>
      <c r="J70" s="55">
        <v>3</v>
      </c>
      <c r="K70" s="56">
        <v>12</v>
      </c>
      <c r="L70" s="55" t="s">
        <v>44</v>
      </c>
      <c r="M70" s="55" t="s">
        <v>189</v>
      </c>
      <c r="N70" s="55" t="s">
        <v>190</v>
      </c>
    </row>
    <row r="71" spans="9:14" x14ac:dyDescent="0.2">
      <c r="I71" s="55" t="str">
        <f t="shared" si="2"/>
        <v>12-4</v>
      </c>
      <c r="J71" s="55">
        <v>4</v>
      </c>
      <c r="K71" s="56">
        <v>12</v>
      </c>
      <c r="L71" s="55" t="s">
        <v>44</v>
      </c>
      <c r="M71" s="55" t="s">
        <v>191</v>
      </c>
      <c r="N71" s="55" t="s">
        <v>192</v>
      </c>
    </row>
    <row r="72" spans="9:14" x14ac:dyDescent="0.2">
      <c r="I72" s="55" t="str">
        <f t="shared" si="2"/>
        <v>12-5</v>
      </c>
      <c r="J72" s="55">
        <v>5</v>
      </c>
      <c r="K72" s="56">
        <v>12</v>
      </c>
      <c r="L72" s="55" t="s">
        <v>44</v>
      </c>
      <c r="M72" s="55" t="s">
        <v>193</v>
      </c>
      <c r="N72" s="55" t="s">
        <v>194</v>
      </c>
    </row>
    <row r="73" spans="9:14" x14ac:dyDescent="0.2">
      <c r="I73" s="55" t="str">
        <f t="shared" si="2"/>
        <v>12-6</v>
      </c>
      <c r="J73" s="55">
        <v>6</v>
      </c>
      <c r="K73" s="56">
        <v>12</v>
      </c>
      <c r="L73" s="55" t="s">
        <v>44</v>
      </c>
      <c r="M73" s="55" t="s">
        <v>195</v>
      </c>
      <c r="N73" s="55" t="s">
        <v>196</v>
      </c>
    </row>
    <row r="74" spans="9:14" x14ac:dyDescent="0.2">
      <c r="I74" s="55" t="str">
        <f t="shared" si="2"/>
        <v>12-7</v>
      </c>
      <c r="J74" s="55">
        <v>7</v>
      </c>
      <c r="K74" s="56">
        <v>12</v>
      </c>
      <c r="L74" s="55" t="s">
        <v>44</v>
      </c>
      <c r="M74" s="55" t="s">
        <v>197</v>
      </c>
      <c r="N74" s="55" t="s">
        <v>198</v>
      </c>
    </row>
    <row r="75" spans="9:14" x14ac:dyDescent="0.2">
      <c r="I75" s="55" t="str">
        <f t="shared" si="2"/>
        <v>12-8</v>
      </c>
      <c r="J75" s="55">
        <v>8</v>
      </c>
      <c r="K75" s="56">
        <v>12</v>
      </c>
      <c r="L75" s="55" t="s">
        <v>44</v>
      </c>
      <c r="M75" s="55" t="s">
        <v>199</v>
      </c>
      <c r="N75" s="55" t="s">
        <v>200</v>
      </c>
    </row>
    <row r="76" spans="9:14" x14ac:dyDescent="0.2">
      <c r="I76" s="55" t="str">
        <f t="shared" si="2"/>
        <v>13-1</v>
      </c>
      <c r="J76" s="55">
        <v>1</v>
      </c>
      <c r="K76" s="56">
        <v>13</v>
      </c>
      <c r="L76" s="55" t="s">
        <v>45</v>
      </c>
      <c r="M76" s="55" t="s">
        <v>201</v>
      </c>
      <c r="N76" s="55" t="s">
        <v>202</v>
      </c>
    </row>
    <row r="77" spans="9:14" x14ac:dyDescent="0.2">
      <c r="I77" s="55" t="str">
        <f t="shared" si="2"/>
        <v>13-2</v>
      </c>
      <c r="J77" s="55">
        <v>2</v>
      </c>
      <c r="K77" s="56">
        <v>13</v>
      </c>
      <c r="L77" s="55" t="s">
        <v>45</v>
      </c>
      <c r="M77" s="55" t="s">
        <v>203</v>
      </c>
      <c r="N77" s="55" t="s">
        <v>204</v>
      </c>
    </row>
    <row r="78" spans="9:14" x14ac:dyDescent="0.2">
      <c r="I78" s="55" t="str">
        <f t="shared" si="2"/>
        <v>13-3</v>
      </c>
      <c r="J78" s="55">
        <v>3</v>
      </c>
      <c r="K78" s="56">
        <v>13</v>
      </c>
      <c r="L78" s="55" t="s">
        <v>45</v>
      </c>
      <c r="M78" s="55" t="s">
        <v>205</v>
      </c>
      <c r="N78" s="55" t="s">
        <v>206</v>
      </c>
    </row>
    <row r="79" spans="9:14" x14ac:dyDescent="0.2">
      <c r="I79" s="55" t="str">
        <f t="shared" si="2"/>
        <v>13-4</v>
      </c>
      <c r="J79" s="55">
        <v>4</v>
      </c>
      <c r="K79" s="56">
        <v>13</v>
      </c>
      <c r="L79" s="55" t="s">
        <v>45</v>
      </c>
      <c r="M79" s="55" t="s">
        <v>207</v>
      </c>
      <c r="N79" s="55" t="s">
        <v>208</v>
      </c>
    </row>
    <row r="80" spans="9:14" x14ac:dyDescent="0.2">
      <c r="I80" s="55" t="str">
        <f t="shared" si="2"/>
        <v>13-5</v>
      </c>
      <c r="J80" s="55">
        <v>5</v>
      </c>
      <c r="K80" s="56">
        <v>13</v>
      </c>
      <c r="L80" s="55" t="s">
        <v>45</v>
      </c>
      <c r="M80" s="55" t="s">
        <v>209</v>
      </c>
      <c r="N80" s="55" t="s">
        <v>210</v>
      </c>
    </row>
    <row r="81" spans="9:14" x14ac:dyDescent="0.2">
      <c r="I81" s="55" t="str">
        <f t="shared" si="2"/>
        <v>13-6</v>
      </c>
      <c r="J81" s="55">
        <v>6</v>
      </c>
      <c r="K81" s="56">
        <v>13</v>
      </c>
      <c r="L81" s="55" t="s">
        <v>45</v>
      </c>
      <c r="M81" s="55" t="s">
        <v>211</v>
      </c>
      <c r="N81" s="55" t="s">
        <v>212</v>
      </c>
    </row>
    <row r="82" spans="9:14" x14ac:dyDescent="0.2">
      <c r="I82" s="55" t="str">
        <f t="shared" si="2"/>
        <v>13-7</v>
      </c>
      <c r="J82" s="55">
        <v>7</v>
      </c>
      <c r="K82" s="56">
        <v>13</v>
      </c>
      <c r="L82" s="55" t="s">
        <v>45</v>
      </c>
      <c r="M82" s="55" t="s">
        <v>213</v>
      </c>
      <c r="N82" s="55" t="s">
        <v>214</v>
      </c>
    </row>
    <row r="83" spans="9:14" x14ac:dyDescent="0.2">
      <c r="I83" s="55" t="str">
        <f t="shared" si="2"/>
        <v>13-8</v>
      </c>
      <c r="J83" s="55">
        <v>8</v>
      </c>
      <c r="K83" s="56">
        <v>13</v>
      </c>
      <c r="L83" s="55" t="s">
        <v>45</v>
      </c>
      <c r="M83" s="55" t="s">
        <v>215</v>
      </c>
      <c r="N83" s="55" t="s">
        <v>216</v>
      </c>
    </row>
    <row r="84" spans="9:14" x14ac:dyDescent="0.2">
      <c r="I84" s="55" t="str">
        <f t="shared" si="2"/>
        <v>13-9</v>
      </c>
      <c r="J84" s="55">
        <v>9</v>
      </c>
      <c r="K84" s="56">
        <v>13</v>
      </c>
      <c r="L84" s="55" t="s">
        <v>45</v>
      </c>
      <c r="M84" s="55" t="s">
        <v>217</v>
      </c>
      <c r="N84" s="55" t="s">
        <v>218</v>
      </c>
    </row>
    <row r="85" spans="9:14" x14ac:dyDescent="0.2">
      <c r="I85" s="55" t="str">
        <f t="shared" si="2"/>
        <v>13-10</v>
      </c>
      <c r="J85" s="55">
        <v>10</v>
      </c>
      <c r="K85" s="56">
        <v>13</v>
      </c>
      <c r="L85" s="55" t="s">
        <v>45</v>
      </c>
      <c r="M85" s="55" t="s">
        <v>219</v>
      </c>
      <c r="N85" s="55" t="s">
        <v>220</v>
      </c>
    </row>
    <row r="86" spans="9:14" x14ac:dyDescent="0.2">
      <c r="I86" s="55" t="str">
        <f t="shared" si="2"/>
        <v>13-11</v>
      </c>
      <c r="J86" s="55">
        <v>11</v>
      </c>
      <c r="K86" s="56">
        <v>13</v>
      </c>
      <c r="L86" s="55" t="s">
        <v>45</v>
      </c>
      <c r="M86" s="55" t="s">
        <v>221</v>
      </c>
      <c r="N86" s="55" t="s">
        <v>222</v>
      </c>
    </row>
    <row r="87" spans="9:14" x14ac:dyDescent="0.2">
      <c r="I87" s="55" t="str">
        <f t="shared" si="2"/>
        <v>13-12</v>
      </c>
      <c r="J87" s="55">
        <v>12</v>
      </c>
      <c r="K87" s="56">
        <v>13</v>
      </c>
      <c r="L87" s="55" t="s">
        <v>45</v>
      </c>
      <c r="M87" s="55" t="s">
        <v>223</v>
      </c>
      <c r="N87" s="55" t="s">
        <v>224</v>
      </c>
    </row>
    <row r="88" spans="9:14" x14ac:dyDescent="0.2">
      <c r="I88" s="55" t="str">
        <f t="shared" si="2"/>
        <v>13-13</v>
      </c>
      <c r="J88" s="55">
        <v>13</v>
      </c>
      <c r="K88" s="56">
        <v>13</v>
      </c>
      <c r="L88" s="55" t="s">
        <v>45</v>
      </c>
      <c r="M88" s="55" t="s">
        <v>225</v>
      </c>
      <c r="N88" s="55" t="s">
        <v>226</v>
      </c>
    </row>
    <row r="89" spans="9:14" x14ac:dyDescent="0.2">
      <c r="I89" s="55" t="str">
        <f t="shared" si="2"/>
        <v>13-14</v>
      </c>
      <c r="J89" s="55">
        <v>14</v>
      </c>
      <c r="K89" s="56">
        <v>13</v>
      </c>
      <c r="L89" s="55" t="s">
        <v>45</v>
      </c>
      <c r="M89" s="55" t="s">
        <v>227</v>
      </c>
      <c r="N89" s="55" t="s">
        <v>228</v>
      </c>
    </row>
    <row r="90" spans="9:14" x14ac:dyDescent="0.2">
      <c r="I90" s="55" t="str">
        <f t="shared" si="2"/>
        <v>13-15</v>
      </c>
      <c r="J90" s="55">
        <v>15</v>
      </c>
      <c r="K90" s="56">
        <v>13</v>
      </c>
      <c r="L90" s="55" t="s">
        <v>45</v>
      </c>
      <c r="M90" s="55" t="s">
        <v>229</v>
      </c>
      <c r="N90" s="55" t="s">
        <v>230</v>
      </c>
    </row>
    <row r="91" spans="9:14" x14ac:dyDescent="0.2">
      <c r="I91" s="55" t="str">
        <f t="shared" si="2"/>
        <v>14-1</v>
      </c>
      <c r="J91" s="55">
        <v>1</v>
      </c>
      <c r="K91" s="56">
        <v>14</v>
      </c>
      <c r="L91" s="55" t="s">
        <v>46</v>
      </c>
      <c r="M91" s="55" t="s">
        <v>231</v>
      </c>
      <c r="N91" s="55" t="s">
        <v>232</v>
      </c>
    </row>
    <row r="92" spans="9:14" x14ac:dyDescent="0.2">
      <c r="I92" s="55" t="str">
        <f t="shared" si="2"/>
        <v>14-2</v>
      </c>
      <c r="J92" s="55">
        <v>2</v>
      </c>
      <c r="K92" s="56">
        <v>14</v>
      </c>
      <c r="L92" s="55" t="s">
        <v>46</v>
      </c>
      <c r="M92" s="55" t="s">
        <v>233</v>
      </c>
      <c r="N92" s="55" t="s">
        <v>234</v>
      </c>
    </row>
    <row r="93" spans="9:14" x14ac:dyDescent="0.2">
      <c r="I93" s="55" t="str">
        <f t="shared" si="2"/>
        <v>14-3</v>
      </c>
      <c r="J93" s="55">
        <v>3</v>
      </c>
      <c r="K93" s="56">
        <v>14</v>
      </c>
      <c r="L93" s="55" t="s">
        <v>46</v>
      </c>
      <c r="M93" s="55" t="s">
        <v>235</v>
      </c>
      <c r="N93" s="55" t="s">
        <v>236</v>
      </c>
    </row>
    <row r="94" spans="9:14" x14ac:dyDescent="0.2">
      <c r="I94" s="55" t="str">
        <f t="shared" si="2"/>
        <v>14-4</v>
      </c>
      <c r="J94" s="55">
        <v>4</v>
      </c>
      <c r="K94" s="56">
        <v>14</v>
      </c>
      <c r="L94" s="55" t="s">
        <v>46</v>
      </c>
      <c r="M94" s="55" t="s">
        <v>237</v>
      </c>
      <c r="N94" s="55" t="s">
        <v>238</v>
      </c>
    </row>
    <row r="95" spans="9:14" x14ac:dyDescent="0.2">
      <c r="I95" s="55" t="str">
        <f t="shared" si="2"/>
        <v>14-5</v>
      </c>
      <c r="J95" s="55">
        <v>5</v>
      </c>
      <c r="K95" s="56">
        <v>14</v>
      </c>
      <c r="L95" s="55" t="s">
        <v>46</v>
      </c>
      <c r="M95" s="55" t="s">
        <v>239</v>
      </c>
      <c r="N95" s="55" t="s">
        <v>240</v>
      </c>
    </row>
    <row r="96" spans="9:14" x14ac:dyDescent="0.2">
      <c r="I96" s="55" t="str">
        <f t="shared" si="2"/>
        <v>14-6</v>
      </c>
      <c r="J96" s="55">
        <v>6</v>
      </c>
      <c r="K96" s="56">
        <v>14</v>
      </c>
      <c r="L96" s="55" t="s">
        <v>46</v>
      </c>
      <c r="M96" s="55" t="s">
        <v>241</v>
      </c>
      <c r="N96" s="55" t="s">
        <v>242</v>
      </c>
    </row>
    <row r="97" spans="9:14" x14ac:dyDescent="0.2">
      <c r="I97" s="55" t="str">
        <f t="shared" si="2"/>
        <v>14-7</v>
      </c>
      <c r="J97" s="55">
        <v>7</v>
      </c>
      <c r="K97" s="56">
        <v>14</v>
      </c>
      <c r="L97" s="55" t="s">
        <v>46</v>
      </c>
      <c r="M97" s="55" t="s">
        <v>243</v>
      </c>
      <c r="N97" s="55" t="s">
        <v>244</v>
      </c>
    </row>
    <row r="98" spans="9:14" x14ac:dyDescent="0.2">
      <c r="I98" s="55" t="str">
        <f t="shared" si="2"/>
        <v>14-8</v>
      </c>
      <c r="J98" s="55">
        <v>8</v>
      </c>
      <c r="K98" s="56">
        <v>14</v>
      </c>
      <c r="L98" s="55" t="s">
        <v>46</v>
      </c>
      <c r="M98" s="55" t="s">
        <v>245</v>
      </c>
      <c r="N98" s="55" t="s">
        <v>246</v>
      </c>
    </row>
    <row r="99" spans="9:14" x14ac:dyDescent="0.2">
      <c r="I99" s="55" t="str">
        <f t="shared" si="2"/>
        <v>15-1</v>
      </c>
      <c r="J99" s="55">
        <v>1</v>
      </c>
      <c r="K99" s="56">
        <v>15</v>
      </c>
      <c r="L99" s="55" t="s">
        <v>47</v>
      </c>
      <c r="M99" s="55" t="s">
        <v>247</v>
      </c>
      <c r="N99" s="55" t="s">
        <v>248</v>
      </c>
    </row>
    <row r="100" spans="9:14" x14ac:dyDescent="0.2">
      <c r="I100" s="55" t="str">
        <f t="shared" si="2"/>
        <v>15-2</v>
      </c>
      <c r="J100" s="55">
        <v>2</v>
      </c>
      <c r="K100" s="56">
        <v>15</v>
      </c>
      <c r="L100" s="55" t="s">
        <v>47</v>
      </c>
      <c r="M100" s="55" t="s">
        <v>249</v>
      </c>
      <c r="N100" s="55" t="s">
        <v>250</v>
      </c>
    </row>
    <row r="101" spans="9:14" x14ac:dyDescent="0.2">
      <c r="I101" s="55" t="str">
        <f t="shared" si="2"/>
        <v>15-3</v>
      </c>
      <c r="J101" s="55">
        <v>3</v>
      </c>
      <c r="K101" s="56">
        <v>15</v>
      </c>
      <c r="L101" s="55" t="s">
        <v>47</v>
      </c>
      <c r="M101" s="55" t="s">
        <v>251</v>
      </c>
      <c r="N101" s="55" t="s">
        <v>252</v>
      </c>
    </row>
    <row r="102" spans="9:14" x14ac:dyDescent="0.2">
      <c r="I102" s="55" t="str">
        <f t="shared" si="2"/>
        <v>15-4</v>
      </c>
      <c r="J102" s="55">
        <v>4</v>
      </c>
      <c r="K102" s="56">
        <v>15</v>
      </c>
      <c r="L102" s="55" t="s">
        <v>47</v>
      </c>
      <c r="M102" s="55" t="s">
        <v>253</v>
      </c>
      <c r="N102" s="55" t="s">
        <v>254</v>
      </c>
    </row>
    <row r="103" spans="9:14" x14ac:dyDescent="0.2">
      <c r="I103" s="55" t="str">
        <f t="shared" si="2"/>
        <v>15-5</v>
      </c>
      <c r="J103" s="55">
        <v>5</v>
      </c>
      <c r="K103" s="56">
        <v>15</v>
      </c>
      <c r="L103" s="55" t="s">
        <v>47</v>
      </c>
      <c r="M103" s="55" t="s">
        <v>255</v>
      </c>
      <c r="N103" s="55" t="s">
        <v>256</v>
      </c>
    </row>
    <row r="104" spans="9:14" x14ac:dyDescent="0.2">
      <c r="I104" s="55" t="str">
        <f t="shared" si="2"/>
        <v>15-6</v>
      </c>
      <c r="J104" s="55">
        <v>6</v>
      </c>
      <c r="K104" s="56">
        <v>15</v>
      </c>
      <c r="L104" s="55" t="s">
        <v>47</v>
      </c>
      <c r="M104" s="55" t="s">
        <v>257</v>
      </c>
      <c r="N104" s="55" t="s">
        <v>258</v>
      </c>
    </row>
    <row r="105" spans="9:14" x14ac:dyDescent="0.2">
      <c r="I105" s="55" t="str">
        <f t="shared" si="2"/>
        <v>15-7</v>
      </c>
      <c r="J105" s="55">
        <v>7</v>
      </c>
      <c r="K105" s="56">
        <v>15</v>
      </c>
      <c r="L105" s="55" t="s">
        <v>47</v>
      </c>
      <c r="M105" s="55" t="s">
        <v>259</v>
      </c>
      <c r="N105" s="55" t="s">
        <v>260</v>
      </c>
    </row>
    <row r="106" spans="9:14" x14ac:dyDescent="0.2">
      <c r="I106" s="55" t="str">
        <f t="shared" si="2"/>
        <v>15-8</v>
      </c>
      <c r="J106" s="55">
        <v>8</v>
      </c>
      <c r="K106" s="56">
        <v>15</v>
      </c>
      <c r="L106" s="55" t="s">
        <v>47</v>
      </c>
      <c r="M106" s="55" t="s">
        <v>261</v>
      </c>
      <c r="N106" s="55" t="s">
        <v>262</v>
      </c>
    </row>
    <row r="107" spans="9:14" x14ac:dyDescent="0.2">
      <c r="I107" s="55" t="str">
        <f t="shared" si="2"/>
        <v>15-9</v>
      </c>
      <c r="J107" s="55">
        <v>9</v>
      </c>
      <c r="K107" s="56">
        <v>15</v>
      </c>
      <c r="L107" s="55" t="s">
        <v>47</v>
      </c>
      <c r="M107" s="55" t="s">
        <v>263</v>
      </c>
      <c r="N107" s="55" t="s">
        <v>264</v>
      </c>
    </row>
    <row r="108" spans="9:14" x14ac:dyDescent="0.2">
      <c r="I108" s="55" t="str">
        <f t="shared" si="2"/>
        <v>16-1</v>
      </c>
      <c r="J108" s="55">
        <v>1</v>
      </c>
      <c r="K108" s="56">
        <v>16</v>
      </c>
      <c r="L108" s="55" t="s">
        <v>48</v>
      </c>
      <c r="M108" s="55" t="s">
        <v>265</v>
      </c>
      <c r="N108" s="55" t="s">
        <v>266</v>
      </c>
    </row>
    <row r="109" spans="9:14" x14ac:dyDescent="0.2">
      <c r="I109" s="55" t="str">
        <f t="shared" si="2"/>
        <v>16-2</v>
      </c>
      <c r="J109" s="55">
        <v>2</v>
      </c>
      <c r="K109" s="56">
        <v>16</v>
      </c>
      <c r="L109" s="55" t="s">
        <v>48</v>
      </c>
      <c r="M109" s="55" t="s">
        <v>267</v>
      </c>
      <c r="N109" s="55" t="s">
        <v>268</v>
      </c>
    </row>
    <row r="110" spans="9:14" x14ac:dyDescent="0.2">
      <c r="I110" s="55" t="str">
        <f t="shared" si="2"/>
        <v>16-3</v>
      </c>
      <c r="J110" s="55">
        <v>3</v>
      </c>
      <c r="K110" s="56">
        <v>16</v>
      </c>
      <c r="L110" s="55" t="s">
        <v>48</v>
      </c>
      <c r="M110" s="55" t="s">
        <v>269</v>
      </c>
      <c r="N110" s="55" t="s">
        <v>270</v>
      </c>
    </row>
    <row r="111" spans="9:14" x14ac:dyDescent="0.2">
      <c r="I111" s="55" t="str">
        <f t="shared" si="2"/>
        <v>16-4</v>
      </c>
      <c r="J111" s="55">
        <v>4</v>
      </c>
      <c r="K111" s="56">
        <v>16</v>
      </c>
      <c r="L111" s="55" t="s">
        <v>48</v>
      </c>
      <c r="M111" s="55" t="s">
        <v>271</v>
      </c>
      <c r="N111" s="55" t="s">
        <v>272</v>
      </c>
    </row>
    <row r="112" spans="9:14" x14ac:dyDescent="0.2">
      <c r="I112" s="55" t="str">
        <f t="shared" si="2"/>
        <v>16-5</v>
      </c>
      <c r="J112" s="55">
        <v>5</v>
      </c>
      <c r="K112" s="56">
        <v>16</v>
      </c>
      <c r="L112" s="55" t="s">
        <v>48</v>
      </c>
      <c r="M112" s="55" t="s">
        <v>273</v>
      </c>
      <c r="N112" s="55" t="s">
        <v>274</v>
      </c>
    </row>
    <row r="113" spans="9:14" x14ac:dyDescent="0.2">
      <c r="I113" s="55" t="str">
        <f t="shared" si="2"/>
        <v>17-1</v>
      </c>
      <c r="J113" s="55">
        <v>1</v>
      </c>
      <c r="K113" s="56">
        <v>17</v>
      </c>
      <c r="L113" s="55" t="s">
        <v>49</v>
      </c>
      <c r="M113" s="55" t="s">
        <v>275</v>
      </c>
      <c r="N113" s="55" t="s">
        <v>276</v>
      </c>
    </row>
    <row r="114" spans="9:14" x14ac:dyDescent="0.2">
      <c r="I114" s="55" t="str">
        <f t="shared" si="2"/>
        <v>17-2</v>
      </c>
      <c r="J114" s="55">
        <v>2</v>
      </c>
      <c r="K114" s="56">
        <v>17</v>
      </c>
      <c r="L114" s="55" t="s">
        <v>49</v>
      </c>
      <c r="M114" s="55" t="s">
        <v>277</v>
      </c>
      <c r="N114" s="55" t="s">
        <v>278</v>
      </c>
    </row>
    <row r="115" spans="9:14" x14ac:dyDescent="0.2">
      <c r="I115" s="55" t="str">
        <f t="shared" si="2"/>
        <v>17-3</v>
      </c>
      <c r="J115" s="55">
        <v>3</v>
      </c>
      <c r="K115" s="56">
        <v>17</v>
      </c>
      <c r="L115" s="55" t="s">
        <v>49</v>
      </c>
      <c r="M115" s="55" t="s">
        <v>279</v>
      </c>
      <c r="N115" s="55" t="s">
        <v>280</v>
      </c>
    </row>
    <row r="116" spans="9:14" x14ac:dyDescent="0.2">
      <c r="I116" s="55" t="str">
        <f t="shared" si="2"/>
        <v>17-4</v>
      </c>
      <c r="J116" s="55">
        <v>4</v>
      </c>
      <c r="K116" s="56">
        <v>17</v>
      </c>
      <c r="L116" s="55" t="s">
        <v>49</v>
      </c>
      <c r="M116" s="55" t="s">
        <v>281</v>
      </c>
      <c r="N116" s="55" t="s">
        <v>282</v>
      </c>
    </row>
    <row r="117" spans="9:14" x14ac:dyDescent="0.2">
      <c r="I117" s="55" t="str">
        <f t="shared" si="2"/>
        <v>17-5</v>
      </c>
      <c r="J117" s="55">
        <v>5</v>
      </c>
      <c r="K117" s="56">
        <v>17</v>
      </c>
      <c r="L117" s="55" t="s">
        <v>49</v>
      </c>
      <c r="M117" s="55" t="s">
        <v>283</v>
      </c>
      <c r="N117" s="55" t="s">
        <v>284</v>
      </c>
    </row>
    <row r="118" spans="9:14" x14ac:dyDescent="0.2">
      <c r="I118" s="55" t="str">
        <f t="shared" si="2"/>
        <v>17-6</v>
      </c>
      <c r="J118" s="55">
        <v>6</v>
      </c>
      <c r="K118" s="56">
        <v>17</v>
      </c>
      <c r="L118" s="55" t="s">
        <v>49</v>
      </c>
      <c r="M118" s="55" t="s">
        <v>285</v>
      </c>
      <c r="N118" s="55" t="s">
        <v>286</v>
      </c>
    </row>
    <row r="119" spans="9:14" x14ac:dyDescent="0.2">
      <c r="I119" s="55" t="str">
        <f t="shared" si="2"/>
        <v>17-7</v>
      </c>
      <c r="J119" s="55">
        <v>7</v>
      </c>
      <c r="K119" s="56">
        <v>17</v>
      </c>
      <c r="L119" s="55" t="s">
        <v>49</v>
      </c>
      <c r="M119" s="55" t="s">
        <v>287</v>
      </c>
      <c r="N119" s="55" t="s">
        <v>288</v>
      </c>
    </row>
    <row r="120" spans="9:14" x14ac:dyDescent="0.2">
      <c r="I120" s="55" t="str">
        <f t="shared" si="2"/>
        <v>17-8</v>
      </c>
      <c r="J120" s="55">
        <v>8</v>
      </c>
      <c r="K120" s="56">
        <v>17</v>
      </c>
      <c r="L120" s="55" t="s">
        <v>49</v>
      </c>
      <c r="M120" s="55" t="s">
        <v>289</v>
      </c>
      <c r="N120" s="55" t="s">
        <v>290</v>
      </c>
    </row>
    <row r="121" spans="9:14" x14ac:dyDescent="0.2">
      <c r="I121" s="55" t="str">
        <f t="shared" si="2"/>
        <v>17-9</v>
      </c>
      <c r="J121" s="55">
        <v>9</v>
      </c>
      <c r="K121" s="56">
        <v>17</v>
      </c>
      <c r="L121" s="55" t="s">
        <v>49</v>
      </c>
      <c r="M121" s="55" t="s">
        <v>291</v>
      </c>
      <c r="N121" s="55" t="s">
        <v>292</v>
      </c>
    </row>
    <row r="122" spans="9:14" x14ac:dyDescent="0.2">
      <c r="I122" s="55" t="str">
        <f t="shared" si="2"/>
        <v>17-10</v>
      </c>
      <c r="J122" s="55">
        <v>10</v>
      </c>
      <c r="K122" s="56">
        <v>17</v>
      </c>
      <c r="L122" s="55" t="s">
        <v>49</v>
      </c>
      <c r="M122" s="55" t="s">
        <v>293</v>
      </c>
      <c r="N122" s="55" t="s">
        <v>294</v>
      </c>
    </row>
    <row r="123" spans="9:14" x14ac:dyDescent="0.2">
      <c r="I123" s="55" t="str">
        <f t="shared" si="2"/>
        <v>17-11</v>
      </c>
      <c r="J123" s="55">
        <v>11</v>
      </c>
      <c r="K123" s="56">
        <v>17</v>
      </c>
      <c r="L123" s="55" t="s">
        <v>49</v>
      </c>
      <c r="M123" s="55" t="s">
        <v>295</v>
      </c>
      <c r="N123" s="55" t="s">
        <v>296</v>
      </c>
    </row>
    <row r="124" spans="9:14" x14ac:dyDescent="0.2">
      <c r="I124" s="55" t="str">
        <f t="shared" si="2"/>
        <v>17-12</v>
      </c>
      <c r="J124" s="55">
        <v>12</v>
      </c>
      <c r="K124" s="56">
        <v>17</v>
      </c>
      <c r="L124" s="55" t="s">
        <v>49</v>
      </c>
      <c r="M124" s="55" t="s">
        <v>297</v>
      </c>
      <c r="N124" s="55" t="s">
        <v>298</v>
      </c>
    </row>
    <row r="125" spans="9:14" x14ac:dyDescent="0.2">
      <c r="I125" s="55" t="str">
        <f t="shared" si="2"/>
        <v>17-13</v>
      </c>
      <c r="J125" s="55">
        <v>13</v>
      </c>
      <c r="K125" s="56">
        <v>17</v>
      </c>
      <c r="L125" s="55" t="s">
        <v>49</v>
      </c>
      <c r="M125" s="55" t="s">
        <v>299</v>
      </c>
      <c r="N125" s="55" t="s">
        <v>300</v>
      </c>
    </row>
    <row r="126" spans="9:14" x14ac:dyDescent="0.2">
      <c r="I126" s="55" t="str">
        <f t="shared" si="2"/>
        <v>17-14</v>
      </c>
      <c r="J126" s="55">
        <v>14</v>
      </c>
      <c r="K126" s="56">
        <v>17</v>
      </c>
      <c r="L126" s="55" t="s">
        <v>49</v>
      </c>
      <c r="M126" s="55" t="s">
        <v>301</v>
      </c>
      <c r="N126" s="55" t="s">
        <v>302</v>
      </c>
    </row>
    <row r="127" spans="9:14" x14ac:dyDescent="0.2">
      <c r="I127" s="55" t="str">
        <f t="shared" si="2"/>
        <v>17-15</v>
      </c>
      <c r="J127" s="55">
        <v>15</v>
      </c>
      <c r="K127" s="56">
        <v>17</v>
      </c>
      <c r="L127" s="55" t="s">
        <v>49</v>
      </c>
      <c r="M127" s="55" t="s">
        <v>303</v>
      </c>
      <c r="N127" s="55" t="s">
        <v>304</v>
      </c>
    </row>
    <row r="128" spans="9:14" x14ac:dyDescent="0.2">
      <c r="I128" s="55" t="str">
        <f t="shared" si="2"/>
        <v>17-16</v>
      </c>
      <c r="J128" s="55">
        <v>16</v>
      </c>
      <c r="K128" s="56">
        <v>17</v>
      </c>
      <c r="L128" s="55" t="s">
        <v>49</v>
      </c>
      <c r="M128" s="55" t="s">
        <v>305</v>
      </c>
      <c r="N128" s="55" t="s">
        <v>306</v>
      </c>
    </row>
    <row r="129" spans="9:14" x14ac:dyDescent="0.2">
      <c r="I129" s="55" t="str">
        <f t="shared" si="2"/>
        <v>17-17</v>
      </c>
      <c r="J129" s="55">
        <v>17</v>
      </c>
      <c r="K129" s="56">
        <v>17</v>
      </c>
      <c r="L129" s="55" t="s">
        <v>49</v>
      </c>
      <c r="M129" s="55" t="s">
        <v>307</v>
      </c>
      <c r="N129" s="55" t="s">
        <v>308</v>
      </c>
    </row>
    <row r="130" spans="9:14" x14ac:dyDescent="0.2">
      <c r="I130" s="55" t="str">
        <f t="shared" si="2"/>
        <v>17-18</v>
      </c>
      <c r="J130" s="55">
        <v>18</v>
      </c>
      <c r="K130" s="56">
        <v>17</v>
      </c>
      <c r="L130" s="55" t="s">
        <v>49</v>
      </c>
      <c r="M130" s="55" t="s">
        <v>309</v>
      </c>
      <c r="N130" s="55" t="s">
        <v>310</v>
      </c>
    </row>
    <row r="131" spans="9:14" x14ac:dyDescent="0.2">
      <c r="I131" s="55" t="str">
        <f t="shared" si="2"/>
        <v>17-19</v>
      </c>
      <c r="J131" s="55">
        <v>19</v>
      </c>
      <c r="K131" s="56">
        <v>17</v>
      </c>
      <c r="L131" s="55" t="s">
        <v>49</v>
      </c>
      <c r="M131" s="55" t="s">
        <v>311</v>
      </c>
      <c r="N131" s="55" t="s">
        <v>312</v>
      </c>
    </row>
    <row r="132" spans="9:14" x14ac:dyDescent="0.2">
      <c r="I132" s="55" t="str">
        <f t="shared" si="2"/>
        <v>18-1</v>
      </c>
      <c r="J132" s="55">
        <v>1</v>
      </c>
      <c r="K132" s="56">
        <v>18</v>
      </c>
      <c r="L132" s="55" t="s">
        <v>50</v>
      </c>
      <c r="M132" s="55" t="s">
        <v>313</v>
      </c>
      <c r="N132" s="55" t="s">
        <v>314</v>
      </c>
    </row>
    <row r="133" spans="9:14" x14ac:dyDescent="0.2">
      <c r="I133" s="55" t="str">
        <f t="shared" ref="I133:I155" si="3">CONCATENATE(K133,"-",J133)</f>
        <v>18-2</v>
      </c>
      <c r="J133" s="55">
        <v>2</v>
      </c>
      <c r="K133" s="56">
        <v>18</v>
      </c>
      <c r="L133" s="55" t="s">
        <v>50</v>
      </c>
      <c r="M133" s="55" t="s">
        <v>315</v>
      </c>
      <c r="N133" s="55" t="s">
        <v>316</v>
      </c>
    </row>
    <row r="134" spans="9:14" x14ac:dyDescent="0.2">
      <c r="I134" s="55" t="str">
        <f t="shared" si="3"/>
        <v>18-3</v>
      </c>
      <c r="J134" s="55">
        <v>3</v>
      </c>
      <c r="K134" s="56">
        <v>18</v>
      </c>
      <c r="L134" s="55" t="s">
        <v>50</v>
      </c>
      <c r="M134" s="55" t="s">
        <v>317</v>
      </c>
      <c r="N134" s="55" t="s">
        <v>318</v>
      </c>
    </row>
    <row r="135" spans="9:14" x14ac:dyDescent="0.2">
      <c r="I135" s="55" t="str">
        <f t="shared" si="3"/>
        <v>18-4</v>
      </c>
      <c r="J135" s="55">
        <v>4</v>
      </c>
      <c r="K135" s="56">
        <v>18</v>
      </c>
      <c r="L135" s="55" t="s">
        <v>50</v>
      </c>
      <c r="M135" s="55" t="s">
        <v>319</v>
      </c>
      <c r="N135" s="55" t="s">
        <v>320</v>
      </c>
    </row>
    <row r="136" spans="9:14" x14ac:dyDescent="0.2">
      <c r="I136" s="55" t="str">
        <f t="shared" si="3"/>
        <v>18-5</v>
      </c>
      <c r="J136" s="55">
        <v>5</v>
      </c>
      <c r="K136" s="56">
        <v>18</v>
      </c>
      <c r="L136" s="55" t="s">
        <v>50</v>
      </c>
      <c r="M136" s="55" t="s">
        <v>321</v>
      </c>
      <c r="N136" s="55" t="s">
        <v>322</v>
      </c>
    </row>
    <row r="137" spans="9:14" x14ac:dyDescent="0.2">
      <c r="I137" s="55" t="str">
        <f t="shared" si="3"/>
        <v>18-6</v>
      </c>
      <c r="J137" s="55">
        <v>6</v>
      </c>
      <c r="K137" s="56">
        <v>18</v>
      </c>
      <c r="L137" s="55" t="s">
        <v>50</v>
      </c>
      <c r="M137" s="55" t="s">
        <v>323</v>
      </c>
      <c r="N137" s="55" t="s">
        <v>324</v>
      </c>
    </row>
    <row r="138" spans="9:14" x14ac:dyDescent="0.2">
      <c r="I138" s="55" t="str">
        <f t="shared" si="3"/>
        <v>18-7</v>
      </c>
      <c r="J138" s="55">
        <v>7</v>
      </c>
      <c r="K138" s="56">
        <v>18</v>
      </c>
      <c r="L138" s="55" t="s">
        <v>50</v>
      </c>
      <c r="M138" s="55" t="s">
        <v>325</v>
      </c>
      <c r="N138" s="55" t="s">
        <v>326</v>
      </c>
    </row>
    <row r="139" spans="9:14" x14ac:dyDescent="0.2">
      <c r="I139" s="55" t="str">
        <f t="shared" si="3"/>
        <v>18-8</v>
      </c>
      <c r="J139" s="55">
        <v>8</v>
      </c>
      <c r="K139" s="56">
        <v>18</v>
      </c>
      <c r="L139" s="55" t="s">
        <v>50</v>
      </c>
      <c r="M139" s="55" t="s">
        <v>327</v>
      </c>
      <c r="N139" s="55" t="s">
        <v>328</v>
      </c>
    </row>
    <row r="140" spans="9:14" x14ac:dyDescent="0.2">
      <c r="I140" s="55" t="str">
        <f t="shared" si="3"/>
        <v>19-1</v>
      </c>
      <c r="J140" s="55">
        <v>1</v>
      </c>
      <c r="K140" s="56">
        <v>19</v>
      </c>
      <c r="L140" s="55" t="s">
        <v>51</v>
      </c>
      <c r="M140" s="55" t="s">
        <v>329</v>
      </c>
      <c r="N140" s="55" t="s">
        <v>330</v>
      </c>
    </row>
    <row r="141" spans="9:14" x14ac:dyDescent="0.2">
      <c r="I141" s="55" t="str">
        <f t="shared" si="3"/>
        <v>19-2</v>
      </c>
      <c r="J141" s="55">
        <v>2</v>
      </c>
      <c r="K141" s="56">
        <v>19</v>
      </c>
      <c r="L141" s="55" t="s">
        <v>51</v>
      </c>
      <c r="M141" s="55" t="s">
        <v>331</v>
      </c>
      <c r="N141" s="55" t="s">
        <v>332</v>
      </c>
    </row>
    <row r="142" spans="9:14" x14ac:dyDescent="0.2">
      <c r="I142" s="55" t="str">
        <f t="shared" si="3"/>
        <v>19-3</v>
      </c>
      <c r="J142" s="55">
        <v>3</v>
      </c>
      <c r="K142" s="56">
        <v>19</v>
      </c>
      <c r="L142" s="55" t="s">
        <v>51</v>
      </c>
      <c r="M142" s="55" t="s">
        <v>333</v>
      </c>
      <c r="N142" s="55" t="s">
        <v>334</v>
      </c>
    </row>
    <row r="143" spans="9:14" x14ac:dyDescent="0.2">
      <c r="I143" s="55" t="str">
        <f t="shared" si="3"/>
        <v>19-4</v>
      </c>
      <c r="J143" s="55">
        <v>4</v>
      </c>
      <c r="K143" s="56">
        <v>19</v>
      </c>
      <c r="L143" s="55" t="s">
        <v>51</v>
      </c>
      <c r="M143" s="55" t="s">
        <v>335</v>
      </c>
      <c r="N143" s="55" t="s">
        <v>336</v>
      </c>
    </row>
    <row r="144" spans="9:14" x14ac:dyDescent="0.2">
      <c r="I144" s="55" t="str">
        <f t="shared" si="3"/>
        <v>19-5</v>
      </c>
      <c r="J144" s="55">
        <v>5</v>
      </c>
      <c r="K144" s="56">
        <v>19</v>
      </c>
      <c r="L144" s="55" t="s">
        <v>51</v>
      </c>
      <c r="M144" s="55" t="s">
        <v>337</v>
      </c>
      <c r="N144" s="55" t="s">
        <v>338</v>
      </c>
    </row>
    <row r="145" spans="9:14" x14ac:dyDescent="0.2">
      <c r="I145" s="55" t="str">
        <f t="shared" si="3"/>
        <v>19-6</v>
      </c>
      <c r="J145" s="55">
        <v>6</v>
      </c>
      <c r="K145" s="56">
        <v>19</v>
      </c>
      <c r="L145" s="55" t="s">
        <v>51</v>
      </c>
      <c r="M145" s="55" t="s">
        <v>339</v>
      </c>
      <c r="N145" s="55" t="s">
        <v>340</v>
      </c>
    </row>
    <row r="146" spans="9:14" x14ac:dyDescent="0.2">
      <c r="I146" s="55" t="str">
        <f t="shared" si="3"/>
        <v>19-7</v>
      </c>
      <c r="J146" s="55">
        <v>7</v>
      </c>
      <c r="K146" s="56">
        <v>19</v>
      </c>
      <c r="L146" s="55" t="s">
        <v>51</v>
      </c>
      <c r="M146" s="55" t="s">
        <v>341</v>
      </c>
      <c r="N146" s="55" t="s">
        <v>342</v>
      </c>
    </row>
    <row r="147" spans="9:14" x14ac:dyDescent="0.2">
      <c r="I147" s="55" t="str">
        <f t="shared" si="3"/>
        <v>20-1</v>
      </c>
      <c r="J147" s="55">
        <v>1</v>
      </c>
      <c r="K147" s="56">
        <v>20</v>
      </c>
      <c r="L147" s="55" t="s">
        <v>343</v>
      </c>
      <c r="M147" s="55" t="s">
        <v>344</v>
      </c>
      <c r="N147" s="55" t="s">
        <v>345</v>
      </c>
    </row>
    <row r="148" spans="9:14" x14ac:dyDescent="0.2">
      <c r="I148" s="55" t="str">
        <f t="shared" si="3"/>
        <v>20-2</v>
      </c>
      <c r="J148" s="55">
        <v>2</v>
      </c>
      <c r="K148" s="56">
        <v>20</v>
      </c>
      <c r="L148" s="55" t="s">
        <v>343</v>
      </c>
      <c r="M148" s="55" t="s">
        <v>346</v>
      </c>
      <c r="N148" s="55" t="s">
        <v>347</v>
      </c>
    </row>
    <row r="149" spans="9:14" x14ac:dyDescent="0.2">
      <c r="I149" s="55" t="str">
        <f t="shared" si="3"/>
        <v>20-3</v>
      </c>
      <c r="J149" s="55">
        <v>3</v>
      </c>
      <c r="K149" s="56">
        <v>20</v>
      </c>
      <c r="L149" s="55" t="s">
        <v>343</v>
      </c>
      <c r="M149" s="55" t="s">
        <v>348</v>
      </c>
      <c r="N149" s="55" t="s">
        <v>349</v>
      </c>
    </row>
    <row r="150" spans="9:14" x14ac:dyDescent="0.2">
      <c r="I150" s="55" t="str">
        <f t="shared" si="3"/>
        <v>20-4</v>
      </c>
      <c r="J150" s="55">
        <v>4</v>
      </c>
      <c r="K150" s="56">
        <v>20</v>
      </c>
      <c r="L150" s="55" t="s">
        <v>343</v>
      </c>
      <c r="M150" s="55" t="s">
        <v>350</v>
      </c>
      <c r="N150" s="55" t="s">
        <v>351</v>
      </c>
    </row>
    <row r="151" spans="9:14" x14ac:dyDescent="0.2">
      <c r="I151" s="55" t="str">
        <f t="shared" si="3"/>
        <v>20-5</v>
      </c>
      <c r="J151" s="55">
        <v>5</v>
      </c>
      <c r="K151" s="56">
        <v>20</v>
      </c>
      <c r="L151" s="55" t="s">
        <v>343</v>
      </c>
      <c r="M151" s="55" t="s">
        <v>352</v>
      </c>
      <c r="N151" s="55" t="s">
        <v>353</v>
      </c>
    </row>
    <row r="152" spans="9:14" x14ac:dyDescent="0.2">
      <c r="I152" s="55" t="str">
        <f t="shared" si="3"/>
        <v>20-6</v>
      </c>
      <c r="J152" s="55">
        <v>6</v>
      </c>
      <c r="K152" s="56">
        <v>20</v>
      </c>
      <c r="L152" s="55" t="s">
        <v>343</v>
      </c>
      <c r="M152" s="55" t="s">
        <v>354</v>
      </c>
      <c r="N152" s="55" t="s">
        <v>355</v>
      </c>
    </row>
    <row r="153" spans="9:14" x14ac:dyDescent="0.2">
      <c r="I153" s="55" t="str">
        <f t="shared" si="3"/>
        <v>20-7</v>
      </c>
      <c r="J153" s="55">
        <v>7</v>
      </c>
      <c r="K153" s="56">
        <v>20</v>
      </c>
      <c r="L153" s="55" t="s">
        <v>343</v>
      </c>
      <c r="M153" s="55" t="s">
        <v>356</v>
      </c>
      <c r="N153" s="55" t="s">
        <v>357</v>
      </c>
    </row>
    <row r="154" spans="9:14" x14ac:dyDescent="0.2">
      <c r="I154" s="55" t="str">
        <f t="shared" si="3"/>
        <v>20-8</v>
      </c>
      <c r="J154" s="55">
        <v>8</v>
      </c>
      <c r="K154" s="56">
        <v>20</v>
      </c>
      <c r="L154" s="55" t="s">
        <v>343</v>
      </c>
      <c r="M154" s="55" t="s">
        <v>358</v>
      </c>
      <c r="N154" s="55" t="s">
        <v>359</v>
      </c>
    </row>
    <row r="155" spans="9:14" x14ac:dyDescent="0.2">
      <c r="I155" s="55" t="str">
        <f t="shared" si="3"/>
        <v>20-9</v>
      </c>
      <c r="J155" s="55">
        <v>9</v>
      </c>
      <c r="K155" s="56">
        <v>20</v>
      </c>
      <c r="L155" s="55" t="s">
        <v>343</v>
      </c>
      <c r="M155" s="55" t="s">
        <v>360</v>
      </c>
      <c r="N155" s="55" t="s">
        <v>361</v>
      </c>
    </row>
  </sheetData>
  <phoneticPr fontId="2" type="noConversion"/>
  <conditionalFormatting sqref="S5:AL23">
    <cfRule type="duplicateValues" dxfId="0" priority="1"/>
  </conditionalFormatting>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BA161"/>
  <sheetViews>
    <sheetView topLeftCell="A2" workbookViewId="0">
      <pane xSplit="1" ySplit="4" topLeftCell="AE6" activePane="bottomRight" state="frozen"/>
      <selection activeCell="A2" sqref="A2"/>
      <selection pane="topRight" activeCell="B2" sqref="B2"/>
      <selection pane="bottomLeft" activeCell="A6" sqref="A6"/>
      <selection pane="bottomRight" activeCell="BA8" sqref="BA8"/>
    </sheetView>
  </sheetViews>
  <sheetFormatPr defaultRowHeight="12.75" x14ac:dyDescent="0.2"/>
  <cols>
    <col min="1" max="1" width="12" bestFit="1" customWidth="1"/>
    <col min="2" max="3" width="9.140625" style="72"/>
    <col min="4" max="4" width="12.42578125" style="72" customWidth="1"/>
    <col min="5" max="5" width="9.140625" style="72"/>
    <col min="6" max="6" width="13" style="72" customWidth="1"/>
    <col min="7" max="7" width="10.7109375" style="72" customWidth="1"/>
    <col min="8" max="8" width="9.140625" style="72"/>
    <col min="22" max="22" width="13.7109375" customWidth="1"/>
    <col min="41" max="41" width="12" bestFit="1" customWidth="1"/>
    <col min="49" max="49" width="18.7109375" customWidth="1"/>
    <col min="53" max="53" width="26" customWidth="1"/>
  </cols>
  <sheetData>
    <row r="2" spans="1:53" ht="26.25" x14ac:dyDescent="0.4">
      <c r="A2" s="87"/>
      <c r="B2" s="363" t="s">
        <v>594</v>
      </c>
      <c r="C2" s="363"/>
      <c r="D2" s="363"/>
      <c r="E2" s="363"/>
      <c r="F2" s="363"/>
      <c r="G2" s="363"/>
      <c r="H2" s="363"/>
      <c r="I2" s="363"/>
      <c r="J2" s="363"/>
      <c r="K2" s="363"/>
      <c r="L2" s="363"/>
      <c r="M2" s="363"/>
      <c r="N2" s="363"/>
      <c r="O2" s="363"/>
      <c r="P2" s="363"/>
      <c r="Q2" s="363"/>
      <c r="R2" s="363"/>
      <c r="S2" s="363"/>
      <c r="T2" s="363"/>
      <c r="U2" s="363"/>
      <c r="V2" s="363"/>
      <c r="W2" s="363"/>
      <c r="X2" s="363"/>
      <c r="AO2" s="87"/>
    </row>
    <row r="3" spans="1:53" x14ac:dyDescent="0.2">
      <c r="A3" s="90"/>
      <c r="B3" s="369" t="s">
        <v>536</v>
      </c>
      <c r="C3" s="370"/>
      <c r="D3" s="370"/>
      <c r="E3" s="370"/>
      <c r="F3" s="370"/>
      <c r="G3" s="370"/>
      <c r="H3" s="371"/>
      <c r="I3" s="375" t="s">
        <v>552</v>
      </c>
      <c r="J3" s="375"/>
      <c r="K3" s="375"/>
      <c r="L3" s="375"/>
      <c r="M3" s="375"/>
      <c r="N3" s="375"/>
      <c r="O3" s="375"/>
      <c r="P3" s="375"/>
      <c r="Q3" s="375"/>
      <c r="R3" s="375"/>
      <c r="S3" s="375"/>
      <c r="T3" s="375"/>
      <c r="U3" s="375"/>
      <c r="V3" s="375"/>
      <c r="W3" s="375"/>
      <c r="X3" s="375"/>
      <c r="Y3" s="364" t="s">
        <v>553</v>
      </c>
      <c r="Z3" s="353"/>
      <c r="AA3" s="353"/>
      <c r="AB3" s="353"/>
      <c r="AC3" s="353"/>
      <c r="AD3" s="353"/>
      <c r="AE3" s="353"/>
      <c r="AF3" s="353"/>
      <c r="AG3" s="353"/>
      <c r="AH3" s="353"/>
      <c r="AI3" s="353"/>
      <c r="AJ3" s="353"/>
      <c r="AK3" s="353"/>
      <c r="AL3" s="353"/>
      <c r="AM3" s="353"/>
      <c r="AO3" s="90"/>
      <c r="AP3" s="362" t="s">
        <v>594</v>
      </c>
      <c r="AQ3" s="362"/>
      <c r="AR3" s="362"/>
      <c r="AS3" s="362"/>
      <c r="AT3" s="362"/>
      <c r="AU3" s="362"/>
      <c r="AV3" s="362"/>
      <c r="AW3" s="362"/>
      <c r="AX3" s="177"/>
    </row>
    <row r="4" spans="1:53" x14ac:dyDescent="0.2">
      <c r="A4" s="91"/>
      <c r="B4" s="372"/>
      <c r="C4" s="373"/>
      <c r="D4" s="373"/>
      <c r="E4" s="373"/>
      <c r="F4" s="373"/>
      <c r="G4" s="373"/>
      <c r="H4" s="374"/>
      <c r="I4" s="357" t="s">
        <v>13</v>
      </c>
      <c r="J4" s="357"/>
      <c r="K4" s="71" t="s">
        <v>14</v>
      </c>
      <c r="L4" s="357" t="s">
        <v>15</v>
      </c>
      <c r="M4" s="357"/>
      <c r="N4" s="358" t="s">
        <v>367</v>
      </c>
      <c r="O4" s="359"/>
      <c r="P4" s="357" t="s">
        <v>368</v>
      </c>
      <c r="Q4" s="357"/>
      <c r="R4" s="358" t="s">
        <v>369</v>
      </c>
      <c r="S4" s="359"/>
      <c r="T4" s="357" t="s">
        <v>370</v>
      </c>
      <c r="U4" s="357"/>
      <c r="V4" s="357"/>
      <c r="W4" s="357"/>
      <c r="X4" s="357"/>
      <c r="Y4" s="365" t="s">
        <v>25</v>
      </c>
      <c r="Z4" s="366"/>
      <c r="AA4" s="366"/>
      <c r="AB4" s="69" t="s">
        <v>14</v>
      </c>
      <c r="AC4" s="366" t="s">
        <v>15</v>
      </c>
      <c r="AD4" s="366"/>
      <c r="AE4" s="367" t="s">
        <v>367</v>
      </c>
      <c r="AF4" s="368"/>
      <c r="AG4" s="366" t="s">
        <v>368</v>
      </c>
      <c r="AH4" s="366"/>
      <c r="AI4" s="367" t="s">
        <v>369</v>
      </c>
      <c r="AJ4" s="368"/>
      <c r="AK4" s="366" t="s">
        <v>370</v>
      </c>
      <c r="AL4" s="366"/>
      <c r="AM4" s="366"/>
      <c r="AO4" s="91"/>
      <c r="AP4" s="360" t="s">
        <v>540</v>
      </c>
      <c r="AQ4" s="360"/>
      <c r="AR4" s="360"/>
      <c r="AS4" s="360"/>
      <c r="AT4" s="360"/>
      <c r="AU4" s="361"/>
      <c r="AV4" s="175"/>
      <c r="AW4" s="55"/>
      <c r="AX4" s="55"/>
    </row>
    <row r="5" spans="1:53" s="62" customFormat="1" ht="51" x14ac:dyDescent="0.2">
      <c r="A5" s="61" t="s">
        <v>1</v>
      </c>
      <c r="B5" s="67" t="s">
        <v>534</v>
      </c>
      <c r="C5" s="63" t="s">
        <v>371</v>
      </c>
      <c r="D5" s="63" t="s">
        <v>372</v>
      </c>
      <c r="E5" s="63" t="s">
        <v>373</v>
      </c>
      <c r="F5" s="63" t="s">
        <v>10</v>
      </c>
      <c r="G5" s="114" t="s">
        <v>535</v>
      </c>
      <c r="H5" s="68" t="s">
        <v>374</v>
      </c>
      <c r="I5" s="64" t="s">
        <v>21</v>
      </c>
      <c r="J5" s="64" t="s">
        <v>22</v>
      </c>
      <c r="K5" s="298" t="s">
        <v>21</v>
      </c>
      <c r="L5" s="122" t="s">
        <v>21</v>
      </c>
      <c r="M5" s="256" t="s">
        <v>22</v>
      </c>
      <c r="N5" s="123" t="s">
        <v>21</v>
      </c>
      <c r="O5" s="123" t="s">
        <v>22</v>
      </c>
      <c r="P5" s="122" t="s">
        <v>21</v>
      </c>
      <c r="Q5" s="256" t="s">
        <v>22</v>
      </c>
      <c r="R5" s="123" t="s">
        <v>21</v>
      </c>
      <c r="S5" s="256" t="s">
        <v>22</v>
      </c>
      <c r="T5" s="122" t="s">
        <v>23</v>
      </c>
      <c r="U5" s="123" t="s">
        <v>22</v>
      </c>
      <c r="V5" s="123" t="s">
        <v>375</v>
      </c>
      <c r="W5" s="123" t="s">
        <v>376</v>
      </c>
      <c r="X5" s="124" t="s">
        <v>377</v>
      </c>
      <c r="Y5" s="66" t="s">
        <v>21</v>
      </c>
      <c r="Z5" s="65" t="s">
        <v>27</v>
      </c>
      <c r="AA5" s="65" t="s">
        <v>28</v>
      </c>
      <c r="AB5" s="258" t="s">
        <v>21</v>
      </c>
      <c r="AC5" s="259" t="s">
        <v>21</v>
      </c>
      <c r="AD5" s="260" t="s">
        <v>22</v>
      </c>
      <c r="AE5" s="296" t="s">
        <v>21</v>
      </c>
      <c r="AF5" s="260" t="s">
        <v>22</v>
      </c>
      <c r="AG5" s="65" t="s">
        <v>21</v>
      </c>
      <c r="AH5" s="65" t="s">
        <v>22</v>
      </c>
      <c r="AI5" s="259" t="s">
        <v>21</v>
      </c>
      <c r="AJ5" s="70" t="s">
        <v>22</v>
      </c>
      <c r="AK5" s="259" t="s">
        <v>21</v>
      </c>
      <c r="AL5" s="296" t="s">
        <v>22</v>
      </c>
      <c r="AM5" s="296" t="s">
        <v>24</v>
      </c>
      <c r="AO5" s="61" t="s">
        <v>1</v>
      </c>
      <c r="AP5" s="174" t="s">
        <v>541</v>
      </c>
      <c r="AQ5" s="174" t="s">
        <v>15</v>
      </c>
      <c r="AR5" s="174" t="s">
        <v>367</v>
      </c>
      <c r="AS5" s="174" t="s">
        <v>368</v>
      </c>
      <c r="AT5" s="174" t="s">
        <v>369</v>
      </c>
      <c r="AU5" s="285" t="s">
        <v>542</v>
      </c>
      <c r="AV5" s="176" t="s">
        <v>543</v>
      </c>
      <c r="AW5" s="176" t="s">
        <v>562</v>
      </c>
      <c r="AX5" s="176"/>
    </row>
    <row r="6" spans="1:53" x14ac:dyDescent="0.2">
      <c r="A6" s="60" t="s">
        <v>94</v>
      </c>
      <c r="B6" s="107">
        <f t="shared" ref="B6:B37" si="0">+LFM</f>
        <v>0.25</v>
      </c>
      <c r="C6" s="297">
        <v>2009</v>
      </c>
      <c r="D6" s="103">
        <f>+LFM*VLOOKUP(+A6,'HUC11 data'!$E$6:$K$156,7,FALSE)</f>
        <v>0.08</v>
      </c>
      <c r="E6" s="103">
        <f t="shared" ref="E6:E37" si="1">+W6-AM6</f>
        <v>7.674954125116519E-3</v>
      </c>
      <c r="F6" s="113">
        <f t="shared" ref="F6:F37" si="2">IF(E6&gt;0,+E6/D6,"Net Gain")</f>
        <v>9.5936926563956484E-2</v>
      </c>
      <c r="G6" s="103">
        <f t="shared" ref="G6:G37" si="3">MAX(0,D6-E6)</f>
        <v>7.2325045874883476E-2</v>
      </c>
      <c r="H6" s="104" t="str">
        <f>+AW6</f>
        <v>Potable</v>
      </c>
      <c r="I6" s="76">
        <v>0</v>
      </c>
      <c r="J6" s="76">
        <v>0</v>
      </c>
      <c r="K6" s="77">
        <v>4.876412538257488E-2</v>
      </c>
      <c r="L6" s="78">
        <v>0</v>
      </c>
      <c r="M6" s="79">
        <v>0</v>
      </c>
      <c r="N6" s="76">
        <v>0</v>
      </c>
      <c r="O6" s="76">
        <v>0</v>
      </c>
      <c r="P6" s="78">
        <v>0</v>
      </c>
      <c r="Q6" s="79">
        <v>0</v>
      </c>
      <c r="R6" s="76">
        <v>0</v>
      </c>
      <c r="S6" s="76">
        <v>0</v>
      </c>
      <c r="T6" s="112">
        <f t="shared" ref="T6:T37" si="4">SUM(I6,K6,L6,N6,P6,R6)*0.9</f>
        <v>4.3887712844317396E-2</v>
      </c>
      <c r="U6" s="109">
        <f t="shared" ref="U6:U37" si="5">SUM(J6,M6,O6,Q6,S6)</f>
        <v>0</v>
      </c>
      <c r="V6" s="108">
        <f>VLOOKUP(+A6,'HUC11 data'!$E$6:$L$156,8,FALSE)</f>
        <v>0</v>
      </c>
      <c r="W6" s="108">
        <f t="shared" ref="W6:W37" si="6">SUM(T6:V6)</f>
        <v>4.3887712844317396E-2</v>
      </c>
      <c r="X6" s="282">
        <v>0</v>
      </c>
      <c r="Y6" s="257">
        <v>0</v>
      </c>
      <c r="Z6" s="257">
        <v>0</v>
      </c>
      <c r="AA6" s="257">
        <v>0</v>
      </c>
      <c r="AB6" s="80">
        <v>3.6212758719200877E-2</v>
      </c>
      <c r="AC6" s="81">
        <v>0</v>
      </c>
      <c r="AD6" s="82">
        <v>0</v>
      </c>
      <c r="AE6" s="257">
        <v>0</v>
      </c>
      <c r="AF6" s="257">
        <v>0</v>
      </c>
      <c r="AG6" s="314">
        <v>0</v>
      </c>
      <c r="AH6" s="315">
        <v>0</v>
      </c>
      <c r="AI6" s="257">
        <v>0</v>
      </c>
      <c r="AJ6" s="257">
        <v>0</v>
      </c>
      <c r="AK6" s="111">
        <f t="shared" ref="AK6:AK37" si="7">SUM(Y6,AB6,AC6,AE6,AG6,AI6)</f>
        <v>3.6212758719200877E-2</v>
      </c>
      <c r="AL6" s="110">
        <f t="shared" ref="AL6:AL37" si="8">SUM(Z6,AA6,AD6,AF6,AH6,AJ6)</f>
        <v>0</v>
      </c>
      <c r="AM6" s="110">
        <f t="shared" ref="AM6:AM37" si="9">SUM(AK6:AL6)</f>
        <v>3.6212758719200877E-2</v>
      </c>
      <c r="AN6" s="74"/>
      <c r="AO6" s="60" t="s">
        <v>94</v>
      </c>
      <c r="AP6" s="74">
        <f>+SUM(I6:K6)-SUM(Y6:AB6)</f>
        <v>1.2551366663374003E-2</v>
      </c>
      <c r="AQ6" s="74">
        <f>+SUM(L6:M6)-SUM(AC6:AD6)</f>
        <v>0</v>
      </c>
      <c r="AR6" s="74">
        <f>+SUM(N6:O6)-SUM(AE6:AF6)</f>
        <v>0</v>
      </c>
      <c r="AS6" s="74">
        <f>+SUM(P6:Q6)-SUM(AG6:AH6)</f>
        <v>0</v>
      </c>
      <c r="AT6" s="74">
        <f>+SUM(R6:S6)-SUM(AI6:AJ6)</f>
        <v>0</v>
      </c>
      <c r="AU6" s="286">
        <f>+V6</f>
        <v>0</v>
      </c>
      <c r="AV6" s="74">
        <f>MAX(AP6:AU6)</f>
        <v>1.2551366663374003E-2</v>
      </c>
      <c r="AW6" t="str">
        <f>VLOOKUP(+AX6,$AZ$6:$BA$11,2,FALSE)</f>
        <v>Potable</v>
      </c>
      <c r="AX6" s="179">
        <f>RANK(AV6,AP6:AU6)+MATCH(AV6,AP6:AU6,0)-1</f>
        <v>1</v>
      </c>
      <c r="AZ6">
        <v>1</v>
      </c>
      <c r="BA6" s="178" t="s">
        <v>545</v>
      </c>
    </row>
    <row r="7" spans="1:53" x14ac:dyDescent="0.2">
      <c r="A7" s="60" t="s">
        <v>96</v>
      </c>
      <c r="B7" s="107">
        <f t="shared" si="0"/>
        <v>0.25</v>
      </c>
      <c r="C7" s="297">
        <v>2002</v>
      </c>
      <c r="D7" s="103">
        <f>+LFM*VLOOKUP(+A7,'HUC11 data'!$E$6:$K$156,7,FALSE)</f>
        <v>2.10595</v>
      </c>
      <c r="E7" s="103">
        <f t="shared" si="1"/>
        <v>1.7671886863188129</v>
      </c>
      <c r="F7" s="113">
        <f t="shared" si="2"/>
        <v>0.83914085629706925</v>
      </c>
      <c r="G7" s="103">
        <f t="shared" si="3"/>
        <v>0.33876131368118712</v>
      </c>
      <c r="H7" s="104" t="str">
        <f t="shared" ref="H7:H70" si="10">+AW7</f>
        <v>Potable</v>
      </c>
      <c r="I7" s="76">
        <v>2.3693620258667525</v>
      </c>
      <c r="J7" s="76">
        <v>0.46540593413759368</v>
      </c>
      <c r="K7" s="77">
        <v>0.83838856551366547</v>
      </c>
      <c r="L7" s="78">
        <v>0.17799152266058038</v>
      </c>
      <c r="M7" s="79">
        <v>0</v>
      </c>
      <c r="N7" s="76">
        <v>0</v>
      </c>
      <c r="O7" s="76">
        <v>0</v>
      </c>
      <c r="P7" s="78">
        <v>0.32400825997174226</v>
      </c>
      <c r="Q7" s="79">
        <v>0.12536680795565699</v>
      </c>
      <c r="R7" s="76">
        <v>1.4998369742419301E-2</v>
      </c>
      <c r="S7" s="76">
        <v>0</v>
      </c>
      <c r="T7" s="112">
        <f t="shared" si="4"/>
        <v>3.3522738693796441</v>
      </c>
      <c r="U7" s="109">
        <f t="shared" si="5"/>
        <v>0.5907727420932507</v>
      </c>
      <c r="V7" s="108">
        <f>VLOOKUP(+A7,'HUC11 data'!$E$6:$L$156,8,FALSE)</f>
        <v>0</v>
      </c>
      <c r="W7" s="108">
        <f t="shared" si="6"/>
        <v>3.9430466114728948</v>
      </c>
      <c r="X7" s="283">
        <v>10.506749266384089</v>
      </c>
      <c r="Y7" s="257">
        <v>3.7306814476687311E-3</v>
      </c>
      <c r="Z7" s="257">
        <v>1.3295976524290836</v>
      </c>
      <c r="AA7" s="257">
        <v>0</v>
      </c>
      <c r="AB7" s="80">
        <v>0.62259479112833493</v>
      </c>
      <c r="AC7" s="81">
        <v>0.16014889659397097</v>
      </c>
      <c r="AD7" s="82">
        <v>0</v>
      </c>
      <c r="AE7" s="257">
        <v>0</v>
      </c>
      <c r="AF7" s="257">
        <v>0</v>
      </c>
      <c r="AG7" s="81">
        <v>3.2400833722133114E-2</v>
      </c>
      <c r="AH7" s="82">
        <v>1.2536683784543321E-2</v>
      </c>
      <c r="AI7" s="257">
        <v>1.4848386048347505E-2</v>
      </c>
      <c r="AJ7" s="257">
        <v>0</v>
      </c>
      <c r="AK7" s="111">
        <f t="shared" si="7"/>
        <v>0.83372358894045528</v>
      </c>
      <c r="AL7" s="110">
        <f t="shared" si="8"/>
        <v>1.3421343362136269</v>
      </c>
      <c r="AM7" s="110">
        <f t="shared" si="9"/>
        <v>2.1758579251540819</v>
      </c>
      <c r="AN7" s="74"/>
      <c r="AO7" s="60" t="s">
        <v>96</v>
      </c>
      <c r="AP7" s="74">
        <f t="shared" ref="AP7:AP16" si="11">+SUM(I7:K7)-SUM(Y7:AB7)</f>
        <v>1.7172334005129242</v>
      </c>
      <c r="AQ7" s="74">
        <f t="shared" ref="AQ7:AQ16" si="12">+SUM(L7:M7)-SUM(AC7:AD7)</f>
        <v>1.7842626066609413E-2</v>
      </c>
      <c r="AR7" s="74">
        <f t="shared" ref="AR7:AR16" si="13">+SUM(N7:O7)-SUM(AE7:AF7)</f>
        <v>0</v>
      </c>
      <c r="AS7" s="74">
        <f t="shared" ref="AS7:AS16" si="14">+SUM(P7:Q7)-SUM(AG7:AH7)</f>
        <v>0.40443755042072282</v>
      </c>
      <c r="AT7" s="74">
        <f t="shared" ref="AT7:AT16" si="15">+SUM(R7:S7)-SUM(AI7:AJ7)</f>
        <v>1.4998369407179593E-4</v>
      </c>
      <c r="AU7" s="286">
        <f t="shared" ref="AU7:AU16" si="16">+V7</f>
        <v>0</v>
      </c>
      <c r="AV7" s="74">
        <f t="shared" ref="AV7:AV16" si="17">MAX(AP7:AU7)</f>
        <v>1.7172334005129242</v>
      </c>
      <c r="AW7" t="str">
        <f t="shared" ref="AW7:AW70" si="18">VLOOKUP(+AX7,$AZ$6:$BA$11,2,FALSE)</f>
        <v>Potable</v>
      </c>
      <c r="AX7" s="179">
        <f t="shared" ref="AX7:AX16" si="19">RANK(AV7,AP7:AU7)+MATCH(AV7,AP7:AU7,0)-1</f>
        <v>1</v>
      </c>
      <c r="AZ7">
        <v>2</v>
      </c>
      <c r="BA7" s="317" t="s">
        <v>596</v>
      </c>
    </row>
    <row r="8" spans="1:53" x14ac:dyDescent="0.2">
      <c r="A8" s="60" t="s">
        <v>98</v>
      </c>
      <c r="B8" s="107">
        <f t="shared" si="0"/>
        <v>0.25</v>
      </c>
      <c r="C8" s="297">
        <v>2004</v>
      </c>
      <c r="D8" s="103">
        <f>+LFM*VLOOKUP(+A8,'HUC11 data'!$E$6:$K$156,7,FALSE)</f>
        <v>1.2424999999999999</v>
      </c>
      <c r="E8" s="103">
        <f t="shared" si="1"/>
        <v>1.0388592729151866</v>
      </c>
      <c r="F8" s="113">
        <f t="shared" si="2"/>
        <v>0.83610404258767546</v>
      </c>
      <c r="G8" s="103">
        <f t="shared" si="3"/>
        <v>0.20364072708481329</v>
      </c>
      <c r="H8" s="104" t="str">
        <f t="shared" si="10"/>
        <v>Potable</v>
      </c>
      <c r="I8" s="76">
        <v>0</v>
      </c>
      <c r="J8" s="76">
        <v>0.90381480273883263</v>
      </c>
      <c r="K8" s="77">
        <v>0.90811833259889962</v>
      </c>
      <c r="L8" s="78">
        <v>0</v>
      </c>
      <c r="M8" s="79">
        <v>0</v>
      </c>
      <c r="N8" s="76">
        <v>0</v>
      </c>
      <c r="O8" s="76">
        <v>0</v>
      </c>
      <c r="P8" s="78">
        <v>0</v>
      </c>
      <c r="Q8" s="79">
        <v>0</v>
      </c>
      <c r="R8" s="76">
        <v>0</v>
      </c>
      <c r="S8" s="76">
        <v>0</v>
      </c>
      <c r="T8" s="112">
        <f t="shared" si="4"/>
        <v>0.81730649933900967</v>
      </c>
      <c r="U8" s="109">
        <f t="shared" si="5"/>
        <v>0.90381480273883263</v>
      </c>
      <c r="V8" s="108">
        <f>VLOOKUP(+A8,'HUC11 data'!$E$6:$L$156,8,FALSE)</f>
        <v>0</v>
      </c>
      <c r="W8" s="108">
        <f t="shared" si="6"/>
        <v>1.7211213020778424</v>
      </c>
      <c r="X8" s="283">
        <v>0</v>
      </c>
      <c r="Y8" s="257">
        <v>0</v>
      </c>
      <c r="Z8" s="257">
        <v>7.882947505705902E-3</v>
      </c>
      <c r="AA8" s="257">
        <v>0</v>
      </c>
      <c r="AB8" s="80">
        <v>0.67437908165694982</v>
      </c>
      <c r="AC8" s="81">
        <v>0</v>
      </c>
      <c r="AD8" s="82">
        <v>0</v>
      </c>
      <c r="AE8" s="257">
        <v>0</v>
      </c>
      <c r="AF8" s="257">
        <v>0</v>
      </c>
      <c r="AG8" s="81">
        <v>0</v>
      </c>
      <c r="AH8" s="82">
        <v>0</v>
      </c>
      <c r="AI8" s="257">
        <v>0</v>
      </c>
      <c r="AJ8" s="257">
        <v>0</v>
      </c>
      <c r="AK8" s="111">
        <f t="shared" si="7"/>
        <v>0.67437908165694982</v>
      </c>
      <c r="AL8" s="110">
        <f t="shared" si="8"/>
        <v>7.882947505705902E-3</v>
      </c>
      <c r="AM8" s="110">
        <f t="shared" si="9"/>
        <v>0.68226202916265577</v>
      </c>
      <c r="AN8" s="74"/>
      <c r="AO8" s="60" t="s">
        <v>98</v>
      </c>
      <c r="AP8" s="74">
        <f t="shared" si="11"/>
        <v>1.1296711061750766</v>
      </c>
      <c r="AQ8" s="74">
        <f t="shared" si="12"/>
        <v>0</v>
      </c>
      <c r="AR8" s="74">
        <f t="shared" si="13"/>
        <v>0</v>
      </c>
      <c r="AS8" s="74">
        <f t="shared" si="14"/>
        <v>0</v>
      </c>
      <c r="AT8" s="74">
        <f t="shared" si="15"/>
        <v>0</v>
      </c>
      <c r="AU8" s="286">
        <f t="shared" si="16"/>
        <v>0</v>
      </c>
      <c r="AV8" s="74">
        <f t="shared" si="17"/>
        <v>1.1296711061750766</v>
      </c>
      <c r="AW8" t="str">
        <f t="shared" si="18"/>
        <v>Potable</v>
      </c>
      <c r="AX8" s="179">
        <f t="shared" si="19"/>
        <v>1</v>
      </c>
      <c r="AZ8">
        <v>3</v>
      </c>
      <c r="BA8" s="178" t="s">
        <v>367</v>
      </c>
    </row>
    <row r="9" spans="1:53" x14ac:dyDescent="0.2">
      <c r="A9" s="60" t="s">
        <v>100</v>
      </c>
      <c r="B9" s="107">
        <f t="shared" si="0"/>
        <v>0.25</v>
      </c>
      <c r="C9" s="297">
        <v>2009</v>
      </c>
      <c r="D9" s="103">
        <f>+LFM*VLOOKUP(+A9,'HUC11 data'!$E$6:$K$156,7,FALSE)</f>
        <v>0.82012499999999999</v>
      </c>
      <c r="E9" s="103">
        <f t="shared" si="1"/>
        <v>0.22571339019600156</v>
      </c>
      <c r="F9" s="113">
        <f t="shared" si="2"/>
        <v>0.27521827794055975</v>
      </c>
      <c r="G9" s="103">
        <f t="shared" si="3"/>
        <v>0.59441160980399843</v>
      </c>
      <c r="H9" s="104" t="str">
        <f t="shared" si="10"/>
        <v>Potable</v>
      </c>
      <c r="I9" s="76">
        <v>0.13065034235409195</v>
      </c>
      <c r="J9" s="76">
        <v>0</v>
      </c>
      <c r="K9" s="77">
        <v>0.77847329351894468</v>
      </c>
      <c r="L9" s="78">
        <v>0</v>
      </c>
      <c r="M9" s="79">
        <v>0</v>
      </c>
      <c r="N9" s="76">
        <v>0</v>
      </c>
      <c r="O9" s="76">
        <v>0</v>
      </c>
      <c r="P9" s="78">
        <v>0</v>
      </c>
      <c r="Q9" s="79">
        <v>0</v>
      </c>
      <c r="R9" s="76">
        <v>0</v>
      </c>
      <c r="S9" s="76">
        <v>0</v>
      </c>
      <c r="T9" s="112">
        <f t="shared" si="4"/>
        <v>0.81821127228573298</v>
      </c>
      <c r="U9" s="109">
        <f t="shared" si="5"/>
        <v>0</v>
      </c>
      <c r="V9" s="108">
        <f>VLOOKUP(+A9,'HUC11 data'!$E$6:$L$156,8,FALSE)</f>
        <v>0</v>
      </c>
      <c r="W9" s="108">
        <f t="shared" si="6"/>
        <v>0.81821127228573298</v>
      </c>
      <c r="X9" s="283">
        <v>0</v>
      </c>
      <c r="Y9" s="257">
        <v>0</v>
      </c>
      <c r="Z9" s="257">
        <v>1.4743723508314313E-2</v>
      </c>
      <c r="AA9" s="257">
        <v>0</v>
      </c>
      <c r="AB9" s="80">
        <v>0.5777541585814171</v>
      </c>
      <c r="AC9" s="81">
        <v>0</v>
      </c>
      <c r="AD9" s="82">
        <v>0</v>
      </c>
      <c r="AE9" s="257">
        <v>0</v>
      </c>
      <c r="AF9" s="257">
        <v>0</v>
      </c>
      <c r="AG9" s="81">
        <v>0</v>
      </c>
      <c r="AH9" s="82">
        <v>0</v>
      </c>
      <c r="AI9" s="257">
        <v>0</v>
      </c>
      <c r="AJ9" s="257">
        <v>0</v>
      </c>
      <c r="AK9" s="111">
        <f t="shared" si="7"/>
        <v>0.5777541585814171</v>
      </c>
      <c r="AL9" s="110">
        <f t="shared" si="8"/>
        <v>1.4743723508314313E-2</v>
      </c>
      <c r="AM9" s="110">
        <f t="shared" si="9"/>
        <v>0.59249788208973142</v>
      </c>
      <c r="AN9" s="74"/>
      <c r="AO9" s="60" t="s">
        <v>100</v>
      </c>
      <c r="AP9" s="74">
        <f t="shared" si="11"/>
        <v>0.31662575378330515</v>
      </c>
      <c r="AQ9" s="74">
        <f t="shared" si="12"/>
        <v>0</v>
      </c>
      <c r="AR9" s="74">
        <f t="shared" si="13"/>
        <v>0</v>
      </c>
      <c r="AS9" s="74">
        <f t="shared" si="14"/>
        <v>0</v>
      </c>
      <c r="AT9" s="74">
        <f t="shared" si="15"/>
        <v>0</v>
      </c>
      <c r="AU9" s="286">
        <f t="shared" si="16"/>
        <v>0</v>
      </c>
      <c r="AV9" s="74">
        <f t="shared" si="17"/>
        <v>0.31662575378330515</v>
      </c>
      <c r="AW9" t="str">
        <f t="shared" si="18"/>
        <v>Potable</v>
      </c>
      <c r="AX9" s="179">
        <f t="shared" si="19"/>
        <v>1</v>
      </c>
      <c r="AZ9">
        <v>4</v>
      </c>
      <c r="BA9" s="178" t="s">
        <v>368</v>
      </c>
    </row>
    <row r="10" spans="1:53" x14ac:dyDescent="0.2">
      <c r="A10" s="60" t="s">
        <v>102</v>
      </c>
      <c r="B10" s="107">
        <f t="shared" si="0"/>
        <v>0.25</v>
      </c>
      <c r="C10" s="297">
        <v>2005</v>
      </c>
      <c r="D10" s="103">
        <f>+LFM*VLOOKUP(+A10,'HUC11 data'!$E$6:$K$156,7,FALSE)</f>
        <v>3.9564750000000002</v>
      </c>
      <c r="E10" s="103">
        <f t="shared" si="1"/>
        <v>0.98255490878906504</v>
      </c>
      <c r="F10" s="113">
        <f t="shared" si="2"/>
        <v>0.24834098756824319</v>
      </c>
      <c r="G10" s="103">
        <f t="shared" si="3"/>
        <v>2.9739200912109354</v>
      </c>
      <c r="H10" s="104" t="str">
        <f t="shared" si="10"/>
        <v>Potable</v>
      </c>
      <c r="I10" s="76">
        <v>0.77522106292794268</v>
      </c>
      <c r="J10" s="76">
        <v>3.5865666775350504E-3</v>
      </c>
      <c r="K10" s="77">
        <v>1.5663086569949813</v>
      </c>
      <c r="L10" s="78">
        <v>0.30808064340832519</v>
      </c>
      <c r="M10" s="79">
        <v>0</v>
      </c>
      <c r="N10" s="76">
        <v>0</v>
      </c>
      <c r="O10" s="76">
        <v>0</v>
      </c>
      <c r="P10" s="78">
        <v>0</v>
      </c>
      <c r="Q10" s="79">
        <v>8.4773394196283006E-2</v>
      </c>
      <c r="R10" s="76">
        <v>0</v>
      </c>
      <c r="S10" s="76">
        <v>0</v>
      </c>
      <c r="T10" s="112">
        <f t="shared" si="4"/>
        <v>2.3846493269981242</v>
      </c>
      <c r="U10" s="109">
        <f t="shared" si="5"/>
        <v>8.8359960873818061E-2</v>
      </c>
      <c r="V10" s="108">
        <f>VLOOKUP(+A10,'HUC11 data'!$E$6:$L$156,8,FALSE)</f>
        <v>0</v>
      </c>
      <c r="W10" s="108">
        <f t="shared" si="6"/>
        <v>2.4730092878719421</v>
      </c>
      <c r="X10" s="283">
        <v>0</v>
      </c>
      <c r="Y10" s="257">
        <v>7.1229595696119981E-3</v>
      </c>
      <c r="Z10" s="257">
        <v>3.6025432018258886E-3</v>
      </c>
      <c r="AA10" s="257">
        <v>0</v>
      </c>
      <c r="AB10" s="80">
        <v>1.1631708914623304</v>
      </c>
      <c r="AC10" s="81">
        <v>0.30808064340832519</v>
      </c>
      <c r="AD10" s="82">
        <v>0</v>
      </c>
      <c r="AE10" s="257">
        <v>0</v>
      </c>
      <c r="AF10" s="257">
        <v>0</v>
      </c>
      <c r="AG10" s="81">
        <v>0</v>
      </c>
      <c r="AH10" s="82">
        <v>8.4773414407835201E-3</v>
      </c>
      <c r="AI10" s="257">
        <v>0</v>
      </c>
      <c r="AJ10" s="257">
        <v>0</v>
      </c>
      <c r="AK10" s="111">
        <f t="shared" si="7"/>
        <v>1.4783744944402677</v>
      </c>
      <c r="AL10" s="110">
        <f t="shared" si="8"/>
        <v>1.2079884642609409E-2</v>
      </c>
      <c r="AM10" s="110">
        <f t="shared" si="9"/>
        <v>1.490454379082877</v>
      </c>
      <c r="AN10" s="74"/>
      <c r="AO10" s="60" t="s">
        <v>102</v>
      </c>
      <c r="AP10" s="74">
        <f t="shared" si="11"/>
        <v>1.1712198923666906</v>
      </c>
      <c r="AQ10" s="74">
        <f t="shared" si="12"/>
        <v>0</v>
      </c>
      <c r="AR10" s="74">
        <f t="shared" si="13"/>
        <v>0</v>
      </c>
      <c r="AS10" s="74">
        <f t="shared" si="14"/>
        <v>7.6296052755499486E-2</v>
      </c>
      <c r="AT10" s="74">
        <f t="shared" si="15"/>
        <v>0</v>
      </c>
      <c r="AU10" s="286">
        <f t="shared" si="16"/>
        <v>0</v>
      </c>
      <c r="AV10" s="74">
        <f t="shared" si="17"/>
        <v>1.1712198923666906</v>
      </c>
      <c r="AW10" t="str">
        <f t="shared" si="18"/>
        <v>Potable</v>
      </c>
      <c r="AX10" s="179">
        <f t="shared" si="19"/>
        <v>1</v>
      </c>
      <c r="AZ10">
        <v>5</v>
      </c>
      <c r="BA10" s="178" t="s">
        <v>369</v>
      </c>
    </row>
    <row r="11" spans="1:53" x14ac:dyDescent="0.2">
      <c r="A11" s="60" t="s">
        <v>119</v>
      </c>
      <c r="B11" s="107">
        <f t="shared" si="0"/>
        <v>0.25</v>
      </c>
      <c r="C11" s="297">
        <v>2005</v>
      </c>
      <c r="D11" s="103">
        <f>+LFM*VLOOKUP(+A11,'HUC11 data'!$E$6:$K$156,7,FALSE)</f>
        <v>1.6025</v>
      </c>
      <c r="E11" s="103">
        <f t="shared" si="1"/>
        <v>-22.898820101754943</v>
      </c>
      <c r="F11" s="113" t="str">
        <f t="shared" si="2"/>
        <v>Net Gain</v>
      </c>
      <c r="G11" s="103">
        <f t="shared" si="3"/>
        <v>24.501320101754942</v>
      </c>
      <c r="H11" s="104" t="str">
        <f t="shared" si="10"/>
        <v>Non-Ag Irr</v>
      </c>
      <c r="I11" s="76">
        <v>0</v>
      </c>
      <c r="J11" s="76">
        <v>0</v>
      </c>
      <c r="K11" s="77">
        <v>2.2065807780666514E-2</v>
      </c>
      <c r="L11" s="78">
        <v>0</v>
      </c>
      <c r="M11" s="79">
        <v>0</v>
      </c>
      <c r="N11" s="76">
        <v>0</v>
      </c>
      <c r="O11" s="76">
        <v>0</v>
      </c>
      <c r="P11" s="78">
        <v>1.7389414194109335E-2</v>
      </c>
      <c r="Q11" s="79">
        <v>2.6084121291164004E-2</v>
      </c>
      <c r="R11" s="76">
        <v>0</v>
      </c>
      <c r="S11" s="76">
        <v>0</v>
      </c>
      <c r="T11" s="112">
        <f t="shared" si="4"/>
        <v>3.5509699777298266E-2</v>
      </c>
      <c r="U11" s="109">
        <f t="shared" si="5"/>
        <v>2.6084121291164004E-2</v>
      </c>
      <c r="V11" s="108">
        <f>VLOOKUP(+A11,'HUC11 data'!$E$6:$L$156,8,FALSE)</f>
        <v>0</v>
      </c>
      <c r="W11" s="108">
        <f t="shared" si="6"/>
        <v>6.1593821068462271E-2</v>
      </c>
      <c r="X11" s="283">
        <v>0.2872513857189436</v>
      </c>
      <c r="Y11" s="257">
        <v>0</v>
      </c>
      <c r="Z11" s="257">
        <v>0</v>
      </c>
      <c r="AA11" s="257">
        <v>22.939680469514183</v>
      </c>
      <c r="AB11" s="80">
        <v>1.6386098724206415E-2</v>
      </c>
      <c r="AC11" s="81">
        <v>0</v>
      </c>
      <c r="AD11" s="82">
        <v>0</v>
      </c>
      <c r="AE11" s="257">
        <v>0</v>
      </c>
      <c r="AF11" s="257">
        <v>0</v>
      </c>
      <c r="AG11" s="81">
        <v>1.7389418340068756E-3</v>
      </c>
      <c r="AH11" s="82">
        <v>2.6084127510103139E-3</v>
      </c>
      <c r="AI11" s="257">
        <v>0</v>
      </c>
      <c r="AJ11" s="257">
        <v>0</v>
      </c>
      <c r="AK11" s="111">
        <f t="shared" si="7"/>
        <v>1.812504055821329E-2</v>
      </c>
      <c r="AL11" s="110">
        <f t="shared" si="8"/>
        <v>22.942288882265192</v>
      </c>
      <c r="AM11" s="110">
        <f t="shared" si="9"/>
        <v>22.960413922823406</v>
      </c>
      <c r="AN11" s="74"/>
      <c r="AO11" s="60" t="s">
        <v>119</v>
      </c>
      <c r="AP11" s="74">
        <f t="shared" si="11"/>
        <v>-22.934000760457725</v>
      </c>
      <c r="AQ11" s="74">
        <f t="shared" si="12"/>
        <v>0</v>
      </c>
      <c r="AR11" s="74">
        <f t="shared" si="13"/>
        <v>0</v>
      </c>
      <c r="AS11" s="74">
        <f t="shared" si="14"/>
        <v>3.9126180900256151E-2</v>
      </c>
      <c r="AT11" s="74">
        <f t="shared" si="15"/>
        <v>0</v>
      </c>
      <c r="AU11" s="286">
        <f t="shared" si="16"/>
        <v>0</v>
      </c>
      <c r="AV11" s="74">
        <f t="shared" si="17"/>
        <v>3.9126180900256151E-2</v>
      </c>
      <c r="AW11" t="str">
        <f t="shared" si="18"/>
        <v>Non-Ag Irr</v>
      </c>
      <c r="AX11" s="179">
        <f t="shared" si="19"/>
        <v>4</v>
      </c>
      <c r="AZ11">
        <v>6</v>
      </c>
      <c r="BA11" s="178" t="s">
        <v>542</v>
      </c>
    </row>
    <row r="12" spans="1:53" x14ac:dyDescent="0.2">
      <c r="A12" s="60" t="s">
        <v>126</v>
      </c>
      <c r="B12" s="107">
        <f t="shared" si="0"/>
        <v>0.25</v>
      </c>
      <c r="C12" s="297">
        <v>2007</v>
      </c>
      <c r="D12" s="103">
        <f>+LFM*VLOOKUP(+A12,'HUC11 data'!$E$6:$K$156,7,FALSE)</f>
        <v>5.6619999999999999</v>
      </c>
      <c r="E12" s="103">
        <f t="shared" si="1"/>
        <v>11.340326774888549</v>
      </c>
      <c r="F12" s="113">
        <f t="shared" si="2"/>
        <v>2.0028835702734988</v>
      </c>
      <c r="G12" s="103">
        <f t="shared" si="3"/>
        <v>0</v>
      </c>
      <c r="H12" s="104" t="str">
        <f t="shared" si="10"/>
        <v>Potable</v>
      </c>
      <c r="I12" s="76">
        <v>24.736615585262474</v>
      </c>
      <c r="J12" s="76">
        <v>0</v>
      </c>
      <c r="K12" s="77">
        <v>1.2072541970870032</v>
      </c>
      <c r="L12" s="78">
        <v>1.2448646886208019</v>
      </c>
      <c r="M12" s="79">
        <v>1.1737854581023801E-2</v>
      </c>
      <c r="N12" s="76">
        <v>0</v>
      </c>
      <c r="O12" s="76">
        <v>0</v>
      </c>
      <c r="P12" s="78">
        <v>0.62703510487990421</v>
      </c>
      <c r="Q12" s="79">
        <v>0.43853928920769475</v>
      </c>
      <c r="R12" s="76">
        <v>0</v>
      </c>
      <c r="S12" s="76">
        <v>0</v>
      </c>
      <c r="T12" s="112">
        <f t="shared" si="4"/>
        <v>25.034192618265166</v>
      </c>
      <c r="U12" s="109">
        <f t="shared" si="5"/>
        <v>0.45027714378871853</v>
      </c>
      <c r="V12" s="108">
        <f>VLOOKUP(+A12,'HUC11 data'!$E$6:$L$156,8,FALSE)</f>
        <v>0</v>
      </c>
      <c r="W12" s="108">
        <f t="shared" si="6"/>
        <v>25.484469762053884</v>
      </c>
      <c r="X12" s="283">
        <v>75.670231496576463</v>
      </c>
      <c r="Y12" s="257">
        <v>2.21014020215194E-2</v>
      </c>
      <c r="Z12" s="257">
        <v>11.969799478317572</v>
      </c>
      <c r="AA12" s="257">
        <v>0</v>
      </c>
      <c r="AB12" s="80">
        <v>0.89652694336328909</v>
      </c>
      <c r="AC12" s="81">
        <v>1.1385936295434893</v>
      </c>
      <c r="AD12" s="82">
        <v>1.0564069105430654E-2</v>
      </c>
      <c r="AE12" s="257">
        <v>0</v>
      </c>
      <c r="AF12" s="257">
        <v>0</v>
      </c>
      <c r="AG12" s="81">
        <v>6.2703525437672311E-2</v>
      </c>
      <c r="AH12" s="82">
        <v>4.3853939376360895E-2</v>
      </c>
      <c r="AI12" s="257">
        <v>0</v>
      </c>
      <c r="AJ12" s="257">
        <v>0</v>
      </c>
      <c r="AK12" s="111">
        <f t="shared" si="7"/>
        <v>2.1199255003659703</v>
      </c>
      <c r="AL12" s="110">
        <f t="shared" si="8"/>
        <v>12.024217486799364</v>
      </c>
      <c r="AM12" s="110">
        <f t="shared" si="9"/>
        <v>14.144142987165335</v>
      </c>
      <c r="AN12" s="74"/>
      <c r="AO12" s="60" t="s">
        <v>126</v>
      </c>
      <c r="AP12" s="74">
        <f t="shared" si="11"/>
        <v>13.055441958647096</v>
      </c>
      <c r="AQ12" s="74">
        <f t="shared" si="12"/>
        <v>0.10744484455290571</v>
      </c>
      <c r="AR12" s="74">
        <f t="shared" si="13"/>
        <v>0</v>
      </c>
      <c r="AS12" s="74">
        <f t="shared" si="14"/>
        <v>0.95901692927356585</v>
      </c>
      <c r="AT12" s="74">
        <f t="shared" si="15"/>
        <v>0</v>
      </c>
      <c r="AU12" s="286">
        <f t="shared" si="16"/>
        <v>0</v>
      </c>
      <c r="AV12" s="74">
        <f t="shared" si="17"/>
        <v>13.055441958647096</v>
      </c>
      <c r="AW12" t="str">
        <f t="shared" si="18"/>
        <v>Potable</v>
      </c>
      <c r="AX12" s="179">
        <f t="shared" si="19"/>
        <v>1</v>
      </c>
    </row>
    <row r="13" spans="1:53" x14ac:dyDescent="0.2">
      <c r="A13" s="60" t="s">
        <v>128</v>
      </c>
      <c r="B13" s="107">
        <f t="shared" si="0"/>
        <v>0.25</v>
      </c>
      <c r="C13" s="297">
        <v>2001</v>
      </c>
      <c r="D13" s="103">
        <f>+LFM*VLOOKUP(+A13,'HUC11 data'!$E$6:$K$156,7,FALSE)</f>
        <v>3.0450750000000002</v>
      </c>
      <c r="E13" s="103">
        <f t="shared" si="1"/>
        <v>15.053605568041569</v>
      </c>
      <c r="F13" s="113">
        <f t="shared" si="2"/>
        <v>4.9435910669003444</v>
      </c>
      <c r="G13" s="103">
        <f t="shared" si="3"/>
        <v>0</v>
      </c>
      <c r="H13" s="104" t="str">
        <f t="shared" si="10"/>
        <v>Potable</v>
      </c>
      <c r="I13" s="76">
        <v>22.293011629170739</v>
      </c>
      <c r="J13" s="76">
        <v>0</v>
      </c>
      <c r="K13" s="77">
        <v>0.30355420361331237</v>
      </c>
      <c r="L13" s="78">
        <v>1.3598521899793501</v>
      </c>
      <c r="M13" s="79">
        <v>0</v>
      </c>
      <c r="N13" s="76">
        <v>0</v>
      </c>
      <c r="O13" s="76">
        <v>0</v>
      </c>
      <c r="P13" s="78">
        <v>1.2557439408759918</v>
      </c>
      <c r="Q13" s="79">
        <v>2.8529507662210629E-2</v>
      </c>
      <c r="R13" s="76">
        <v>0</v>
      </c>
      <c r="S13" s="76">
        <v>0</v>
      </c>
      <c r="T13" s="112">
        <f t="shared" si="4"/>
        <v>22.690945767275455</v>
      </c>
      <c r="U13" s="109">
        <f t="shared" si="5"/>
        <v>2.8529507662210629E-2</v>
      </c>
      <c r="V13" s="108">
        <f>VLOOKUP(+A13,'HUC11 data'!$E$6:$L$156,8,FALSE)</f>
        <v>0</v>
      </c>
      <c r="W13" s="108">
        <f t="shared" si="6"/>
        <v>22.719475274937665</v>
      </c>
      <c r="X13" s="283">
        <v>2.2317900228236058</v>
      </c>
      <c r="Y13" s="257">
        <v>0</v>
      </c>
      <c r="Z13" s="257">
        <v>6.1010042386697103</v>
      </c>
      <c r="AA13" s="257">
        <v>0</v>
      </c>
      <c r="AB13" s="80">
        <v>0.22542298774691144</v>
      </c>
      <c r="AC13" s="81">
        <v>1.2110151050061897</v>
      </c>
      <c r="AD13" s="82">
        <v>0</v>
      </c>
      <c r="AE13" s="257">
        <v>0</v>
      </c>
      <c r="AF13" s="257">
        <v>0</v>
      </c>
      <c r="AG13" s="81">
        <v>0.12557442402686778</v>
      </c>
      <c r="AH13" s="82">
        <v>2.8529514464175308E-3</v>
      </c>
      <c r="AI13" s="257">
        <v>0</v>
      </c>
      <c r="AJ13" s="257">
        <v>0</v>
      </c>
      <c r="AK13" s="111">
        <f t="shared" si="7"/>
        <v>1.5620125167799688</v>
      </c>
      <c r="AL13" s="110">
        <f t="shared" si="8"/>
        <v>6.1038571901161278</v>
      </c>
      <c r="AM13" s="110">
        <f t="shared" si="9"/>
        <v>7.6658697068960961</v>
      </c>
      <c r="AN13" s="74"/>
      <c r="AO13" s="60" t="s">
        <v>128</v>
      </c>
      <c r="AP13" s="74">
        <f t="shared" si="11"/>
        <v>16.270138606367428</v>
      </c>
      <c r="AQ13" s="74">
        <f t="shared" si="12"/>
        <v>0.14883708497316039</v>
      </c>
      <c r="AR13" s="74">
        <f t="shared" si="13"/>
        <v>0</v>
      </c>
      <c r="AS13" s="74">
        <f t="shared" si="14"/>
        <v>1.1558460730649172</v>
      </c>
      <c r="AT13" s="74">
        <f t="shared" si="15"/>
        <v>0</v>
      </c>
      <c r="AU13" s="286">
        <f t="shared" si="16"/>
        <v>0</v>
      </c>
      <c r="AV13" s="74">
        <f t="shared" si="17"/>
        <v>16.270138606367428</v>
      </c>
      <c r="AW13" t="str">
        <f t="shared" si="18"/>
        <v>Potable</v>
      </c>
      <c r="AX13" s="179">
        <f t="shared" si="19"/>
        <v>1</v>
      </c>
    </row>
    <row r="14" spans="1:53" x14ac:dyDescent="0.2">
      <c r="A14" s="60" t="s">
        <v>130</v>
      </c>
      <c r="B14" s="107">
        <f t="shared" si="0"/>
        <v>0.25</v>
      </c>
      <c r="C14" s="297">
        <v>2001</v>
      </c>
      <c r="D14" s="103">
        <f>+LFM*VLOOKUP(+A14,'HUC11 data'!$E$6:$K$156,7,FALSE)</f>
        <v>5.6220249999999998</v>
      </c>
      <c r="E14" s="103">
        <f t="shared" si="1"/>
        <v>-6.891024536399339</v>
      </c>
      <c r="F14" s="113" t="str">
        <f t="shared" si="2"/>
        <v>Net Gain</v>
      </c>
      <c r="G14" s="103">
        <f t="shared" si="3"/>
        <v>12.51304953639934</v>
      </c>
      <c r="H14" s="104" t="str">
        <f t="shared" si="10"/>
        <v>ICM</v>
      </c>
      <c r="I14" s="76">
        <v>11.661797630692316</v>
      </c>
      <c r="J14" s="76">
        <v>2.243593087707858</v>
      </c>
      <c r="K14" s="77">
        <v>2.8317678856202546</v>
      </c>
      <c r="L14" s="78">
        <v>0.75883056189544607</v>
      </c>
      <c r="M14" s="79">
        <v>0.73361591131398762</v>
      </c>
      <c r="N14" s="76">
        <v>0</v>
      </c>
      <c r="O14" s="76">
        <v>2.7388327355722204E-3</v>
      </c>
      <c r="P14" s="78">
        <v>6.4666884034344091E-2</v>
      </c>
      <c r="Q14" s="79">
        <v>5.8330616237365497E-2</v>
      </c>
      <c r="R14" s="76">
        <v>0</v>
      </c>
      <c r="S14" s="76">
        <v>0</v>
      </c>
      <c r="T14" s="112">
        <f t="shared" si="4"/>
        <v>13.785356666018124</v>
      </c>
      <c r="U14" s="109">
        <f t="shared" si="5"/>
        <v>3.0382784479947835</v>
      </c>
      <c r="V14" s="108">
        <f>VLOOKUP(+A14,'HUC11 data'!$E$6:$L$156,8,FALSE)</f>
        <v>0</v>
      </c>
      <c r="W14" s="108">
        <f t="shared" si="6"/>
        <v>16.823635114012909</v>
      </c>
      <c r="X14" s="283">
        <v>586.16729703293117</v>
      </c>
      <c r="Y14" s="257">
        <v>1.3459406586240625E-3</v>
      </c>
      <c r="Z14" s="257">
        <v>20.485025105966741</v>
      </c>
      <c r="AA14" s="257">
        <v>0</v>
      </c>
      <c r="AB14" s="80">
        <v>2.1028967952736939</v>
      </c>
      <c r="AC14" s="81">
        <v>0.67493098630404791</v>
      </c>
      <c r="AD14" s="82">
        <v>0.43788718591062492</v>
      </c>
      <c r="AE14" s="257">
        <v>0</v>
      </c>
      <c r="AF14" s="257">
        <v>2.7388333885608294E-4</v>
      </c>
      <c r="AG14" s="81">
        <v>6.4666899452130696E-3</v>
      </c>
      <c r="AH14" s="82">
        <v>5.8330630144468138E-3</v>
      </c>
      <c r="AI14" s="257">
        <v>0</v>
      </c>
      <c r="AJ14" s="257">
        <v>0</v>
      </c>
      <c r="AK14" s="111">
        <f t="shared" si="7"/>
        <v>2.785640412181579</v>
      </c>
      <c r="AL14" s="110">
        <f t="shared" si="8"/>
        <v>20.929019238230669</v>
      </c>
      <c r="AM14" s="110">
        <f t="shared" si="9"/>
        <v>23.714659650412248</v>
      </c>
      <c r="AN14" s="74"/>
      <c r="AO14" s="60" t="s">
        <v>130</v>
      </c>
      <c r="AP14" s="74">
        <f t="shared" si="11"/>
        <v>-5.8521092378786292</v>
      </c>
      <c r="AQ14" s="74">
        <f t="shared" si="12"/>
        <v>0.37962830099476075</v>
      </c>
      <c r="AR14" s="74">
        <f t="shared" si="13"/>
        <v>2.4649493967161375E-3</v>
      </c>
      <c r="AS14" s="74">
        <f t="shared" si="14"/>
        <v>0.1106977473120497</v>
      </c>
      <c r="AT14" s="74">
        <f t="shared" si="15"/>
        <v>0</v>
      </c>
      <c r="AU14" s="286">
        <f t="shared" si="16"/>
        <v>0</v>
      </c>
      <c r="AV14" s="74">
        <f t="shared" si="17"/>
        <v>0.37962830099476075</v>
      </c>
      <c r="AW14" t="str">
        <f t="shared" si="18"/>
        <v>ICM</v>
      </c>
      <c r="AX14" s="179">
        <f t="shared" si="19"/>
        <v>2</v>
      </c>
    </row>
    <row r="15" spans="1:53" x14ac:dyDescent="0.2">
      <c r="A15" s="60" t="s">
        <v>132</v>
      </c>
      <c r="B15" s="107">
        <f t="shared" si="0"/>
        <v>0.25</v>
      </c>
      <c r="C15" s="297">
        <v>2005</v>
      </c>
      <c r="D15" s="103">
        <f>+LFM*VLOOKUP(+A15,'HUC11 data'!$E$6:$K$156,7,FALSE)</f>
        <v>0.50449999999999995</v>
      </c>
      <c r="E15" s="103">
        <f t="shared" si="1"/>
        <v>0.19549721830698458</v>
      </c>
      <c r="F15" s="113">
        <f t="shared" si="2"/>
        <v>0.38750687474129752</v>
      </c>
      <c r="G15" s="103">
        <f t="shared" si="3"/>
        <v>0.30900278169301537</v>
      </c>
      <c r="H15" s="104" t="str">
        <f t="shared" si="10"/>
        <v>Potable</v>
      </c>
      <c r="I15" s="76">
        <v>0.1337898054559287</v>
      </c>
      <c r="J15" s="76">
        <v>0</v>
      </c>
      <c r="K15" s="77">
        <v>0.42658813876854879</v>
      </c>
      <c r="L15" s="78">
        <v>0</v>
      </c>
      <c r="M15" s="79">
        <v>0</v>
      </c>
      <c r="N15" s="76">
        <v>0</v>
      </c>
      <c r="O15" s="76">
        <v>0</v>
      </c>
      <c r="P15" s="78">
        <v>7.6078687099228345E-4</v>
      </c>
      <c r="Q15" s="79">
        <v>8.1512879034887509E-3</v>
      </c>
      <c r="R15" s="76">
        <v>0</v>
      </c>
      <c r="S15" s="76">
        <v>0</v>
      </c>
      <c r="T15" s="112">
        <f t="shared" si="4"/>
        <v>0.50502485798592278</v>
      </c>
      <c r="U15" s="109">
        <f t="shared" si="5"/>
        <v>8.1512879034887509E-3</v>
      </c>
      <c r="V15" s="108">
        <f>VLOOKUP(+A15,'HUC11 data'!$E$6:$L$156,8,FALSE)</f>
        <v>0</v>
      </c>
      <c r="W15" s="108">
        <f t="shared" si="6"/>
        <v>0.51317614588941152</v>
      </c>
      <c r="X15" s="283">
        <v>0</v>
      </c>
      <c r="Y15" s="257">
        <v>0</v>
      </c>
      <c r="Z15" s="257">
        <v>0</v>
      </c>
      <c r="AA15" s="257">
        <v>0</v>
      </c>
      <c r="AB15" s="80">
        <v>0.31678771989249843</v>
      </c>
      <c r="AC15" s="81">
        <v>0</v>
      </c>
      <c r="AD15" s="82">
        <v>0</v>
      </c>
      <c r="AE15" s="257">
        <v>0</v>
      </c>
      <c r="AF15" s="257">
        <v>0</v>
      </c>
      <c r="AG15" s="81">
        <v>7.6078705237800828E-5</v>
      </c>
      <c r="AH15" s="82">
        <v>8.1512898469072309E-4</v>
      </c>
      <c r="AI15" s="257">
        <v>0</v>
      </c>
      <c r="AJ15" s="257">
        <v>0</v>
      </c>
      <c r="AK15" s="111">
        <f t="shared" si="7"/>
        <v>0.31686379859773622</v>
      </c>
      <c r="AL15" s="110">
        <f t="shared" si="8"/>
        <v>8.1512898469072309E-4</v>
      </c>
      <c r="AM15" s="110">
        <f t="shared" si="9"/>
        <v>0.31767892758242694</v>
      </c>
      <c r="AN15" s="74"/>
      <c r="AO15" s="60" t="s">
        <v>132</v>
      </c>
      <c r="AP15" s="74">
        <f t="shared" si="11"/>
        <v>0.24359022433197908</v>
      </c>
      <c r="AQ15" s="74">
        <f t="shared" si="12"/>
        <v>0</v>
      </c>
      <c r="AR15" s="74">
        <f t="shared" si="13"/>
        <v>0</v>
      </c>
      <c r="AS15" s="74">
        <f t="shared" si="14"/>
        <v>8.0208670845525101E-3</v>
      </c>
      <c r="AT15" s="74">
        <f t="shared" si="15"/>
        <v>0</v>
      </c>
      <c r="AU15" s="286">
        <f t="shared" si="16"/>
        <v>0</v>
      </c>
      <c r="AV15" s="74">
        <f t="shared" si="17"/>
        <v>0.24359022433197908</v>
      </c>
      <c r="AW15" t="str">
        <f t="shared" si="18"/>
        <v>Potable</v>
      </c>
      <c r="AX15" s="179">
        <f t="shared" si="19"/>
        <v>1</v>
      </c>
    </row>
    <row r="16" spans="1:53" x14ac:dyDescent="0.2">
      <c r="A16" s="60" t="s">
        <v>105</v>
      </c>
      <c r="B16" s="107">
        <f t="shared" si="0"/>
        <v>0.25</v>
      </c>
      <c r="C16" s="297">
        <v>2001</v>
      </c>
      <c r="D16" s="103">
        <f>+LFM*VLOOKUP(+A16,'HUC11 data'!$E$6:$K$156,7,FALSE)</f>
        <v>3.38035</v>
      </c>
      <c r="E16" s="103">
        <f t="shared" si="1"/>
        <v>2.7668640826369035</v>
      </c>
      <c r="F16" s="113">
        <f t="shared" si="2"/>
        <v>0.8185140836413104</v>
      </c>
      <c r="G16" s="103">
        <f t="shared" si="3"/>
        <v>0.61348591736309643</v>
      </c>
      <c r="H16" s="104" t="str">
        <f t="shared" si="10"/>
        <v>Potable</v>
      </c>
      <c r="I16" s="76">
        <v>2.7784588631670468</v>
      </c>
      <c r="J16" s="76">
        <v>0</v>
      </c>
      <c r="K16" s="77">
        <v>2.1722049399592986</v>
      </c>
      <c r="L16" s="78">
        <v>0</v>
      </c>
      <c r="M16" s="79">
        <v>0</v>
      </c>
      <c r="N16" s="76">
        <v>0</v>
      </c>
      <c r="O16" s="76">
        <v>0</v>
      </c>
      <c r="P16" s="78">
        <v>0</v>
      </c>
      <c r="Q16" s="79">
        <v>0</v>
      </c>
      <c r="R16" s="76">
        <v>0</v>
      </c>
      <c r="S16" s="76">
        <v>0</v>
      </c>
      <c r="T16" s="112">
        <f t="shared" si="4"/>
        <v>4.4555974228137112</v>
      </c>
      <c r="U16" s="109">
        <f t="shared" si="5"/>
        <v>0</v>
      </c>
      <c r="V16" s="108">
        <f>VLOOKUP(+A16,'HUC11 data'!$E$6:$L$156,8,FALSE)</f>
        <v>0</v>
      </c>
      <c r="W16" s="108">
        <f t="shared" si="6"/>
        <v>4.4555974228137112</v>
      </c>
      <c r="X16" s="283">
        <v>556.15184219106629</v>
      </c>
      <c r="Y16" s="257">
        <v>2.8565047277469835E-2</v>
      </c>
      <c r="Z16" s="257">
        <v>4.7063906097163349E-2</v>
      </c>
      <c r="AA16" s="257">
        <v>0</v>
      </c>
      <c r="AB16" s="80">
        <v>1.6131043868021746</v>
      </c>
      <c r="AC16" s="81">
        <v>0</v>
      </c>
      <c r="AD16" s="82">
        <v>0</v>
      </c>
      <c r="AE16" s="257">
        <v>0</v>
      </c>
      <c r="AF16" s="257">
        <v>0</v>
      </c>
      <c r="AG16" s="81">
        <v>0</v>
      </c>
      <c r="AH16" s="82">
        <v>0</v>
      </c>
      <c r="AI16" s="257">
        <v>0</v>
      </c>
      <c r="AJ16" s="257">
        <v>0</v>
      </c>
      <c r="AK16" s="111">
        <f t="shared" si="7"/>
        <v>1.6416694340796445</v>
      </c>
      <c r="AL16" s="110">
        <f t="shared" si="8"/>
        <v>4.7063906097163349E-2</v>
      </c>
      <c r="AM16" s="110">
        <f t="shared" si="9"/>
        <v>1.6887333401768079</v>
      </c>
      <c r="AN16" s="74"/>
      <c r="AO16" s="60" t="s">
        <v>105</v>
      </c>
      <c r="AP16" s="74">
        <f t="shared" si="11"/>
        <v>3.2619304629495378</v>
      </c>
      <c r="AQ16" s="74">
        <f t="shared" si="12"/>
        <v>0</v>
      </c>
      <c r="AR16" s="74">
        <f t="shared" si="13"/>
        <v>0</v>
      </c>
      <c r="AS16" s="74">
        <f t="shared" si="14"/>
        <v>0</v>
      </c>
      <c r="AT16" s="74">
        <f t="shared" si="15"/>
        <v>0</v>
      </c>
      <c r="AU16" s="286">
        <f t="shared" si="16"/>
        <v>0</v>
      </c>
      <c r="AV16" s="74">
        <f t="shared" si="17"/>
        <v>3.2619304629495378</v>
      </c>
      <c r="AW16" t="str">
        <f t="shared" si="18"/>
        <v>Potable</v>
      </c>
      <c r="AX16" s="179">
        <f t="shared" si="19"/>
        <v>1</v>
      </c>
    </row>
    <row r="17" spans="1:50" x14ac:dyDescent="0.2">
      <c r="A17" s="60" t="s">
        <v>107</v>
      </c>
      <c r="B17" s="107">
        <f t="shared" si="0"/>
        <v>0.25</v>
      </c>
      <c r="C17" s="297">
        <v>2001</v>
      </c>
      <c r="D17" s="103">
        <f>+LFM*VLOOKUP(+A17,'HUC11 data'!$E$6:$K$156,7,FALSE)</f>
        <v>3.7827000000000002</v>
      </c>
      <c r="E17" s="103">
        <f t="shared" si="1"/>
        <v>1.9011327608984088</v>
      </c>
      <c r="F17" s="113">
        <f t="shared" si="2"/>
        <v>0.50258618470891392</v>
      </c>
      <c r="G17" s="103">
        <f t="shared" si="3"/>
        <v>1.8815672391015914</v>
      </c>
      <c r="H17" s="104" t="str">
        <f t="shared" si="10"/>
        <v>Potable</v>
      </c>
      <c r="I17" s="76">
        <v>3.076774263666993</v>
      </c>
      <c r="J17" s="76">
        <v>2.5790674926638408E-2</v>
      </c>
      <c r="K17" s="77">
        <v>1.5626659888995538</v>
      </c>
      <c r="L17" s="78">
        <v>0</v>
      </c>
      <c r="M17" s="79">
        <v>0</v>
      </c>
      <c r="N17" s="76">
        <v>0</v>
      </c>
      <c r="O17" s="76">
        <v>0</v>
      </c>
      <c r="P17" s="78">
        <v>0</v>
      </c>
      <c r="Q17" s="79">
        <v>0</v>
      </c>
      <c r="R17" s="76">
        <v>0</v>
      </c>
      <c r="S17" s="76">
        <v>0</v>
      </c>
      <c r="T17" s="112">
        <f t="shared" si="4"/>
        <v>4.1754962273098926</v>
      </c>
      <c r="U17" s="109">
        <f t="shared" si="5"/>
        <v>2.5790674926638408E-2</v>
      </c>
      <c r="V17" s="108">
        <f>VLOOKUP(+A17,'HUC11 data'!$E$6:$L$156,8,FALSE)</f>
        <v>0</v>
      </c>
      <c r="W17" s="108">
        <f t="shared" si="6"/>
        <v>4.2012869022365313</v>
      </c>
      <c r="X17" s="283">
        <v>1257.9615259210955</v>
      </c>
      <c r="Y17" s="257">
        <v>0.11754918682751873</v>
      </c>
      <c r="Z17" s="257">
        <v>1.0221411803064884</v>
      </c>
      <c r="AA17" s="257">
        <v>0</v>
      </c>
      <c r="AB17" s="80">
        <v>1.1604637742041157</v>
      </c>
      <c r="AC17" s="81">
        <v>0</v>
      </c>
      <c r="AD17" s="82">
        <v>0</v>
      </c>
      <c r="AE17" s="257">
        <v>0</v>
      </c>
      <c r="AF17" s="257">
        <v>0</v>
      </c>
      <c r="AG17" s="81">
        <v>0</v>
      </c>
      <c r="AH17" s="82">
        <v>0</v>
      </c>
      <c r="AI17" s="257">
        <v>0</v>
      </c>
      <c r="AJ17" s="257">
        <v>0</v>
      </c>
      <c r="AK17" s="111">
        <f t="shared" si="7"/>
        <v>1.2780129610316344</v>
      </c>
      <c r="AL17" s="110">
        <f t="shared" si="8"/>
        <v>1.0221411803064884</v>
      </c>
      <c r="AM17" s="110">
        <f t="shared" si="9"/>
        <v>2.3001541413381226</v>
      </c>
      <c r="AN17" s="74"/>
      <c r="AO17" s="60" t="s">
        <v>107</v>
      </c>
      <c r="AP17" s="74">
        <f t="shared" ref="AP17:AP80" si="20">+SUM(I17:K17)-SUM(Y17:AB17)</f>
        <v>2.365076786155063</v>
      </c>
      <c r="AQ17" s="74">
        <f t="shared" ref="AQ17:AQ80" si="21">+SUM(L17:M17)-SUM(AC17:AD17)</f>
        <v>0</v>
      </c>
      <c r="AR17" s="74">
        <f t="shared" ref="AR17:AR80" si="22">+SUM(N17:O17)-SUM(AE17:AF17)</f>
        <v>0</v>
      </c>
      <c r="AS17" s="74">
        <f t="shared" ref="AS17:AS80" si="23">+SUM(P17:Q17)-SUM(AG17:AH17)</f>
        <v>0</v>
      </c>
      <c r="AT17" s="74">
        <f t="shared" ref="AT17:AT80" si="24">+SUM(R17:S17)-SUM(AI17:AJ17)</f>
        <v>0</v>
      </c>
      <c r="AU17" s="286">
        <f t="shared" ref="AU17:AU80" si="25">+V17</f>
        <v>0</v>
      </c>
      <c r="AV17" s="74">
        <f t="shared" ref="AV17:AV80" si="26">MAX(AP17:AU17)</f>
        <v>2.365076786155063</v>
      </c>
      <c r="AW17" t="str">
        <f t="shared" si="18"/>
        <v>Potable</v>
      </c>
      <c r="AX17" s="179">
        <f t="shared" ref="AX17:AX80" si="27">RANK(AV17,AP17:AU17)+MATCH(AV17,AP17:AU17,0)-1</f>
        <v>1</v>
      </c>
    </row>
    <row r="18" spans="1:50" x14ac:dyDescent="0.2">
      <c r="A18" s="60" t="s">
        <v>109</v>
      </c>
      <c r="B18" s="107">
        <f t="shared" si="0"/>
        <v>0.25</v>
      </c>
      <c r="C18" s="297">
        <v>2001</v>
      </c>
      <c r="D18" s="103">
        <f>+LFM*VLOOKUP(+A18,'HUC11 data'!$E$6:$K$156,7,FALSE)</f>
        <v>4.2275</v>
      </c>
      <c r="E18" s="103">
        <f t="shared" si="1"/>
        <v>8.8398843070778241</v>
      </c>
      <c r="F18" s="113">
        <f t="shared" si="2"/>
        <v>2.0910430058137965</v>
      </c>
      <c r="G18" s="103">
        <f t="shared" si="3"/>
        <v>0</v>
      </c>
      <c r="H18" s="104" t="str">
        <f t="shared" si="10"/>
        <v>Potable</v>
      </c>
      <c r="I18" s="76">
        <v>10.639800021736766</v>
      </c>
      <c r="J18" s="76">
        <v>0</v>
      </c>
      <c r="K18" s="77">
        <v>0.81648271277331963</v>
      </c>
      <c r="L18" s="78">
        <v>0.21452016085208125</v>
      </c>
      <c r="M18" s="79">
        <v>0</v>
      </c>
      <c r="N18" s="76">
        <v>0</v>
      </c>
      <c r="O18" s="76">
        <v>0</v>
      </c>
      <c r="P18" s="78">
        <v>2.9670687968699056E-2</v>
      </c>
      <c r="Q18" s="79">
        <v>0</v>
      </c>
      <c r="R18" s="76">
        <v>0</v>
      </c>
      <c r="S18" s="76">
        <v>0</v>
      </c>
      <c r="T18" s="112">
        <f t="shared" si="4"/>
        <v>10.530426224997781</v>
      </c>
      <c r="U18" s="109">
        <f t="shared" si="5"/>
        <v>0</v>
      </c>
      <c r="V18" s="108">
        <f>VLOOKUP(+A18,'HUC11 data'!$E$6:$L$156,8,FALSE)</f>
        <v>0</v>
      </c>
      <c r="W18" s="108">
        <f t="shared" si="6"/>
        <v>10.530426224997781</v>
      </c>
      <c r="X18" s="283">
        <v>0</v>
      </c>
      <c r="Y18" s="257">
        <v>1.1713159113139875E-2</v>
      </c>
      <c r="Z18" s="257">
        <v>0.87290511900880341</v>
      </c>
      <c r="AA18" s="257">
        <v>0</v>
      </c>
      <c r="AB18" s="80">
        <v>0.60675865720950606</v>
      </c>
      <c r="AC18" s="81">
        <v>0.19619791308423379</v>
      </c>
      <c r="AD18" s="82">
        <v>0</v>
      </c>
      <c r="AE18" s="257">
        <v>0</v>
      </c>
      <c r="AF18" s="257">
        <v>0</v>
      </c>
      <c r="AG18" s="81">
        <v>2.9670695042742319E-3</v>
      </c>
      <c r="AH18" s="82">
        <v>0</v>
      </c>
      <c r="AI18" s="257">
        <v>0</v>
      </c>
      <c r="AJ18" s="257">
        <v>0</v>
      </c>
      <c r="AK18" s="111">
        <f t="shared" si="7"/>
        <v>0.81763679891115393</v>
      </c>
      <c r="AL18" s="110">
        <f t="shared" si="8"/>
        <v>0.87290511900880341</v>
      </c>
      <c r="AM18" s="110">
        <f t="shared" si="9"/>
        <v>1.6905419179199574</v>
      </c>
      <c r="AN18" s="74"/>
      <c r="AO18" s="60" t="s">
        <v>109</v>
      </c>
      <c r="AP18" s="74">
        <f t="shared" si="20"/>
        <v>9.9649057991786378</v>
      </c>
      <c r="AQ18" s="74">
        <f t="shared" si="21"/>
        <v>1.8322247767847466E-2</v>
      </c>
      <c r="AR18" s="74">
        <f t="shared" si="22"/>
        <v>0</v>
      </c>
      <c r="AS18" s="74">
        <f t="shared" si="23"/>
        <v>2.6703618464424823E-2</v>
      </c>
      <c r="AT18" s="74">
        <f t="shared" si="24"/>
        <v>0</v>
      </c>
      <c r="AU18" s="286">
        <f t="shared" si="25"/>
        <v>0</v>
      </c>
      <c r="AV18" s="74">
        <f t="shared" si="26"/>
        <v>9.9649057991786378</v>
      </c>
      <c r="AW18" t="str">
        <f t="shared" si="18"/>
        <v>Potable</v>
      </c>
      <c r="AX18" s="179">
        <f t="shared" si="27"/>
        <v>1</v>
      </c>
    </row>
    <row r="19" spans="1:50" x14ac:dyDescent="0.2">
      <c r="A19" s="60" t="s">
        <v>111</v>
      </c>
      <c r="B19" s="107">
        <f t="shared" si="0"/>
        <v>0.25</v>
      </c>
      <c r="C19" s="297">
        <v>2001</v>
      </c>
      <c r="D19" s="103">
        <f>+LFM*VLOOKUP(+A19,'HUC11 data'!$E$6:$K$156,7,FALSE)</f>
        <v>0.92310000000000003</v>
      </c>
      <c r="E19" s="103">
        <f t="shared" si="1"/>
        <v>-0.5865199316796188</v>
      </c>
      <c r="F19" s="113" t="str">
        <f t="shared" si="2"/>
        <v>Net Gain</v>
      </c>
      <c r="G19" s="103">
        <f t="shared" si="3"/>
        <v>1.5096199316796188</v>
      </c>
      <c r="H19" s="104" t="str">
        <f t="shared" si="10"/>
        <v>Non-Ag Irr</v>
      </c>
      <c r="I19" s="76">
        <v>3.8218671883490924</v>
      </c>
      <c r="J19" s="76">
        <v>0</v>
      </c>
      <c r="K19" s="77">
        <v>0.3375712167586582</v>
      </c>
      <c r="L19" s="78">
        <v>0</v>
      </c>
      <c r="M19" s="79">
        <v>0</v>
      </c>
      <c r="N19" s="76">
        <v>0</v>
      </c>
      <c r="O19" s="76">
        <v>0</v>
      </c>
      <c r="P19" s="78">
        <v>0.108433865884143</v>
      </c>
      <c r="Q19" s="79">
        <v>4.2256276491685688E-2</v>
      </c>
      <c r="R19" s="76">
        <v>0</v>
      </c>
      <c r="S19" s="76">
        <v>0</v>
      </c>
      <c r="T19" s="112">
        <f t="shared" si="4"/>
        <v>3.8410850438927042</v>
      </c>
      <c r="U19" s="109">
        <f t="shared" si="5"/>
        <v>4.2256276491685688E-2</v>
      </c>
      <c r="V19" s="108">
        <f>VLOOKUP(+A19,'HUC11 data'!$E$6:$L$156,8,FALSE)</f>
        <v>0</v>
      </c>
      <c r="W19" s="108">
        <f t="shared" si="6"/>
        <v>3.8833413203843898</v>
      </c>
      <c r="X19" s="283">
        <v>771.69491359634821</v>
      </c>
      <c r="Y19" s="257">
        <v>0</v>
      </c>
      <c r="Z19" s="257">
        <v>4.2041082491033581</v>
      </c>
      <c r="AA19" s="257">
        <v>0</v>
      </c>
      <c r="AB19" s="80">
        <v>0.25068398513033424</v>
      </c>
      <c r="AC19" s="81">
        <v>0</v>
      </c>
      <c r="AD19" s="82">
        <v>0</v>
      </c>
      <c r="AE19" s="257">
        <v>0</v>
      </c>
      <c r="AF19" s="257">
        <v>0</v>
      </c>
      <c r="AG19" s="81">
        <v>1.0843389173679127E-2</v>
      </c>
      <c r="AH19" s="82">
        <v>4.2256286566367089E-3</v>
      </c>
      <c r="AI19" s="257">
        <v>0</v>
      </c>
      <c r="AJ19" s="257">
        <v>0</v>
      </c>
      <c r="AK19" s="111">
        <f t="shared" si="7"/>
        <v>0.26152737430401335</v>
      </c>
      <c r="AL19" s="110">
        <f t="shared" si="8"/>
        <v>4.208333877759995</v>
      </c>
      <c r="AM19" s="110">
        <f t="shared" si="9"/>
        <v>4.4698612520640086</v>
      </c>
      <c r="AN19" s="74"/>
      <c r="AO19" s="60" t="s">
        <v>111</v>
      </c>
      <c r="AP19" s="74">
        <f t="shared" si="20"/>
        <v>-0.29535382912594166</v>
      </c>
      <c r="AQ19" s="74">
        <f t="shared" si="21"/>
        <v>0</v>
      </c>
      <c r="AR19" s="74">
        <f t="shared" si="22"/>
        <v>0</v>
      </c>
      <c r="AS19" s="74">
        <f t="shared" si="23"/>
        <v>0.13562112454551284</v>
      </c>
      <c r="AT19" s="74">
        <f t="shared" si="24"/>
        <v>0</v>
      </c>
      <c r="AU19" s="286">
        <f t="shared" si="25"/>
        <v>0</v>
      </c>
      <c r="AV19" s="74">
        <f t="shared" si="26"/>
        <v>0.13562112454551284</v>
      </c>
      <c r="AW19" t="str">
        <f t="shared" si="18"/>
        <v>Non-Ag Irr</v>
      </c>
      <c r="AX19" s="179">
        <f t="shared" si="27"/>
        <v>4</v>
      </c>
    </row>
    <row r="20" spans="1:50" x14ac:dyDescent="0.2">
      <c r="A20" s="60" t="s">
        <v>113</v>
      </c>
      <c r="B20" s="107">
        <f t="shared" si="0"/>
        <v>0.25</v>
      </c>
      <c r="C20" s="297">
        <v>2001</v>
      </c>
      <c r="D20" s="103">
        <f>+LFM*VLOOKUP(+A20,'HUC11 data'!$E$6:$K$156,7,FALSE)</f>
        <v>2.585</v>
      </c>
      <c r="E20" s="103">
        <f t="shared" si="1"/>
        <v>7.5871925849416328</v>
      </c>
      <c r="F20" s="113">
        <f t="shared" si="2"/>
        <v>2.935084172124423</v>
      </c>
      <c r="G20" s="103">
        <f t="shared" si="3"/>
        <v>0</v>
      </c>
      <c r="H20" s="104" t="str">
        <f t="shared" si="10"/>
        <v>Potable</v>
      </c>
      <c r="I20" s="76">
        <v>13.863623519182697</v>
      </c>
      <c r="J20" s="76">
        <v>1.3713726768829475</v>
      </c>
      <c r="K20" s="77">
        <v>0.83361016144773492</v>
      </c>
      <c r="L20" s="78">
        <v>1.9359852189979352</v>
      </c>
      <c r="M20" s="79">
        <v>10.404499510922726</v>
      </c>
      <c r="N20" s="76">
        <v>0</v>
      </c>
      <c r="O20" s="76">
        <v>0</v>
      </c>
      <c r="P20" s="78">
        <v>0.72845342897511123</v>
      </c>
      <c r="Q20" s="79">
        <v>0.20195630909683729</v>
      </c>
      <c r="R20" s="76">
        <v>0</v>
      </c>
      <c r="S20" s="76">
        <v>87.514541897619821</v>
      </c>
      <c r="T20" s="112">
        <f t="shared" si="4"/>
        <v>15.625505095743131</v>
      </c>
      <c r="U20" s="109">
        <f t="shared" si="5"/>
        <v>99.492370394522339</v>
      </c>
      <c r="V20" s="108">
        <f>VLOOKUP(+A20,'HUC11 data'!$E$6:$L$156,8,FALSE)</f>
        <v>0</v>
      </c>
      <c r="W20" s="108">
        <f t="shared" si="6"/>
        <v>115.11787549026548</v>
      </c>
      <c r="X20" s="283">
        <v>470.4711444408216</v>
      </c>
      <c r="Y20" s="257">
        <v>0</v>
      </c>
      <c r="Z20" s="257">
        <v>8.1959569611998688</v>
      </c>
      <c r="AA20" s="257">
        <v>0</v>
      </c>
      <c r="AB20" s="80">
        <v>0.61903308083330255</v>
      </c>
      <c r="AC20" s="81">
        <v>1.7440604253544216</v>
      </c>
      <c r="AD20" s="82">
        <v>9.364049544326539</v>
      </c>
      <c r="AE20" s="257">
        <v>0</v>
      </c>
      <c r="AF20" s="257">
        <v>0</v>
      </c>
      <c r="AG20" s="81">
        <v>7.2845360265194281E-2</v>
      </c>
      <c r="AH20" s="82">
        <v>2.0195635724697354E-2</v>
      </c>
      <c r="AI20" s="257">
        <v>0</v>
      </c>
      <c r="AJ20" s="257">
        <v>87.514541897619821</v>
      </c>
      <c r="AK20" s="111">
        <f t="shared" si="7"/>
        <v>2.4359388664529185</v>
      </c>
      <c r="AL20" s="110">
        <f t="shared" si="8"/>
        <v>105.09474403887093</v>
      </c>
      <c r="AM20" s="110">
        <f t="shared" si="9"/>
        <v>107.53068290532384</v>
      </c>
      <c r="AN20" s="74"/>
      <c r="AO20" s="60" t="s">
        <v>113</v>
      </c>
      <c r="AP20" s="74">
        <f t="shared" si="20"/>
        <v>7.2536163154802065</v>
      </c>
      <c r="AQ20" s="74">
        <f t="shared" si="21"/>
        <v>1.2323747602397006</v>
      </c>
      <c r="AR20" s="74">
        <f t="shared" si="22"/>
        <v>0</v>
      </c>
      <c r="AS20" s="74">
        <f t="shared" si="23"/>
        <v>0.83736874208205681</v>
      </c>
      <c r="AT20" s="74">
        <f t="shared" si="24"/>
        <v>0</v>
      </c>
      <c r="AU20" s="286">
        <f t="shared" si="25"/>
        <v>0</v>
      </c>
      <c r="AV20" s="74">
        <f t="shared" si="26"/>
        <v>7.2536163154802065</v>
      </c>
      <c r="AW20" t="str">
        <f t="shared" si="18"/>
        <v>Potable</v>
      </c>
      <c r="AX20" s="179">
        <f t="shared" si="27"/>
        <v>1</v>
      </c>
    </row>
    <row r="21" spans="1:50" x14ac:dyDescent="0.2">
      <c r="A21" s="60" t="s">
        <v>115</v>
      </c>
      <c r="B21" s="107">
        <f t="shared" si="0"/>
        <v>0.25</v>
      </c>
      <c r="C21" s="297">
        <v>2005</v>
      </c>
      <c r="D21" s="103">
        <f>+LFM*VLOOKUP(+A21,'HUC11 data'!$E$6:$K$156,7,FALSE)</f>
        <v>4.3375000000000004</v>
      </c>
      <c r="E21" s="103">
        <f t="shared" si="1"/>
        <v>1.4259053722694404</v>
      </c>
      <c r="F21" s="113">
        <f t="shared" si="2"/>
        <v>0.328738990724943</v>
      </c>
      <c r="G21" s="103">
        <f t="shared" si="3"/>
        <v>2.91159462773056</v>
      </c>
      <c r="H21" s="104" t="str">
        <f t="shared" si="10"/>
        <v>Potable</v>
      </c>
      <c r="I21" s="76">
        <v>11.194261167264429</v>
      </c>
      <c r="J21" s="76">
        <v>0</v>
      </c>
      <c r="K21" s="77">
        <v>1.5773599749670095</v>
      </c>
      <c r="L21" s="78">
        <v>0.59118193674600572</v>
      </c>
      <c r="M21" s="79">
        <v>0.86175415715683068</v>
      </c>
      <c r="N21" s="76">
        <v>1.2281273774589718E-2</v>
      </c>
      <c r="O21" s="76">
        <v>0</v>
      </c>
      <c r="P21" s="78">
        <v>0.69992392131290082</v>
      </c>
      <c r="Q21" s="79">
        <v>0.2380176067818715</v>
      </c>
      <c r="R21" s="76">
        <v>0</v>
      </c>
      <c r="S21" s="76">
        <v>0</v>
      </c>
      <c r="T21" s="112">
        <f t="shared" si="4"/>
        <v>12.667507446658442</v>
      </c>
      <c r="U21" s="109">
        <f t="shared" si="5"/>
        <v>1.0997717639387021</v>
      </c>
      <c r="V21" s="108">
        <f>VLOOKUP(+A21,'HUC11 data'!$E$6:$L$156,8,FALSE)</f>
        <v>0</v>
      </c>
      <c r="W21" s="108">
        <f t="shared" si="6"/>
        <v>13.767279210597145</v>
      </c>
      <c r="X21" s="283">
        <v>21.840756439517442</v>
      </c>
      <c r="Y21" s="257">
        <v>9.9673948483860429E-3</v>
      </c>
      <c r="Z21" s="257">
        <v>9.7375285295076619</v>
      </c>
      <c r="AA21" s="257">
        <v>0</v>
      </c>
      <c r="AB21" s="80">
        <v>1.1713620258028794</v>
      </c>
      <c r="AC21" s="81">
        <v>0.54147576276328735</v>
      </c>
      <c r="AD21" s="82">
        <v>0.77557874015703387</v>
      </c>
      <c r="AE21" s="257">
        <v>1.1667210076709971E-2</v>
      </c>
      <c r="AF21" s="257">
        <v>0</v>
      </c>
      <c r="AG21" s="81">
        <v>6.9992408818776747E-2</v>
      </c>
      <c r="AH21" s="82">
        <v>2.3801766352969114E-2</v>
      </c>
      <c r="AI21" s="257">
        <v>0</v>
      </c>
      <c r="AJ21" s="257">
        <v>0</v>
      </c>
      <c r="AK21" s="111">
        <f t="shared" si="7"/>
        <v>1.8044648023100394</v>
      </c>
      <c r="AL21" s="110">
        <f t="shared" si="8"/>
        <v>10.536909036017665</v>
      </c>
      <c r="AM21" s="110">
        <f t="shared" si="9"/>
        <v>12.341373838327705</v>
      </c>
      <c r="AN21" s="74"/>
      <c r="AO21" s="60" t="s">
        <v>115</v>
      </c>
      <c r="AP21" s="74">
        <f t="shared" si="20"/>
        <v>1.8527631920725103</v>
      </c>
      <c r="AQ21" s="74">
        <f t="shared" si="21"/>
        <v>0.13588159098251529</v>
      </c>
      <c r="AR21" s="74">
        <f t="shared" si="22"/>
        <v>6.1406369787974681E-4</v>
      </c>
      <c r="AS21" s="74">
        <f t="shared" si="23"/>
        <v>0.84414735292302645</v>
      </c>
      <c r="AT21" s="74">
        <f t="shared" si="24"/>
        <v>0</v>
      </c>
      <c r="AU21" s="286">
        <f t="shared" si="25"/>
        <v>0</v>
      </c>
      <c r="AV21" s="74">
        <f t="shared" si="26"/>
        <v>1.8527631920725103</v>
      </c>
      <c r="AW21" t="str">
        <f t="shared" si="18"/>
        <v>Potable</v>
      </c>
      <c r="AX21" s="179">
        <f t="shared" si="27"/>
        <v>1</v>
      </c>
    </row>
    <row r="22" spans="1:50" x14ac:dyDescent="0.2">
      <c r="A22" s="60" t="s">
        <v>117</v>
      </c>
      <c r="B22" s="107">
        <f t="shared" si="0"/>
        <v>0.25</v>
      </c>
      <c r="C22" s="297">
        <v>2004</v>
      </c>
      <c r="D22" s="103">
        <f>+LFM*VLOOKUP(+A22,'HUC11 data'!$E$6:$K$156,7,FALSE)</f>
        <v>2.63</v>
      </c>
      <c r="E22" s="103">
        <f t="shared" si="1"/>
        <v>2.6509958247970529</v>
      </c>
      <c r="F22" s="113">
        <f t="shared" si="2"/>
        <v>1.007983203344887</v>
      </c>
      <c r="G22" s="103">
        <f t="shared" si="3"/>
        <v>0</v>
      </c>
      <c r="H22" s="104" t="str">
        <f t="shared" si="10"/>
        <v>Potable</v>
      </c>
      <c r="I22" s="76">
        <v>2.6903706118900117</v>
      </c>
      <c r="J22" s="76">
        <v>0</v>
      </c>
      <c r="K22" s="77">
        <v>1.0515378657945042E-3</v>
      </c>
      <c r="L22" s="78">
        <v>0.69206607977393764</v>
      </c>
      <c r="M22" s="79">
        <v>0</v>
      </c>
      <c r="N22" s="76">
        <v>0</v>
      </c>
      <c r="O22" s="76">
        <v>0</v>
      </c>
      <c r="P22" s="78">
        <v>0.18367568742527987</v>
      </c>
      <c r="Q22" s="79">
        <v>0.1297685034235409</v>
      </c>
      <c r="R22" s="76">
        <v>0</v>
      </c>
      <c r="S22" s="76">
        <v>0</v>
      </c>
      <c r="T22" s="112">
        <f t="shared" si="4"/>
        <v>3.2104475252595215</v>
      </c>
      <c r="U22" s="109">
        <f t="shared" si="5"/>
        <v>0.1297685034235409</v>
      </c>
      <c r="V22" s="108">
        <f>VLOOKUP(+A22,'HUC11 data'!$E$6:$L$156,8,FALSE)</f>
        <v>0</v>
      </c>
      <c r="W22" s="108">
        <f t="shared" si="6"/>
        <v>3.3402160286830624</v>
      </c>
      <c r="X22" s="283">
        <v>0</v>
      </c>
      <c r="Y22" s="257">
        <v>0</v>
      </c>
      <c r="Z22" s="257">
        <v>0</v>
      </c>
      <c r="AA22" s="257">
        <v>0</v>
      </c>
      <c r="AB22" s="80">
        <v>7.8089685795061582E-4</v>
      </c>
      <c r="AC22" s="81">
        <v>0.65709488047008502</v>
      </c>
      <c r="AD22" s="82">
        <v>0</v>
      </c>
      <c r="AE22" s="257">
        <v>0</v>
      </c>
      <c r="AF22" s="257">
        <v>0</v>
      </c>
      <c r="AG22" s="81">
        <v>1.8367573121697629E-2</v>
      </c>
      <c r="AH22" s="82">
        <v>1.297685343627631E-2</v>
      </c>
      <c r="AI22" s="257">
        <v>0</v>
      </c>
      <c r="AJ22" s="257">
        <v>0</v>
      </c>
      <c r="AK22" s="111">
        <f t="shared" si="7"/>
        <v>0.67624335044973327</v>
      </c>
      <c r="AL22" s="110">
        <f t="shared" si="8"/>
        <v>1.297685343627631E-2</v>
      </c>
      <c r="AM22" s="110">
        <f t="shared" si="9"/>
        <v>0.68922020388600957</v>
      </c>
      <c r="AN22" s="74"/>
      <c r="AO22" s="60" t="s">
        <v>117</v>
      </c>
      <c r="AP22" s="74">
        <f t="shared" si="20"/>
        <v>2.6906412528978554</v>
      </c>
      <c r="AQ22" s="74">
        <f t="shared" si="21"/>
        <v>3.4971199303852618E-2</v>
      </c>
      <c r="AR22" s="74">
        <f t="shared" si="22"/>
        <v>0</v>
      </c>
      <c r="AS22" s="74">
        <f t="shared" si="23"/>
        <v>0.28209976429084688</v>
      </c>
      <c r="AT22" s="74">
        <f t="shared" si="24"/>
        <v>0</v>
      </c>
      <c r="AU22" s="286">
        <f t="shared" si="25"/>
        <v>0</v>
      </c>
      <c r="AV22" s="74">
        <f t="shared" si="26"/>
        <v>2.6906412528978554</v>
      </c>
      <c r="AW22" t="str">
        <f t="shared" si="18"/>
        <v>Potable</v>
      </c>
      <c r="AX22" s="179">
        <f t="shared" si="27"/>
        <v>1</v>
      </c>
    </row>
    <row r="23" spans="1:50" x14ac:dyDescent="0.2">
      <c r="A23" s="60" t="s">
        <v>121</v>
      </c>
      <c r="B23" s="107">
        <f t="shared" si="0"/>
        <v>0.25</v>
      </c>
      <c r="C23" s="297">
        <v>2005</v>
      </c>
      <c r="D23" s="103">
        <f>+LFM*VLOOKUP(+A23,'HUC11 data'!$E$6:$K$156,7,FALSE)</f>
        <v>4.9974999999999996</v>
      </c>
      <c r="E23" s="103">
        <f t="shared" si="1"/>
        <v>4.4549217364585392</v>
      </c>
      <c r="F23" s="113">
        <f t="shared" si="2"/>
        <v>0.89143006232286937</v>
      </c>
      <c r="G23" s="103">
        <f t="shared" si="3"/>
        <v>0.54257826354146044</v>
      </c>
      <c r="H23" s="104" t="str">
        <f t="shared" si="10"/>
        <v>Potable</v>
      </c>
      <c r="I23" s="76">
        <v>4.3264672318226278</v>
      </c>
      <c r="J23" s="76">
        <v>0</v>
      </c>
      <c r="K23" s="77">
        <v>0.26144967677283421</v>
      </c>
      <c r="L23" s="78">
        <v>0.18128464297358984</v>
      </c>
      <c r="M23" s="79">
        <v>0</v>
      </c>
      <c r="N23" s="76">
        <v>0</v>
      </c>
      <c r="O23" s="76">
        <v>0</v>
      </c>
      <c r="P23" s="78">
        <v>0.3527877404629931</v>
      </c>
      <c r="Q23" s="79">
        <v>0.26540593413759372</v>
      </c>
      <c r="R23" s="76">
        <v>0</v>
      </c>
      <c r="S23" s="76">
        <v>0</v>
      </c>
      <c r="T23" s="112">
        <f t="shared" si="4"/>
        <v>4.6097903628288401</v>
      </c>
      <c r="U23" s="109">
        <f t="shared" si="5"/>
        <v>0.26540593413759372</v>
      </c>
      <c r="V23" s="108">
        <f>VLOOKUP(+A23,'HUC11 data'!$E$6:$L$156,8,FALSE)</f>
        <v>0</v>
      </c>
      <c r="W23" s="108">
        <f t="shared" si="6"/>
        <v>4.8751962969664335</v>
      </c>
      <c r="X23" s="283">
        <v>1087.8686012389956</v>
      </c>
      <c r="Y23" s="257">
        <v>1.6403651776980761E-3</v>
      </c>
      <c r="Z23" s="257">
        <v>0</v>
      </c>
      <c r="AA23" s="257">
        <v>0</v>
      </c>
      <c r="AB23" s="80">
        <v>0.19326737289995852</v>
      </c>
      <c r="AC23" s="81">
        <v>0.16354744023129342</v>
      </c>
      <c r="AD23" s="82">
        <v>0</v>
      </c>
      <c r="AE23" s="257">
        <v>0</v>
      </c>
      <c r="AF23" s="257">
        <v>0</v>
      </c>
      <c r="AG23" s="81">
        <v>3.5278782457414483E-2</v>
      </c>
      <c r="AH23" s="82">
        <v>2.654059974152994E-2</v>
      </c>
      <c r="AI23" s="257">
        <v>0</v>
      </c>
      <c r="AJ23" s="257">
        <v>0</v>
      </c>
      <c r="AK23" s="111">
        <f t="shared" si="7"/>
        <v>0.39373396076636452</v>
      </c>
      <c r="AL23" s="110">
        <f t="shared" si="8"/>
        <v>2.654059974152994E-2</v>
      </c>
      <c r="AM23" s="110">
        <f t="shared" si="9"/>
        <v>0.42027456050789447</v>
      </c>
      <c r="AN23" s="74"/>
      <c r="AO23" s="60" t="s">
        <v>121</v>
      </c>
      <c r="AP23" s="74">
        <f t="shared" si="20"/>
        <v>4.3930091705178054</v>
      </c>
      <c r="AQ23" s="74">
        <f t="shared" si="21"/>
        <v>1.7737202742296426E-2</v>
      </c>
      <c r="AR23" s="74">
        <f t="shared" si="22"/>
        <v>0</v>
      </c>
      <c r="AS23" s="74">
        <f t="shared" si="23"/>
        <v>0.55637429240164238</v>
      </c>
      <c r="AT23" s="74">
        <f t="shared" si="24"/>
        <v>0</v>
      </c>
      <c r="AU23" s="286">
        <f t="shared" si="25"/>
        <v>0</v>
      </c>
      <c r="AV23" s="74">
        <f t="shared" si="26"/>
        <v>4.3930091705178054</v>
      </c>
      <c r="AW23" t="str">
        <f t="shared" si="18"/>
        <v>Potable</v>
      </c>
      <c r="AX23" s="179">
        <f t="shared" si="27"/>
        <v>1</v>
      </c>
    </row>
    <row r="24" spans="1:50" x14ac:dyDescent="0.2">
      <c r="A24" s="60" t="s">
        <v>123</v>
      </c>
      <c r="B24" s="107">
        <f t="shared" si="0"/>
        <v>0.25</v>
      </c>
      <c r="C24" s="297">
        <v>2005</v>
      </c>
      <c r="D24" s="103">
        <f>+LFM*VLOOKUP(+A24,'HUC11 data'!$E$6:$K$156,7,FALSE)</f>
        <v>2.4950000000000001</v>
      </c>
      <c r="E24" s="103">
        <f t="shared" si="1"/>
        <v>-73.591583341800174</v>
      </c>
      <c r="F24" s="113" t="str">
        <f t="shared" si="2"/>
        <v>Net Gain</v>
      </c>
      <c r="G24" s="103">
        <f t="shared" si="3"/>
        <v>76.086583341800178</v>
      </c>
      <c r="H24" s="104" t="str">
        <f t="shared" si="10"/>
        <v>Non-Ag Irr</v>
      </c>
      <c r="I24" s="76">
        <v>0.34735354852733391</v>
      </c>
      <c r="J24" s="76">
        <v>0</v>
      </c>
      <c r="K24" s="77">
        <v>5.5652972415746313E-3</v>
      </c>
      <c r="L24" s="78">
        <v>0.86748179545701543</v>
      </c>
      <c r="M24" s="79">
        <v>0</v>
      </c>
      <c r="N24" s="76">
        <v>0</v>
      </c>
      <c r="O24" s="76">
        <v>0</v>
      </c>
      <c r="P24" s="78">
        <v>0.25979784805999345</v>
      </c>
      <c r="Q24" s="79">
        <v>0.17476361265079879</v>
      </c>
      <c r="R24" s="76">
        <v>0</v>
      </c>
      <c r="S24" s="76">
        <v>0</v>
      </c>
      <c r="T24" s="112">
        <f t="shared" si="4"/>
        <v>1.3321786403573257</v>
      </c>
      <c r="U24" s="109">
        <f t="shared" si="5"/>
        <v>0.17476361265079879</v>
      </c>
      <c r="V24" s="108">
        <f>VLOOKUP(+A24,'HUC11 data'!$E$6:$L$156,8,FALSE)</f>
        <v>0</v>
      </c>
      <c r="W24" s="108">
        <f t="shared" si="6"/>
        <v>1.5069422530081245</v>
      </c>
      <c r="X24" s="283">
        <v>854.58809911966102</v>
      </c>
      <c r="Y24" s="257">
        <v>0</v>
      </c>
      <c r="Z24" s="257">
        <v>2.7060645582001963</v>
      </c>
      <c r="AA24" s="257">
        <v>71.555917835017922</v>
      </c>
      <c r="AB24" s="80">
        <v>4.1325848569001436E-3</v>
      </c>
      <c r="AC24" s="81">
        <v>0.78895446030143057</v>
      </c>
      <c r="AD24" s="82">
        <v>0</v>
      </c>
      <c r="AE24" s="257">
        <v>0</v>
      </c>
      <c r="AF24" s="257">
        <v>0</v>
      </c>
      <c r="AG24" s="81">
        <v>2.5979791000062726E-2</v>
      </c>
      <c r="AH24" s="82">
        <v>1.7476365431769104E-2</v>
      </c>
      <c r="AI24" s="257">
        <v>0</v>
      </c>
      <c r="AJ24" s="257">
        <v>0</v>
      </c>
      <c r="AK24" s="111">
        <f t="shared" si="7"/>
        <v>0.81906683615839349</v>
      </c>
      <c r="AL24" s="110">
        <f t="shared" si="8"/>
        <v>74.279458758649895</v>
      </c>
      <c r="AM24" s="110">
        <f t="shared" si="9"/>
        <v>75.098525594808294</v>
      </c>
      <c r="AN24" s="74"/>
      <c r="AO24" s="60" t="s">
        <v>123</v>
      </c>
      <c r="AP24" s="74">
        <f t="shared" si="20"/>
        <v>-73.913196132306112</v>
      </c>
      <c r="AQ24" s="74">
        <f t="shared" si="21"/>
        <v>7.8527335155584854E-2</v>
      </c>
      <c r="AR24" s="74">
        <f t="shared" si="22"/>
        <v>0</v>
      </c>
      <c r="AS24" s="74">
        <f t="shared" si="23"/>
        <v>0.39110530427896045</v>
      </c>
      <c r="AT24" s="74">
        <f t="shared" si="24"/>
        <v>0</v>
      </c>
      <c r="AU24" s="286">
        <f t="shared" si="25"/>
        <v>0</v>
      </c>
      <c r="AV24" s="74">
        <f t="shared" si="26"/>
        <v>0.39110530427896045</v>
      </c>
      <c r="AW24" t="str">
        <f t="shared" si="18"/>
        <v>Non-Ag Irr</v>
      </c>
      <c r="AX24" s="179">
        <f t="shared" si="27"/>
        <v>4</v>
      </c>
    </row>
    <row r="25" spans="1:50" x14ac:dyDescent="0.2">
      <c r="A25" s="60" t="s">
        <v>134</v>
      </c>
      <c r="B25" s="107">
        <f t="shared" si="0"/>
        <v>0.25</v>
      </c>
      <c r="C25" s="297">
        <v>2005</v>
      </c>
      <c r="D25" s="103">
        <f>+LFM*VLOOKUP(+A25,'HUC11 data'!$E$6:$K$156,7,FALSE)</f>
        <v>2.1800000000000002</v>
      </c>
      <c r="E25" s="103">
        <f t="shared" si="1"/>
        <v>-209.17761500740329</v>
      </c>
      <c r="F25" s="113" t="str">
        <f t="shared" si="2"/>
        <v>Net Gain</v>
      </c>
      <c r="G25" s="103">
        <f t="shared" si="3"/>
        <v>211.3576150074033</v>
      </c>
      <c r="H25" s="104" t="str">
        <f t="shared" si="10"/>
        <v>Non-Ag Irr</v>
      </c>
      <c r="I25" s="76">
        <v>0</v>
      </c>
      <c r="J25" s="76">
        <v>0</v>
      </c>
      <c r="K25" s="77">
        <v>2.3313857312640643E-2</v>
      </c>
      <c r="L25" s="78">
        <v>0.4466905771111836</v>
      </c>
      <c r="M25" s="79">
        <v>0</v>
      </c>
      <c r="N25" s="76">
        <v>0</v>
      </c>
      <c r="O25" s="76">
        <v>0</v>
      </c>
      <c r="P25" s="78">
        <v>0</v>
      </c>
      <c r="Q25" s="79">
        <v>0.15976524290837954</v>
      </c>
      <c r="R25" s="76">
        <v>0</v>
      </c>
      <c r="S25" s="76">
        <v>0</v>
      </c>
      <c r="T25" s="112">
        <f t="shared" si="4"/>
        <v>0.42300399098144181</v>
      </c>
      <c r="U25" s="109">
        <f t="shared" si="5"/>
        <v>0.15976524290837954</v>
      </c>
      <c r="V25" s="108">
        <f>VLOOKUP(+A25,'HUC11 data'!$E$6:$L$156,8,FALSE)</f>
        <v>0</v>
      </c>
      <c r="W25" s="108">
        <f t="shared" si="6"/>
        <v>0.58276923388982138</v>
      </c>
      <c r="X25" s="283">
        <v>0</v>
      </c>
      <c r="Y25" s="257">
        <v>0</v>
      </c>
      <c r="Z25" s="257">
        <v>0</v>
      </c>
      <c r="AA25" s="257">
        <v>209.32507336159111</v>
      </c>
      <c r="AB25" s="80">
        <v>1.7312832867627553E-2</v>
      </c>
      <c r="AC25" s="81">
        <v>0.40202151873444436</v>
      </c>
      <c r="AD25" s="82">
        <v>0</v>
      </c>
      <c r="AE25" s="257">
        <v>0</v>
      </c>
      <c r="AF25" s="257">
        <v>0</v>
      </c>
      <c r="AG25" s="81">
        <v>0</v>
      </c>
      <c r="AH25" s="82">
        <v>1.5976528099938173E-2</v>
      </c>
      <c r="AI25" s="257">
        <v>0</v>
      </c>
      <c r="AJ25" s="257">
        <v>0</v>
      </c>
      <c r="AK25" s="111">
        <f t="shared" si="7"/>
        <v>0.41933435160207189</v>
      </c>
      <c r="AL25" s="110">
        <f t="shared" si="8"/>
        <v>209.34104988969105</v>
      </c>
      <c r="AM25" s="110">
        <f t="shared" si="9"/>
        <v>209.76038424129311</v>
      </c>
      <c r="AN25" s="74"/>
      <c r="AO25" s="60" t="s">
        <v>134</v>
      </c>
      <c r="AP25" s="74">
        <f t="shared" si="20"/>
        <v>-209.31907233714608</v>
      </c>
      <c r="AQ25" s="74">
        <f t="shared" si="21"/>
        <v>4.4669058376739235E-2</v>
      </c>
      <c r="AR25" s="74">
        <f t="shared" si="22"/>
        <v>0</v>
      </c>
      <c r="AS25" s="74">
        <f t="shared" si="23"/>
        <v>0.14378871480844135</v>
      </c>
      <c r="AT25" s="74">
        <f t="shared" si="24"/>
        <v>0</v>
      </c>
      <c r="AU25" s="286">
        <f t="shared" si="25"/>
        <v>0</v>
      </c>
      <c r="AV25" s="74">
        <f t="shared" si="26"/>
        <v>0.14378871480844135</v>
      </c>
      <c r="AW25" t="str">
        <f t="shared" si="18"/>
        <v>Non-Ag Irr</v>
      </c>
      <c r="AX25" s="179">
        <f t="shared" si="27"/>
        <v>4</v>
      </c>
    </row>
    <row r="26" spans="1:50" x14ac:dyDescent="0.2">
      <c r="A26" s="60" t="s">
        <v>136</v>
      </c>
      <c r="B26" s="107">
        <f t="shared" si="0"/>
        <v>0.25</v>
      </c>
      <c r="C26" s="297">
        <v>2005</v>
      </c>
      <c r="D26" s="103">
        <f>+LFM*VLOOKUP(+A26,'HUC11 data'!$E$6:$K$156,7,FALSE)</f>
        <v>2.1825000000000001</v>
      </c>
      <c r="E26" s="103">
        <f t="shared" si="1"/>
        <v>-48.55074899937113</v>
      </c>
      <c r="F26" s="113" t="str">
        <f t="shared" si="2"/>
        <v>Net Gain</v>
      </c>
      <c r="G26" s="103">
        <f t="shared" si="3"/>
        <v>50.733248999371128</v>
      </c>
      <c r="H26" s="104" t="str">
        <f t="shared" si="10"/>
        <v>Non-Ag Irr</v>
      </c>
      <c r="I26" s="76">
        <v>2.2063906097163355</v>
      </c>
      <c r="J26" s="76">
        <v>0</v>
      </c>
      <c r="K26" s="77">
        <v>1.1778806249033416E-2</v>
      </c>
      <c r="L26" s="78">
        <v>0.71818280621671549</v>
      </c>
      <c r="M26" s="79">
        <v>0</v>
      </c>
      <c r="N26" s="76">
        <v>0</v>
      </c>
      <c r="O26" s="76">
        <v>0</v>
      </c>
      <c r="P26" s="78">
        <v>0.1540049994565808</v>
      </c>
      <c r="Q26" s="79">
        <v>0</v>
      </c>
      <c r="R26" s="76">
        <v>0</v>
      </c>
      <c r="S26" s="76">
        <v>0</v>
      </c>
      <c r="T26" s="112">
        <f t="shared" si="4"/>
        <v>2.7813214994747986</v>
      </c>
      <c r="U26" s="109">
        <f t="shared" si="5"/>
        <v>0</v>
      </c>
      <c r="V26" s="108">
        <f>VLOOKUP(+A26,'HUC11 data'!$E$6:$L$156,8,FALSE)</f>
        <v>0</v>
      </c>
      <c r="W26" s="108">
        <f t="shared" si="6"/>
        <v>2.7813214994747986</v>
      </c>
      <c r="X26" s="283">
        <v>0</v>
      </c>
      <c r="Y26" s="257">
        <v>0</v>
      </c>
      <c r="Z26" s="257">
        <v>0</v>
      </c>
      <c r="AA26" s="257">
        <v>50.661558526247141</v>
      </c>
      <c r="AB26" s="80">
        <v>8.7469444564936341E-3</v>
      </c>
      <c r="AC26" s="81">
        <v>0.64636452452486826</v>
      </c>
      <c r="AD26" s="82">
        <v>0</v>
      </c>
      <c r="AE26" s="257">
        <v>0</v>
      </c>
      <c r="AF26" s="257">
        <v>0</v>
      </c>
      <c r="AG26" s="81">
        <v>1.5400503617423393E-2</v>
      </c>
      <c r="AH26" s="82">
        <v>0</v>
      </c>
      <c r="AI26" s="257">
        <v>0</v>
      </c>
      <c r="AJ26" s="257">
        <v>0</v>
      </c>
      <c r="AK26" s="111">
        <f t="shared" si="7"/>
        <v>0.67051197259878526</v>
      </c>
      <c r="AL26" s="110">
        <f t="shared" si="8"/>
        <v>50.661558526247141</v>
      </c>
      <c r="AM26" s="110">
        <f t="shared" si="9"/>
        <v>51.33207049884593</v>
      </c>
      <c r="AN26" s="74"/>
      <c r="AO26" s="60" t="s">
        <v>136</v>
      </c>
      <c r="AP26" s="74">
        <f t="shared" si="20"/>
        <v>-48.452136054738261</v>
      </c>
      <c r="AQ26" s="74">
        <f t="shared" si="21"/>
        <v>7.181828169184723E-2</v>
      </c>
      <c r="AR26" s="74">
        <f t="shared" si="22"/>
        <v>0</v>
      </c>
      <c r="AS26" s="74">
        <f t="shared" si="23"/>
        <v>0.1386044958391574</v>
      </c>
      <c r="AT26" s="74">
        <f t="shared" si="24"/>
        <v>0</v>
      </c>
      <c r="AU26" s="286">
        <f t="shared" si="25"/>
        <v>0</v>
      </c>
      <c r="AV26" s="74">
        <f t="shared" si="26"/>
        <v>0.1386044958391574</v>
      </c>
      <c r="AW26" t="str">
        <f t="shared" si="18"/>
        <v>Non-Ag Irr</v>
      </c>
      <c r="AX26" s="179">
        <f t="shared" si="27"/>
        <v>4</v>
      </c>
    </row>
    <row r="27" spans="1:50" x14ac:dyDescent="0.2">
      <c r="A27" s="60" t="s">
        <v>138</v>
      </c>
      <c r="B27" s="107">
        <f t="shared" si="0"/>
        <v>0.25</v>
      </c>
      <c r="C27" s="297">
        <v>2000</v>
      </c>
      <c r="D27" s="103">
        <f>+LFM*VLOOKUP(+A27,'HUC11 data'!$E$6:$K$156,7,FALSE)</f>
        <v>0.33750000000000002</v>
      </c>
      <c r="E27" s="103">
        <f t="shared" si="1"/>
        <v>7.2227980861013008E-2</v>
      </c>
      <c r="F27" s="113">
        <f t="shared" si="2"/>
        <v>0.21400883218077926</v>
      </c>
      <c r="G27" s="103">
        <f t="shared" si="3"/>
        <v>0.26527201913898701</v>
      </c>
      <c r="H27" s="104" t="str">
        <f t="shared" si="10"/>
        <v>ICM</v>
      </c>
      <c r="I27" s="76">
        <v>0</v>
      </c>
      <c r="J27" s="76">
        <v>0</v>
      </c>
      <c r="K27" s="77">
        <v>4.8140962679720919E-3</v>
      </c>
      <c r="L27" s="78">
        <v>0.8621888925116834</v>
      </c>
      <c r="M27" s="79">
        <v>0</v>
      </c>
      <c r="N27" s="76">
        <v>0</v>
      </c>
      <c r="O27" s="76">
        <v>0</v>
      </c>
      <c r="P27" s="78">
        <v>8.9338115422236714E-2</v>
      </c>
      <c r="Q27" s="79">
        <v>0</v>
      </c>
      <c r="R27" s="76">
        <v>0</v>
      </c>
      <c r="S27" s="76">
        <v>3.0322791000978152E-3</v>
      </c>
      <c r="T27" s="112">
        <f t="shared" si="4"/>
        <v>0.86070699378170301</v>
      </c>
      <c r="U27" s="109">
        <f t="shared" si="5"/>
        <v>3.0322791000978152E-3</v>
      </c>
      <c r="V27" s="108">
        <f>VLOOKUP(+A27,'HUC11 data'!$E$6:$L$156,8,FALSE)</f>
        <v>0</v>
      </c>
      <c r="W27" s="108">
        <f t="shared" si="6"/>
        <v>0.86373927288180086</v>
      </c>
      <c r="X27" s="283">
        <v>0</v>
      </c>
      <c r="Y27" s="257">
        <v>0</v>
      </c>
      <c r="Z27" s="257">
        <v>0</v>
      </c>
      <c r="AA27" s="257">
        <v>0</v>
      </c>
      <c r="AB27" s="80">
        <v>3.5751972727261988E-3</v>
      </c>
      <c r="AC27" s="81">
        <v>0.7759700019757535</v>
      </c>
      <c r="AD27" s="82">
        <v>0</v>
      </c>
      <c r="AE27" s="257">
        <v>0</v>
      </c>
      <c r="AF27" s="257">
        <v>0</v>
      </c>
      <c r="AG27" s="81">
        <v>8.9338136722103244E-3</v>
      </c>
      <c r="AH27" s="82">
        <v>0</v>
      </c>
      <c r="AI27" s="257">
        <v>0</v>
      </c>
      <c r="AJ27" s="257">
        <v>3.0322791000978152E-3</v>
      </c>
      <c r="AK27" s="111">
        <f t="shared" si="7"/>
        <v>0.78847901292069</v>
      </c>
      <c r="AL27" s="110">
        <f t="shared" si="8"/>
        <v>3.0322791000978152E-3</v>
      </c>
      <c r="AM27" s="110">
        <f t="shared" si="9"/>
        <v>0.79151129202078785</v>
      </c>
      <c r="AN27" s="74"/>
      <c r="AO27" s="60" t="s">
        <v>138</v>
      </c>
      <c r="AP27" s="74">
        <f t="shared" si="20"/>
        <v>1.2388989952458931E-3</v>
      </c>
      <c r="AQ27" s="74">
        <f t="shared" si="21"/>
        <v>8.6218890535929904E-2</v>
      </c>
      <c r="AR27" s="74">
        <f t="shared" si="22"/>
        <v>0</v>
      </c>
      <c r="AS27" s="74">
        <f t="shared" si="23"/>
        <v>8.0404301750026386E-2</v>
      </c>
      <c r="AT27" s="74">
        <f t="shared" si="24"/>
        <v>0</v>
      </c>
      <c r="AU27" s="286">
        <f t="shared" si="25"/>
        <v>0</v>
      </c>
      <c r="AV27" s="74">
        <f t="shared" si="26"/>
        <v>8.6218890535929904E-2</v>
      </c>
      <c r="AW27" t="str">
        <f t="shared" si="18"/>
        <v>ICM</v>
      </c>
      <c r="AX27" s="179">
        <f t="shared" si="27"/>
        <v>2</v>
      </c>
    </row>
    <row r="28" spans="1:50" x14ac:dyDescent="0.2">
      <c r="A28" s="60" t="s">
        <v>140</v>
      </c>
      <c r="B28" s="107">
        <f t="shared" si="0"/>
        <v>0.25</v>
      </c>
      <c r="C28" s="297">
        <v>2005</v>
      </c>
      <c r="D28" s="103">
        <f>+LFM*VLOOKUP(+A28,'HUC11 data'!$E$6:$K$156,7,FALSE)</f>
        <v>2.3424999999999998</v>
      </c>
      <c r="E28" s="103">
        <f t="shared" si="1"/>
        <v>-13.973359041055879</v>
      </c>
      <c r="F28" s="113" t="str">
        <f t="shared" si="2"/>
        <v>Net Gain</v>
      </c>
      <c r="G28" s="103">
        <f t="shared" si="3"/>
        <v>16.31585904105588</v>
      </c>
      <c r="H28" s="104" t="str">
        <f t="shared" si="10"/>
        <v>Non-Ag Irr</v>
      </c>
      <c r="I28" s="76">
        <v>11.715217248125205</v>
      </c>
      <c r="J28" s="76">
        <v>5.810564069122921</v>
      </c>
      <c r="K28" s="77">
        <v>4.2808586290073163E-2</v>
      </c>
      <c r="L28" s="78">
        <v>0.77882838821867195</v>
      </c>
      <c r="M28" s="79">
        <v>0</v>
      </c>
      <c r="N28" s="76">
        <v>0</v>
      </c>
      <c r="O28" s="76">
        <v>0</v>
      </c>
      <c r="P28" s="78">
        <v>0.94780241278121935</v>
      </c>
      <c r="Q28" s="79">
        <v>0.3162699706553635</v>
      </c>
      <c r="R28" s="76">
        <v>0</v>
      </c>
      <c r="S28" s="76">
        <v>0</v>
      </c>
      <c r="T28" s="112">
        <f t="shared" si="4"/>
        <v>12.136190971873654</v>
      </c>
      <c r="U28" s="109">
        <f t="shared" si="5"/>
        <v>6.1268340397782843</v>
      </c>
      <c r="V28" s="108">
        <f>VLOOKUP(+A28,'HUC11 data'!$E$6:$L$156,8,FALSE)</f>
        <v>0</v>
      </c>
      <c r="W28" s="108">
        <f t="shared" si="6"/>
        <v>18.263025011651941</v>
      </c>
      <c r="X28" s="283">
        <v>0</v>
      </c>
      <c r="Y28" s="257">
        <v>0</v>
      </c>
      <c r="Z28" s="257">
        <v>0</v>
      </c>
      <c r="AA28" s="257">
        <v>31.377241604173456</v>
      </c>
      <c r="AB28" s="80">
        <v>3.1789631816607086E-2</v>
      </c>
      <c r="AC28" s="81">
        <v>0.70094554823625987</v>
      </c>
      <c r="AD28" s="82">
        <v>0</v>
      </c>
      <c r="AE28" s="257">
        <v>0</v>
      </c>
      <c r="AF28" s="257">
        <v>0</v>
      </c>
      <c r="AG28" s="81">
        <v>9.478026387549239E-2</v>
      </c>
      <c r="AH28" s="82">
        <v>3.1627004606000049E-2</v>
      </c>
      <c r="AI28" s="257">
        <v>0</v>
      </c>
      <c r="AJ28" s="257">
        <v>0</v>
      </c>
      <c r="AK28" s="111">
        <f t="shared" si="7"/>
        <v>0.82751544392835941</v>
      </c>
      <c r="AL28" s="110">
        <f t="shared" si="8"/>
        <v>31.408868608779457</v>
      </c>
      <c r="AM28" s="110">
        <f t="shared" si="9"/>
        <v>32.23638405270782</v>
      </c>
      <c r="AN28" s="74"/>
      <c r="AO28" s="60" t="s">
        <v>140</v>
      </c>
      <c r="AP28" s="74">
        <f t="shared" si="20"/>
        <v>-13.840441332451867</v>
      </c>
      <c r="AQ28" s="74">
        <f t="shared" si="21"/>
        <v>7.7882839982412078E-2</v>
      </c>
      <c r="AR28" s="74">
        <f t="shared" si="22"/>
        <v>0</v>
      </c>
      <c r="AS28" s="74">
        <f t="shared" si="23"/>
        <v>1.1376651149550903</v>
      </c>
      <c r="AT28" s="74">
        <f t="shared" si="24"/>
        <v>0</v>
      </c>
      <c r="AU28" s="286">
        <f t="shared" si="25"/>
        <v>0</v>
      </c>
      <c r="AV28" s="74">
        <f t="shared" si="26"/>
        <v>1.1376651149550903</v>
      </c>
      <c r="AW28" t="str">
        <f t="shared" si="18"/>
        <v>Non-Ag Irr</v>
      </c>
      <c r="AX28" s="179">
        <f t="shared" si="27"/>
        <v>4</v>
      </c>
    </row>
    <row r="29" spans="1:50" x14ac:dyDescent="0.2">
      <c r="A29" s="60" t="s">
        <v>185</v>
      </c>
      <c r="B29" s="107">
        <f t="shared" si="0"/>
        <v>0.25</v>
      </c>
      <c r="C29" s="297">
        <v>2001</v>
      </c>
      <c r="D29" s="103">
        <f>+LFM*VLOOKUP(+A29,'HUC11 data'!$E$6:$K$156,7,FALSE)</f>
        <v>4.2424999999999997</v>
      </c>
      <c r="E29" s="103">
        <f t="shared" si="1"/>
        <v>1.9698724254476503</v>
      </c>
      <c r="F29" s="113">
        <f t="shared" si="2"/>
        <v>0.46431878030586926</v>
      </c>
      <c r="G29" s="103">
        <f t="shared" si="3"/>
        <v>2.2726275745523496</v>
      </c>
      <c r="H29" s="104" t="str">
        <f t="shared" si="10"/>
        <v>Potable</v>
      </c>
      <c r="I29" s="76">
        <v>1.7461145527660038</v>
      </c>
      <c r="J29" s="76">
        <v>0</v>
      </c>
      <c r="K29" s="77">
        <v>8.0563209047558204E-2</v>
      </c>
      <c r="L29" s="78">
        <v>0</v>
      </c>
      <c r="M29" s="79">
        <v>0</v>
      </c>
      <c r="N29" s="76">
        <v>1.0868383871318335E-4</v>
      </c>
      <c r="O29" s="76">
        <v>0</v>
      </c>
      <c r="P29" s="78">
        <v>0</v>
      </c>
      <c r="Q29" s="79">
        <v>0</v>
      </c>
      <c r="R29" s="76">
        <v>0</v>
      </c>
      <c r="S29" s="76">
        <v>0</v>
      </c>
      <c r="T29" s="112">
        <f t="shared" si="4"/>
        <v>1.6441078010870478</v>
      </c>
      <c r="U29" s="109">
        <f t="shared" si="5"/>
        <v>0</v>
      </c>
      <c r="V29" s="108">
        <f>VLOOKUP(+A29,'HUC11 data'!$E$6:$L$156,8,FALSE)</f>
        <v>0.39664399999999977</v>
      </c>
      <c r="W29" s="108">
        <f t="shared" si="6"/>
        <v>2.0407518010870476</v>
      </c>
      <c r="X29" s="283">
        <v>0</v>
      </c>
      <c r="Y29" s="257">
        <v>0</v>
      </c>
      <c r="Z29" s="257">
        <v>0</v>
      </c>
      <c r="AA29" s="257">
        <v>0</v>
      </c>
      <c r="AB29" s="80">
        <v>5.9826228744751443E-2</v>
      </c>
      <c r="AC29" s="81">
        <v>8.9664166938376241E-3</v>
      </c>
      <c r="AD29" s="82">
        <v>0</v>
      </c>
      <c r="AE29" s="257">
        <v>1.0868386462542974E-5</v>
      </c>
      <c r="AF29" s="257">
        <v>0</v>
      </c>
      <c r="AG29" s="81">
        <v>2.0758618143457081E-3</v>
      </c>
      <c r="AH29" s="82">
        <v>0</v>
      </c>
      <c r="AI29" s="257">
        <v>0</v>
      </c>
      <c r="AJ29" s="257">
        <v>0</v>
      </c>
      <c r="AK29" s="111">
        <f t="shared" si="7"/>
        <v>7.0879375639397321E-2</v>
      </c>
      <c r="AL29" s="110">
        <f t="shared" si="8"/>
        <v>0</v>
      </c>
      <c r="AM29" s="110">
        <f t="shared" si="9"/>
        <v>7.0879375639397321E-2</v>
      </c>
      <c r="AN29" s="74"/>
      <c r="AO29" s="60" t="s">
        <v>185</v>
      </c>
      <c r="AP29" s="74">
        <f t="shared" si="20"/>
        <v>1.7668515330688106</v>
      </c>
      <c r="AQ29" s="74">
        <f t="shared" si="21"/>
        <v>-8.9664166938376241E-3</v>
      </c>
      <c r="AR29" s="74">
        <f t="shared" si="22"/>
        <v>9.7815452250640377E-5</v>
      </c>
      <c r="AS29" s="74">
        <f t="shared" si="23"/>
        <v>-2.0758618143457081E-3</v>
      </c>
      <c r="AT29" s="74">
        <f t="shared" si="24"/>
        <v>0</v>
      </c>
      <c r="AU29" s="286">
        <f t="shared" si="25"/>
        <v>0.39664399999999977</v>
      </c>
      <c r="AV29" s="74">
        <f t="shared" si="26"/>
        <v>1.7668515330688106</v>
      </c>
      <c r="AW29" t="str">
        <f t="shared" si="18"/>
        <v>Potable</v>
      </c>
      <c r="AX29" s="179">
        <f t="shared" si="27"/>
        <v>1</v>
      </c>
    </row>
    <row r="30" spans="1:50" x14ac:dyDescent="0.2">
      <c r="A30" s="60" t="s">
        <v>187</v>
      </c>
      <c r="B30" s="107">
        <f t="shared" si="0"/>
        <v>0.25</v>
      </c>
      <c r="C30" s="297">
        <v>2007</v>
      </c>
      <c r="D30" s="103">
        <f>+LFM*VLOOKUP(+A30,'HUC11 data'!$E$6:$K$156,7,FALSE)</f>
        <v>6.1150000000000002</v>
      </c>
      <c r="E30" s="103">
        <f t="shared" si="1"/>
        <v>1.863509301892261</v>
      </c>
      <c r="F30" s="113">
        <f t="shared" si="2"/>
        <v>0.3047439577910484</v>
      </c>
      <c r="G30" s="103">
        <f t="shared" si="3"/>
        <v>4.2514906981077392</v>
      </c>
      <c r="H30" s="104" t="str">
        <f t="shared" si="10"/>
        <v>Leakage</v>
      </c>
      <c r="I30" s="76">
        <v>1.1716117813281164E-2</v>
      </c>
      <c r="J30" s="76">
        <v>3.4887512226931858E-2</v>
      </c>
      <c r="K30" s="77">
        <v>1.3768007917874205</v>
      </c>
      <c r="L30" s="78">
        <v>0</v>
      </c>
      <c r="M30" s="79">
        <v>1.3042060645582001E-4</v>
      </c>
      <c r="N30" s="76">
        <v>5.8689272905119008E-2</v>
      </c>
      <c r="O30" s="76">
        <v>4.1082491033583302E-2</v>
      </c>
      <c r="P30" s="78">
        <v>6.4232148679491355E-2</v>
      </c>
      <c r="Q30" s="79">
        <v>0.52559504401695467</v>
      </c>
      <c r="R30" s="76">
        <v>0</v>
      </c>
      <c r="S30" s="76">
        <v>0</v>
      </c>
      <c r="T30" s="112">
        <f t="shared" si="4"/>
        <v>1.360294498066781</v>
      </c>
      <c r="U30" s="109">
        <f t="shared" si="5"/>
        <v>0.60169546788392569</v>
      </c>
      <c r="V30" s="108">
        <f>VLOOKUP(+A30,'HUC11 data'!$E$6:$L$156,8,FALSE)</f>
        <v>1.2293379999999998</v>
      </c>
      <c r="W30" s="108">
        <f t="shared" si="6"/>
        <v>3.1913279659507063</v>
      </c>
      <c r="X30" s="283">
        <v>272.21388979458749</v>
      </c>
      <c r="Y30" s="257">
        <v>2.7622106292794258E-2</v>
      </c>
      <c r="Z30" s="257">
        <v>0.12477730681447666</v>
      </c>
      <c r="AA30" s="257">
        <v>0</v>
      </c>
      <c r="AB30" s="80">
        <v>1.0224271504081452</v>
      </c>
      <c r="AC30" s="81">
        <v>8.2925768862041668E-3</v>
      </c>
      <c r="AD30" s="82">
        <v>1.1737854561589616E-4</v>
      </c>
      <c r="AE30" s="257">
        <v>1.1933488335872185E-2</v>
      </c>
      <c r="AF30" s="257">
        <v>4.1082500828412442E-3</v>
      </c>
      <c r="AG30" s="81">
        <v>7.5980889759637932E-2</v>
      </c>
      <c r="AH30" s="82">
        <v>5.2559516932857826E-2</v>
      </c>
      <c r="AI30" s="257">
        <v>0</v>
      </c>
      <c r="AJ30" s="257">
        <v>0</v>
      </c>
      <c r="AK30" s="111">
        <f t="shared" si="7"/>
        <v>1.1462562116826536</v>
      </c>
      <c r="AL30" s="110">
        <f t="shared" si="8"/>
        <v>0.18156245237579163</v>
      </c>
      <c r="AM30" s="110">
        <f t="shared" si="9"/>
        <v>1.3278186640584453</v>
      </c>
      <c r="AN30" s="74"/>
      <c r="AO30" s="60" t="s">
        <v>187</v>
      </c>
      <c r="AP30" s="74">
        <f t="shared" si="20"/>
        <v>0.24857785831221735</v>
      </c>
      <c r="AQ30" s="74">
        <f t="shared" si="21"/>
        <v>-8.2795348253642421E-3</v>
      </c>
      <c r="AR30" s="74">
        <f t="shared" si="22"/>
        <v>8.3730025519988885E-2</v>
      </c>
      <c r="AS30" s="74">
        <f t="shared" si="23"/>
        <v>0.46128678600395023</v>
      </c>
      <c r="AT30" s="74">
        <f t="shared" si="24"/>
        <v>0</v>
      </c>
      <c r="AU30" s="286">
        <f t="shared" si="25"/>
        <v>1.2293379999999998</v>
      </c>
      <c r="AV30" s="74">
        <f t="shared" si="26"/>
        <v>1.2293379999999998</v>
      </c>
      <c r="AW30" t="str">
        <f t="shared" si="18"/>
        <v>Leakage</v>
      </c>
      <c r="AX30" s="179">
        <f t="shared" si="27"/>
        <v>6</v>
      </c>
    </row>
    <row r="31" spans="1:50" x14ac:dyDescent="0.2">
      <c r="A31" s="60" t="s">
        <v>189</v>
      </c>
      <c r="B31" s="107">
        <f t="shared" si="0"/>
        <v>0.25</v>
      </c>
      <c r="C31" s="297">
        <v>2005</v>
      </c>
      <c r="D31" s="103">
        <f>+LFM*VLOOKUP(+A31,'HUC11 data'!$E$6:$K$156,7,FALSE)</f>
        <v>2.1825000000000001</v>
      </c>
      <c r="E31" s="103">
        <f t="shared" si="1"/>
        <v>0.48925674544924858</v>
      </c>
      <c r="F31" s="113">
        <f t="shared" si="2"/>
        <v>0.22417262105349303</v>
      </c>
      <c r="G31" s="103">
        <f t="shared" si="3"/>
        <v>1.6932432545507514</v>
      </c>
      <c r="H31" s="104" t="str">
        <f t="shared" si="10"/>
        <v>Leakage</v>
      </c>
      <c r="I31" s="76">
        <v>0</v>
      </c>
      <c r="J31" s="76">
        <v>0</v>
      </c>
      <c r="K31" s="77">
        <v>6.5460133612630228E-2</v>
      </c>
      <c r="L31" s="78">
        <v>1.5867840452124766E-2</v>
      </c>
      <c r="M31" s="79">
        <v>0</v>
      </c>
      <c r="N31" s="76">
        <v>0</v>
      </c>
      <c r="O31" s="76">
        <v>0</v>
      </c>
      <c r="P31" s="78">
        <v>3.398000217367677E-2</v>
      </c>
      <c r="Q31" s="79">
        <v>0.23280078252363873</v>
      </c>
      <c r="R31" s="76">
        <v>0</v>
      </c>
      <c r="S31" s="76">
        <v>0</v>
      </c>
      <c r="T31" s="112">
        <f t="shared" si="4"/>
        <v>0.10377717861458859</v>
      </c>
      <c r="U31" s="109">
        <f t="shared" si="5"/>
        <v>0.23280078252363873</v>
      </c>
      <c r="V31" s="108">
        <f>VLOOKUP(+A31,'HUC11 data'!$E$6:$L$156,8,FALSE)</f>
        <v>0.28553200000000001</v>
      </c>
      <c r="W31" s="108">
        <f t="shared" si="6"/>
        <v>0.62210996113822725</v>
      </c>
      <c r="X31" s="283">
        <v>0</v>
      </c>
      <c r="Y31" s="257">
        <v>0</v>
      </c>
      <c r="Z31" s="257">
        <v>0</v>
      </c>
      <c r="AA31" s="257">
        <v>0</v>
      </c>
      <c r="AB31" s="80">
        <v>4.8610733937774611E-2</v>
      </c>
      <c r="AC31" s="81">
        <v>4.9630474803266593E-2</v>
      </c>
      <c r="AD31" s="82">
        <v>0</v>
      </c>
      <c r="AE31" s="257">
        <v>0</v>
      </c>
      <c r="AF31" s="257">
        <v>0</v>
      </c>
      <c r="AG31" s="81">
        <v>1.1331923145170435E-2</v>
      </c>
      <c r="AH31" s="82">
        <v>2.3280083802767054E-2</v>
      </c>
      <c r="AI31" s="257">
        <v>0</v>
      </c>
      <c r="AJ31" s="257">
        <v>0</v>
      </c>
      <c r="AK31" s="111">
        <f t="shared" si="7"/>
        <v>0.10957313188621164</v>
      </c>
      <c r="AL31" s="110">
        <f t="shared" si="8"/>
        <v>2.3280083802767054E-2</v>
      </c>
      <c r="AM31" s="110">
        <f t="shared" si="9"/>
        <v>0.13285321568897868</v>
      </c>
      <c r="AN31" s="74"/>
      <c r="AO31" s="60" t="s">
        <v>189</v>
      </c>
      <c r="AP31" s="74">
        <f t="shared" si="20"/>
        <v>1.6849399674855617E-2</v>
      </c>
      <c r="AQ31" s="74">
        <f t="shared" si="21"/>
        <v>-3.3762634351141824E-2</v>
      </c>
      <c r="AR31" s="74">
        <f t="shared" si="22"/>
        <v>0</v>
      </c>
      <c r="AS31" s="74">
        <f t="shared" si="23"/>
        <v>0.232168777749378</v>
      </c>
      <c r="AT31" s="74">
        <f t="shared" si="24"/>
        <v>0</v>
      </c>
      <c r="AU31" s="286">
        <f t="shared" si="25"/>
        <v>0.28553200000000001</v>
      </c>
      <c r="AV31" s="74">
        <f t="shared" si="26"/>
        <v>0.28553200000000001</v>
      </c>
      <c r="AW31" t="str">
        <f t="shared" si="18"/>
        <v>Leakage</v>
      </c>
      <c r="AX31" s="179">
        <f t="shared" si="27"/>
        <v>6</v>
      </c>
    </row>
    <row r="32" spans="1:50" x14ac:dyDescent="0.2">
      <c r="A32" s="60" t="s">
        <v>191</v>
      </c>
      <c r="B32" s="107">
        <f t="shared" si="0"/>
        <v>0.25</v>
      </c>
      <c r="C32" s="297">
        <v>2001</v>
      </c>
      <c r="D32" s="103">
        <f>+LFM*VLOOKUP(+A32,'HUC11 data'!$E$6:$K$156,7,FALSE)</f>
        <v>3.3849999999999998</v>
      </c>
      <c r="E32" s="103">
        <f t="shared" si="1"/>
        <v>0.58497506872665872</v>
      </c>
      <c r="F32" s="113">
        <f t="shared" si="2"/>
        <v>0.17281390508911632</v>
      </c>
      <c r="G32" s="103">
        <f t="shared" si="3"/>
        <v>2.8000249312733412</v>
      </c>
      <c r="H32" s="104" t="str">
        <f t="shared" si="10"/>
        <v>Non-Ag Irr</v>
      </c>
      <c r="I32" s="76">
        <v>4.4343006194978796E-3</v>
      </c>
      <c r="J32" s="76">
        <v>0</v>
      </c>
      <c r="K32" s="77">
        <v>0.17779886078709145</v>
      </c>
      <c r="L32" s="78">
        <v>7.2492120421693299E-2</v>
      </c>
      <c r="M32" s="79">
        <v>0</v>
      </c>
      <c r="N32" s="76">
        <v>0</v>
      </c>
      <c r="O32" s="76">
        <v>0</v>
      </c>
      <c r="P32" s="78">
        <v>0.3069231605260298</v>
      </c>
      <c r="Q32" s="79">
        <v>0.22993152918161067</v>
      </c>
      <c r="R32" s="76">
        <v>0</v>
      </c>
      <c r="S32" s="76">
        <v>0</v>
      </c>
      <c r="T32" s="112">
        <f t="shared" si="4"/>
        <v>0.50548359811888122</v>
      </c>
      <c r="U32" s="109">
        <f t="shared" si="5"/>
        <v>0.22993152918161067</v>
      </c>
      <c r="V32" s="108">
        <f>VLOOKUP(+A32,'HUC11 data'!$E$6:$L$156,8,FALSE)</f>
        <v>0.12403200000000003</v>
      </c>
      <c r="W32" s="108">
        <f t="shared" si="6"/>
        <v>0.85944712730049189</v>
      </c>
      <c r="X32" s="283">
        <v>24.395500489077268</v>
      </c>
      <c r="Y32" s="257">
        <v>7.5415715683077918E-3</v>
      </c>
      <c r="Z32" s="257">
        <v>0</v>
      </c>
      <c r="AA32" s="257">
        <v>0</v>
      </c>
      <c r="AB32" s="80">
        <v>0.13203535397393149</v>
      </c>
      <c r="AC32" s="81">
        <v>6.5242908271502281E-2</v>
      </c>
      <c r="AD32" s="82">
        <v>0</v>
      </c>
      <c r="AE32" s="257">
        <v>0</v>
      </c>
      <c r="AF32" s="257">
        <v>0</v>
      </c>
      <c r="AG32" s="81">
        <v>3.1703083311237855E-2</v>
      </c>
      <c r="AH32" s="82">
        <v>2.2993158400155915E-2</v>
      </c>
      <c r="AI32" s="257">
        <v>1.495598304869785E-2</v>
      </c>
      <c r="AJ32" s="257">
        <v>0</v>
      </c>
      <c r="AK32" s="111">
        <f t="shared" si="7"/>
        <v>0.25147890017367724</v>
      </c>
      <c r="AL32" s="110">
        <f t="shared" si="8"/>
        <v>2.2993158400155915E-2</v>
      </c>
      <c r="AM32" s="110">
        <f t="shared" si="9"/>
        <v>0.27447205857383317</v>
      </c>
      <c r="AN32" s="74"/>
      <c r="AO32" s="60" t="s">
        <v>191</v>
      </c>
      <c r="AP32" s="74">
        <f t="shared" si="20"/>
        <v>4.2656235864350051E-2</v>
      </c>
      <c r="AQ32" s="74">
        <f t="shared" si="21"/>
        <v>7.2492121501910173E-3</v>
      </c>
      <c r="AR32" s="74">
        <f t="shared" si="22"/>
        <v>0</v>
      </c>
      <c r="AS32" s="74">
        <f t="shared" si="23"/>
        <v>0.48215844799624674</v>
      </c>
      <c r="AT32" s="74">
        <f t="shared" si="24"/>
        <v>-1.495598304869785E-2</v>
      </c>
      <c r="AU32" s="286">
        <f t="shared" si="25"/>
        <v>0.12403200000000003</v>
      </c>
      <c r="AV32" s="74">
        <f t="shared" si="26"/>
        <v>0.48215844799624674</v>
      </c>
      <c r="AW32" t="str">
        <f t="shared" si="18"/>
        <v>Non-Ag Irr</v>
      </c>
      <c r="AX32" s="179">
        <f t="shared" si="27"/>
        <v>4</v>
      </c>
    </row>
    <row r="33" spans="1:50" x14ac:dyDescent="0.2">
      <c r="A33" s="60" t="s">
        <v>193</v>
      </c>
      <c r="B33" s="107">
        <f t="shared" si="0"/>
        <v>0.25</v>
      </c>
      <c r="C33" s="297">
        <v>2005</v>
      </c>
      <c r="D33" s="103">
        <f>+LFM*VLOOKUP(+A33,'HUC11 data'!$E$6:$K$156,7,FALSE)</f>
        <v>5.0549999999999997</v>
      </c>
      <c r="E33" s="103">
        <f t="shared" si="1"/>
        <v>1.2135589422501591</v>
      </c>
      <c r="F33" s="113">
        <f t="shared" si="2"/>
        <v>0.24007100736897313</v>
      </c>
      <c r="G33" s="103">
        <f t="shared" si="3"/>
        <v>3.8414410577498406</v>
      </c>
      <c r="H33" s="104" t="str">
        <f t="shared" si="10"/>
        <v>Leakage</v>
      </c>
      <c r="I33" s="76">
        <v>0</v>
      </c>
      <c r="J33" s="76">
        <v>0</v>
      </c>
      <c r="K33" s="77">
        <v>1.3994641916044062</v>
      </c>
      <c r="L33" s="78">
        <v>6.6297141615041843E-3</v>
      </c>
      <c r="M33" s="79">
        <v>0</v>
      </c>
      <c r="N33" s="76">
        <v>0.17498098032822521</v>
      </c>
      <c r="O33" s="76">
        <v>0.39387023149657646</v>
      </c>
      <c r="P33" s="78">
        <v>0.50924899467449214</v>
      </c>
      <c r="Q33" s="79">
        <v>0.29507662210629282</v>
      </c>
      <c r="R33" s="76">
        <v>0</v>
      </c>
      <c r="S33" s="76">
        <v>0</v>
      </c>
      <c r="T33" s="112">
        <f t="shared" si="4"/>
        <v>1.8812914926917648</v>
      </c>
      <c r="U33" s="109">
        <f t="shared" si="5"/>
        <v>0.68894685360286934</v>
      </c>
      <c r="V33" s="108">
        <f>VLOOKUP(+A33,'HUC11 data'!$E$6:$L$156,8,FALSE)</f>
        <v>0.7810140000000001</v>
      </c>
      <c r="W33" s="108">
        <f t="shared" si="6"/>
        <v>3.3512523462946344</v>
      </c>
      <c r="X33" s="283">
        <v>269.26677535050538</v>
      </c>
      <c r="Y33" s="257">
        <v>0.25952885555917832</v>
      </c>
      <c r="Z33" s="257">
        <v>0</v>
      </c>
      <c r="AA33" s="257">
        <v>0</v>
      </c>
      <c r="AB33" s="80">
        <v>1.0392614562734794</v>
      </c>
      <c r="AC33" s="81">
        <v>0.67401695356287972</v>
      </c>
      <c r="AD33" s="82">
        <v>0</v>
      </c>
      <c r="AE33" s="257">
        <v>1.7498102204694187E-2</v>
      </c>
      <c r="AF33" s="257">
        <v>3.9387032540255738E-2</v>
      </c>
      <c r="AG33" s="81">
        <v>7.8493334658183964E-2</v>
      </c>
      <c r="AH33" s="82">
        <v>2.9507669245804176E-2</v>
      </c>
      <c r="AI33" s="257">
        <v>0</v>
      </c>
      <c r="AJ33" s="257">
        <v>0</v>
      </c>
      <c r="AK33" s="111">
        <f t="shared" si="7"/>
        <v>2.0687987022584156</v>
      </c>
      <c r="AL33" s="110">
        <f t="shared" si="8"/>
        <v>6.8894701786059914E-2</v>
      </c>
      <c r="AM33" s="110">
        <f t="shared" si="9"/>
        <v>2.1376934040444753</v>
      </c>
      <c r="AN33" s="74"/>
      <c r="AO33" s="60" t="s">
        <v>193</v>
      </c>
      <c r="AP33" s="74">
        <f t="shared" si="20"/>
        <v>0.10067387977174835</v>
      </c>
      <c r="AQ33" s="74">
        <f t="shared" si="21"/>
        <v>-0.66738723940137556</v>
      </c>
      <c r="AR33" s="74">
        <f t="shared" si="22"/>
        <v>0.51196607707985176</v>
      </c>
      <c r="AS33" s="74">
        <f t="shared" si="23"/>
        <v>0.69632461287679681</v>
      </c>
      <c r="AT33" s="74">
        <f t="shared" si="24"/>
        <v>0</v>
      </c>
      <c r="AU33" s="286">
        <f t="shared" si="25"/>
        <v>0.7810140000000001</v>
      </c>
      <c r="AV33" s="74">
        <f t="shared" si="26"/>
        <v>0.7810140000000001</v>
      </c>
      <c r="AW33" t="str">
        <f t="shared" si="18"/>
        <v>Leakage</v>
      </c>
      <c r="AX33" s="179">
        <f t="shared" si="27"/>
        <v>6</v>
      </c>
    </row>
    <row r="34" spans="1:50" x14ac:dyDescent="0.2">
      <c r="A34" s="60" t="s">
        <v>195</v>
      </c>
      <c r="B34" s="107">
        <f t="shared" si="0"/>
        <v>0.25</v>
      </c>
      <c r="C34" s="297">
        <v>2007</v>
      </c>
      <c r="D34" s="103">
        <f>+LFM*VLOOKUP(+A34,'HUC11 data'!$E$6:$K$156,7,FALSE)</f>
        <v>2.5000000000000001E-5</v>
      </c>
      <c r="E34" s="103">
        <f t="shared" si="1"/>
        <v>-97.96135500715414</v>
      </c>
      <c r="F34" s="113" t="str">
        <f t="shared" si="2"/>
        <v>Net Gain</v>
      </c>
      <c r="G34" s="103">
        <f t="shared" si="3"/>
        <v>97.961380007154133</v>
      </c>
      <c r="H34" s="104" t="str">
        <f t="shared" si="10"/>
        <v>Leakage</v>
      </c>
      <c r="I34" s="76">
        <v>0</v>
      </c>
      <c r="J34" s="76">
        <v>0</v>
      </c>
      <c r="K34" s="77">
        <v>3.0406477047603561E-4</v>
      </c>
      <c r="L34" s="78">
        <v>0</v>
      </c>
      <c r="M34" s="79">
        <v>0</v>
      </c>
      <c r="N34" s="76">
        <v>0</v>
      </c>
      <c r="O34" s="76">
        <v>0</v>
      </c>
      <c r="P34" s="78">
        <v>0</v>
      </c>
      <c r="Q34" s="79">
        <v>0</v>
      </c>
      <c r="R34" s="76">
        <v>0</v>
      </c>
      <c r="S34" s="76">
        <v>0</v>
      </c>
      <c r="T34" s="112">
        <f t="shared" si="4"/>
        <v>2.7365829342843208E-4</v>
      </c>
      <c r="U34" s="109">
        <f t="shared" si="5"/>
        <v>0</v>
      </c>
      <c r="V34" s="108">
        <f>VLOOKUP(+A34,'HUC11 data'!$E$6:$L$156,8,FALSE)</f>
        <v>7.7519999999999998E-4</v>
      </c>
      <c r="W34" s="108">
        <f t="shared" si="6"/>
        <v>1.0488582934284321E-3</v>
      </c>
      <c r="X34" s="283">
        <v>0</v>
      </c>
      <c r="Y34" s="257">
        <v>5.4776654711444397E-8</v>
      </c>
      <c r="Z34" s="257">
        <v>0</v>
      </c>
      <c r="AA34" s="257">
        <v>97.962178024127809</v>
      </c>
      <c r="AB34" s="80">
        <v>2.2578654310703291E-4</v>
      </c>
      <c r="AC34" s="81">
        <v>0</v>
      </c>
      <c r="AD34" s="82">
        <v>0</v>
      </c>
      <c r="AE34" s="257">
        <v>0</v>
      </c>
      <c r="AF34" s="257">
        <v>0</v>
      </c>
      <c r="AG34" s="81">
        <v>0</v>
      </c>
      <c r="AH34" s="82">
        <v>0</v>
      </c>
      <c r="AI34" s="257">
        <v>0</v>
      </c>
      <c r="AJ34" s="257">
        <v>0</v>
      </c>
      <c r="AK34" s="111">
        <f t="shared" si="7"/>
        <v>2.2584131976174435E-4</v>
      </c>
      <c r="AL34" s="110">
        <f t="shared" si="8"/>
        <v>97.962178024127809</v>
      </c>
      <c r="AM34" s="110">
        <f t="shared" si="9"/>
        <v>97.96240386544757</v>
      </c>
      <c r="AN34" s="74"/>
      <c r="AO34" s="60" t="s">
        <v>195</v>
      </c>
      <c r="AP34" s="74">
        <f t="shared" si="20"/>
        <v>-97.962099800677095</v>
      </c>
      <c r="AQ34" s="74">
        <f t="shared" si="21"/>
        <v>0</v>
      </c>
      <c r="AR34" s="74">
        <f t="shared" si="22"/>
        <v>0</v>
      </c>
      <c r="AS34" s="74">
        <f t="shared" si="23"/>
        <v>0</v>
      </c>
      <c r="AT34" s="74">
        <f t="shared" si="24"/>
        <v>0</v>
      </c>
      <c r="AU34" s="286">
        <f t="shared" si="25"/>
        <v>7.7519999999999998E-4</v>
      </c>
      <c r="AV34" s="74">
        <f t="shared" si="26"/>
        <v>7.7519999999999998E-4</v>
      </c>
      <c r="AW34" t="str">
        <f t="shared" si="18"/>
        <v>Leakage</v>
      </c>
      <c r="AX34" s="179">
        <f t="shared" si="27"/>
        <v>6</v>
      </c>
    </row>
    <row r="35" spans="1:50" x14ac:dyDescent="0.2">
      <c r="A35" s="60" t="s">
        <v>197</v>
      </c>
      <c r="B35" s="107">
        <f t="shared" si="0"/>
        <v>0.25</v>
      </c>
      <c r="C35" s="297">
        <v>2009</v>
      </c>
      <c r="D35" s="103">
        <f>+LFM*VLOOKUP(+A35,'HUC11 data'!$E$6:$K$156,7,FALSE)</f>
        <v>2.5000000000000001E-5</v>
      </c>
      <c r="E35" s="103">
        <f t="shared" si="1"/>
        <v>-22.961137145202574</v>
      </c>
      <c r="F35" s="113" t="str">
        <f t="shared" si="2"/>
        <v>Net Gain</v>
      </c>
      <c r="G35" s="103">
        <f t="shared" si="3"/>
        <v>22.961162145202575</v>
      </c>
      <c r="H35" s="104" t="str">
        <f t="shared" si="10"/>
        <v>ICM</v>
      </c>
      <c r="I35" s="76">
        <v>0</v>
      </c>
      <c r="J35" s="76">
        <v>0</v>
      </c>
      <c r="K35" s="77">
        <v>3.9846756794234745E-4</v>
      </c>
      <c r="L35" s="78">
        <v>0</v>
      </c>
      <c r="M35" s="79">
        <v>0</v>
      </c>
      <c r="N35" s="76">
        <v>0</v>
      </c>
      <c r="O35" s="76">
        <v>0</v>
      </c>
      <c r="P35" s="78">
        <v>0</v>
      </c>
      <c r="Q35" s="79">
        <v>0</v>
      </c>
      <c r="R35" s="76">
        <v>0</v>
      </c>
      <c r="S35" s="76">
        <v>0</v>
      </c>
      <c r="T35" s="112">
        <f t="shared" si="4"/>
        <v>3.5862081114811274E-4</v>
      </c>
      <c r="U35" s="109">
        <f t="shared" si="5"/>
        <v>0</v>
      </c>
      <c r="V35" s="108">
        <f>VLOOKUP(+A35,'HUC11 data'!$E$6:$L$156,8,FALSE)</f>
        <v>0</v>
      </c>
      <c r="W35" s="108">
        <f t="shared" si="6"/>
        <v>3.5862081114811274E-4</v>
      </c>
      <c r="X35" s="283">
        <v>0</v>
      </c>
      <c r="Y35" s="257">
        <v>0</v>
      </c>
      <c r="Z35" s="257">
        <v>0</v>
      </c>
      <c r="AA35" s="257">
        <v>22.961199869579392</v>
      </c>
      <c r="AB35" s="80">
        <v>2.9589643432990123E-4</v>
      </c>
      <c r="AC35" s="81">
        <v>0</v>
      </c>
      <c r="AD35" s="82">
        <v>0</v>
      </c>
      <c r="AE35" s="257">
        <v>0</v>
      </c>
      <c r="AF35" s="257">
        <v>0</v>
      </c>
      <c r="AG35" s="81">
        <v>0</v>
      </c>
      <c r="AH35" s="82">
        <v>0</v>
      </c>
      <c r="AI35" s="257">
        <v>0</v>
      </c>
      <c r="AJ35" s="257">
        <v>0</v>
      </c>
      <c r="AK35" s="111">
        <f t="shared" si="7"/>
        <v>2.9589643432990123E-4</v>
      </c>
      <c r="AL35" s="110">
        <f t="shared" si="8"/>
        <v>22.961199869579392</v>
      </c>
      <c r="AM35" s="110">
        <f t="shared" si="9"/>
        <v>22.961495766013723</v>
      </c>
      <c r="AN35" s="74"/>
      <c r="AO35" s="60" t="s">
        <v>197</v>
      </c>
      <c r="AP35" s="74">
        <f t="shared" si="20"/>
        <v>-22.961097298445779</v>
      </c>
      <c r="AQ35" s="74">
        <f t="shared" si="21"/>
        <v>0</v>
      </c>
      <c r="AR35" s="74">
        <f t="shared" si="22"/>
        <v>0</v>
      </c>
      <c r="AS35" s="74">
        <f t="shared" si="23"/>
        <v>0</v>
      </c>
      <c r="AT35" s="74">
        <f t="shared" si="24"/>
        <v>0</v>
      </c>
      <c r="AU35" s="286">
        <f t="shared" si="25"/>
        <v>0</v>
      </c>
      <c r="AV35" s="74">
        <f t="shared" si="26"/>
        <v>0</v>
      </c>
      <c r="AW35" t="str">
        <f t="shared" si="18"/>
        <v>ICM</v>
      </c>
      <c r="AX35" s="179">
        <f t="shared" si="27"/>
        <v>2</v>
      </c>
    </row>
    <row r="36" spans="1:50" x14ac:dyDescent="0.2">
      <c r="A36" s="60" t="s">
        <v>199</v>
      </c>
      <c r="B36" s="107">
        <f t="shared" si="0"/>
        <v>0.25</v>
      </c>
      <c r="C36" s="297">
        <v>2008</v>
      </c>
      <c r="D36" s="103">
        <f>+LFM*VLOOKUP(+A36,'HUC11 data'!$E$6:$K$156,7,FALSE)</f>
        <v>2.5000000000000001E-5</v>
      </c>
      <c r="E36" s="103">
        <f t="shared" si="1"/>
        <v>-14.988652410716227</v>
      </c>
      <c r="F36" s="113" t="str">
        <f t="shared" si="2"/>
        <v>Net Gain</v>
      </c>
      <c r="G36" s="103">
        <f t="shared" si="3"/>
        <v>14.988677410716228</v>
      </c>
      <c r="H36" s="104" t="str">
        <f t="shared" si="10"/>
        <v>ICM</v>
      </c>
      <c r="I36" s="76">
        <v>0</v>
      </c>
      <c r="J36" s="76">
        <v>0</v>
      </c>
      <c r="K36" s="77">
        <v>6.31453126336727E-6</v>
      </c>
      <c r="L36" s="78">
        <v>0</v>
      </c>
      <c r="M36" s="79">
        <v>0</v>
      </c>
      <c r="N36" s="76">
        <v>0</v>
      </c>
      <c r="O36" s="76">
        <v>0</v>
      </c>
      <c r="P36" s="78">
        <v>0</v>
      </c>
      <c r="Q36" s="79">
        <v>0</v>
      </c>
      <c r="R36" s="76">
        <v>0</v>
      </c>
      <c r="S36" s="76">
        <v>0</v>
      </c>
      <c r="T36" s="112">
        <f t="shared" si="4"/>
        <v>5.6830781370305428E-6</v>
      </c>
      <c r="U36" s="109">
        <f t="shared" si="5"/>
        <v>0</v>
      </c>
      <c r="V36" s="108">
        <f>VLOOKUP(+A36,'HUC11 data'!$E$6:$L$156,8,FALSE)</f>
        <v>0</v>
      </c>
      <c r="W36" s="108">
        <f t="shared" si="6"/>
        <v>5.6830781370305428E-6</v>
      </c>
      <c r="X36" s="283">
        <v>0</v>
      </c>
      <c r="Y36" s="257">
        <v>0</v>
      </c>
      <c r="Z36" s="257">
        <v>0</v>
      </c>
      <c r="AA36" s="257">
        <v>14.988653407238342</v>
      </c>
      <c r="AB36" s="80">
        <v>4.6865560234653984E-6</v>
      </c>
      <c r="AC36" s="81">
        <v>0</v>
      </c>
      <c r="AD36" s="82">
        <v>0</v>
      </c>
      <c r="AE36" s="257">
        <v>0</v>
      </c>
      <c r="AF36" s="257">
        <v>0</v>
      </c>
      <c r="AG36" s="81">
        <v>0</v>
      </c>
      <c r="AH36" s="82">
        <v>0</v>
      </c>
      <c r="AI36" s="257">
        <v>0</v>
      </c>
      <c r="AJ36" s="257">
        <v>0</v>
      </c>
      <c r="AK36" s="111">
        <f t="shared" si="7"/>
        <v>4.6865560234653984E-6</v>
      </c>
      <c r="AL36" s="110">
        <f t="shared" si="8"/>
        <v>14.988653407238342</v>
      </c>
      <c r="AM36" s="110">
        <f t="shared" si="9"/>
        <v>14.988658093794365</v>
      </c>
      <c r="AN36" s="74"/>
      <c r="AO36" s="60" t="s">
        <v>199</v>
      </c>
      <c r="AP36" s="74">
        <f t="shared" si="20"/>
        <v>-14.988651779263101</v>
      </c>
      <c r="AQ36" s="74">
        <f t="shared" si="21"/>
        <v>0</v>
      </c>
      <c r="AR36" s="74">
        <f t="shared" si="22"/>
        <v>0</v>
      </c>
      <c r="AS36" s="74">
        <f t="shared" si="23"/>
        <v>0</v>
      </c>
      <c r="AT36" s="74">
        <f t="shared" si="24"/>
        <v>0</v>
      </c>
      <c r="AU36" s="286">
        <f t="shared" si="25"/>
        <v>0</v>
      </c>
      <c r="AV36" s="74">
        <f t="shared" si="26"/>
        <v>0</v>
      </c>
      <c r="AW36" t="str">
        <f t="shared" si="18"/>
        <v>ICM</v>
      </c>
      <c r="AX36" s="179">
        <f t="shared" si="27"/>
        <v>2</v>
      </c>
    </row>
    <row r="37" spans="1:50" x14ac:dyDescent="0.2">
      <c r="A37" s="60" t="s">
        <v>142</v>
      </c>
      <c r="B37" s="107">
        <f t="shared" si="0"/>
        <v>0.25</v>
      </c>
      <c r="C37" s="297">
        <v>2001</v>
      </c>
      <c r="D37" s="103">
        <f>+LFM*VLOOKUP(+A37,'HUC11 data'!$E$6:$K$156,7,FALSE)</f>
        <v>3.9338250000000001</v>
      </c>
      <c r="E37" s="103">
        <f t="shared" si="1"/>
        <v>5.9577427919240264</v>
      </c>
      <c r="F37" s="113">
        <f t="shared" si="2"/>
        <v>1.5144910594457115</v>
      </c>
      <c r="G37" s="103">
        <f t="shared" si="3"/>
        <v>0</v>
      </c>
      <c r="H37" s="104" t="str">
        <f t="shared" si="10"/>
        <v>Potable</v>
      </c>
      <c r="I37" s="76">
        <v>5.960406477556786</v>
      </c>
      <c r="J37" s="76">
        <v>0</v>
      </c>
      <c r="K37" s="77">
        <v>1.7144447543981558</v>
      </c>
      <c r="L37" s="78">
        <v>0.10074991848712095</v>
      </c>
      <c r="M37" s="79">
        <v>0</v>
      </c>
      <c r="N37" s="76">
        <v>1.5797195956961201</v>
      </c>
      <c r="O37" s="76">
        <v>3.7561134659276157E-2</v>
      </c>
      <c r="P37" s="78">
        <v>0</v>
      </c>
      <c r="Q37" s="79">
        <v>0.21000978154548419</v>
      </c>
      <c r="R37" s="76">
        <v>0</v>
      </c>
      <c r="S37" s="76">
        <v>0</v>
      </c>
      <c r="T37" s="112">
        <f t="shared" si="4"/>
        <v>8.4197886715243655</v>
      </c>
      <c r="U37" s="109">
        <f t="shared" si="5"/>
        <v>0.24757091620476035</v>
      </c>
      <c r="V37" s="108">
        <f>VLOOKUP(+A37,'HUC11 data'!$E$6:$L$156,8,FALSE)</f>
        <v>0</v>
      </c>
      <c r="W37" s="108">
        <f t="shared" si="6"/>
        <v>8.6673595877291252</v>
      </c>
      <c r="X37" s="283">
        <v>0</v>
      </c>
      <c r="Y37" s="257">
        <v>0.3997945875448321</v>
      </c>
      <c r="Z37" s="257">
        <v>0.76325399413107264</v>
      </c>
      <c r="AA37" s="257">
        <v>0</v>
      </c>
      <c r="AB37" s="80">
        <v>1.2731641928848254</v>
      </c>
      <c r="AC37" s="81">
        <v>9.0674926488279781E-2</v>
      </c>
      <c r="AD37" s="82">
        <v>0</v>
      </c>
      <c r="AE37" s="257">
        <v>0.15797199723306213</v>
      </c>
      <c r="AF37" s="257">
        <v>3.7561143614548518E-3</v>
      </c>
      <c r="AG37" s="81">
        <v>0</v>
      </c>
      <c r="AH37" s="82">
        <v>2.1000983161571792E-2</v>
      </c>
      <c r="AI37" s="257">
        <v>0</v>
      </c>
      <c r="AJ37" s="257">
        <v>0</v>
      </c>
      <c r="AK37" s="111">
        <f t="shared" si="7"/>
        <v>1.9216057041509995</v>
      </c>
      <c r="AL37" s="110">
        <f t="shared" si="8"/>
        <v>0.78801109165409933</v>
      </c>
      <c r="AM37" s="110">
        <f t="shared" si="9"/>
        <v>2.7096167958050987</v>
      </c>
      <c r="AN37" s="74"/>
      <c r="AO37" s="60" t="s">
        <v>142</v>
      </c>
      <c r="AP37" s="74">
        <f t="shared" si="20"/>
        <v>5.2386384573942113</v>
      </c>
      <c r="AQ37" s="74">
        <f t="shared" si="21"/>
        <v>1.0074991998841168E-2</v>
      </c>
      <c r="AR37" s="74">
        <f t="shared" si="22"/>
        <v>1.4555526187608792</v>
      </c>
      <c r="AS37" s="74">
        <f t="shared" si="23"/>
        <v>0.18900879838391241</v>
      </c>
      <c r="AT37" s="74">
        <f t="shared" si="24"/>
        <v>0</v>
      </c>
      <c r="AU37" s="286">
        <f t="shared" si="25"/>
        <v>0</v>
      </c>
      <c r="AV37" s="74">
        <f t="shared" si="26"/>
        <v>5.2386384573942113</v>
      </c>
      <c r="AW37" t="str">
        <f t="shared" si="18"/>
        <v>Potable</v>
      </c>
      <c r="AX37" s="179">
        <f t="shared" si="27"/>
        <v>1</v>
      </c>
    </row>
    <row r="38" spans="1:50" x14ac:dyDescent="0.2">
      <c r="A38" s="60" t="s">
        <v>144</v>
      </c>
      <c r="B38" s="107">
        <f t="shared" ref="B38:B69" si="28">+LFM</f>
        <v>0.25</v>
      </c>
      <c r="C38" s="297">
        <v>2007</v>
      </c>
      <c r="D38" s="103">
        <f>+LFM*VLOOKUP(+A38,'HUC11 data'!$E$6:$K$156,7,FALSE)</f>
        <v>4.5333249999999996</v>
      </c>
      <c r="E38" s="103">
        <f t="shared" ref="E38:E69" si="29">+W38-AM38</f>
        <v>-0.61151951934037108</v>
      </c>
      <c r="F38" s="113" t="str">
        <f t="shared" ref="F38:F69" si="30">IF(E38&gt;0,+E38/D38,"Net Gain")</f>
        <v>Net Gain</v>
      </c>
      <c r="G38" s="103">
        <f t="shared" ref="G38:G69" si="31">MAX(0,D38-E38)</f>
        <v>5.1448445193403707</v>
      </c>
      <c r="H38" s="104" t="str">
        <f t="shared" si="10"/>
        <v>Ag Irr</v>
      </c>
      <c r="I38" s="76">
        <v>2.641181393326812</v>
      </c>
      <c r="J38" s="76">
        <v>0</v>
      </c>
      <c r="K38" s="77">
        <v>2.2761735718529486</v>
      </c>
      <c r="L38" s="78">
        <v>0.2012226931855233</v>
      </c>
      <c r="M38" s="79">
        <v>0</v>
      </c>
      <c r="N38" s="76">
        <v>0.19468536028692532</v>
      </c>
      <c r="O38" s="76">
        <v>0</v>
      </c>
      <c r="P38" s="78">
        <v>4.6842734485382016E-2</v>
      </c>
      <c r="Q38" s="79">
        <v>0.1362895337463319</v>
      </c>
      <c r="R38" s="76">
        <v>0</v>
      </c>
      <c r="S38" s="76">
        <v>0</v>
      </c>
      <c r="T38" s="112">
        <f t="shared" ref="T38:T69" si="32">SUM(I38,K38,L38,N38,P38,R38)*0.9</f>
        <v>4.8240951778238319</v>
      </c>
      <c r="U38" s="109">
        <f t="shared" ref="U38:U69" si="33">SUM(J38,M38,O38,Q38,S38)</f>
        <v>0.1362895337463319</v>
      </c>
      <c r="V38" s="108">
        <f>VLOOKUP(+A38,'HUC11 data'!$E$6:$L$156,8,FALSE)</f>
        <v>0</v>
      </c>
      <c r="W38" s="108">
        <f t="shared" ref="W38:W69" si="34">SUM(T38:V38)</f>
        <v>4.960384711570164</v>
      </c>
      <c r="X38" s="283">
        <v>0.28819693511574829</v>
      </c>
      <c r="Y38" s="257">
        <v>3.8244864688620796E-2</v>
      </c>
      <c r="Z38" s="257">
        <v>3.6315546136289529</v>
      </c>
      <c r="AA38" s="257">
        <v>0</v>
      </c>
      <c r="AB38" s="80">
        <v>1.6903087434237993</v>
      </c>
      <c r="AC38" s="81">
        <v>0.17401423730942434</v>
      </c>
      <c r="AD38" s="82">
        <v>0</v>
      </c>
      <c r="AE38" s="257">
        <v>1.9468540670353231E-2</v>
      </c>
      <c r="AF38" s="257">
        <v>0</v>
      </c>
      <c r="AG38" s="81">
        <v>4.684274565356022E-3</v>
      </c>
      <c r="AH38" s="82">
        <v>1.3628956624028889E-2</v>
      </c>
      <c r="AI38" s="257">
        <v>0</v>
      </c>
      <c r="AJ38" s="257">
        <v>0</v>
      </c>
      <c r="AK38" s="111">
        <f t="shared" ref="AK38:AK69" si="35">SUM(Y38,AB38,AC38,AE38,AG38,AI38)</f>
        <v>1.9267206606575535</v>
      </c>
      <c r="AL38" s="110">
        <f t="shared" ref="AL38:AL69" si="36">SUM(Z38,AA38,AD38,AF38,AH38,AJ38)</f>
        <v>3.645183570252982</v>
      </c>
      <c r="AM38" s="110">
        <f t="shared" ref="AM38:AM69" si="37">SUM(AK38:AL38)</f>
        <v>5.5719042309105351</v>
      </c>
      <c r="AN38" s="74"/>
      <c r="AO38" s="60" t="s">
        <v>144</v>
      </c>
      <c r="AP38" s="74">
        <f t="shared" si="20"/>
        <v>-0.44275325656161257</v>
      </c>
      <c r="AQ38" s="74">
        <f t="shared" si="21"/>
        <v>2.7208455876098964E-2</v>
      </c>
      <c r="AR38" s="74">
        <f t="shared" si="22"/>
        <v>0.17521681961657209</v>
      </c>
      <c r="AS38" s="74">
        <f t="shared" si="23"/>
        <v>0.164819037042329</v>
      </c>
      <c r="AT38" s="74">
        <f t="shared" si="24"/>
        <v>0</v>
      </c>
      <c r="AU38" s="286">
        <f t="shared" si="25"/>
        <v>0</v>
      </c>
      <c r="AV38" s="74">
        <f t="shared" si="26"/>
        <v>0.17521681961657209</v>
      </c>
      <c r="AW38" t="str">
        <f t="shared" si="18"/>
        <v>Ag Irr</v>
      </c>
      <c r="AX38" s="179">
        <f t="shared" si="27"/>
        <v>3</v>
      </c>
    </row>
    <row r="39" spans="1:50" x14ac:dyDescent="0.2">
      <c r="A39" s="60" t="s">
        <v>146</v>
      </c>
      <c r="B39" s="107">
        <f t="shared" si="28"/>
        <v>0.25</v>
      </c>
      <c r="C39" s="297">
        <v>2001</v>
      </c>
      <c r="D39" s="103">
        <f>+LFM*VLOOKUP(+A39,'HUC11 data'!$E$6:$K$156,7,FALSE)</f>
        <v>0.78249999999999997</v>
      </c>
      <c r="E39" s="103">
        <f t="shared" si="29"/>
        <v>1.5465650445574797</v>
      </c>
      <c r="F39" s="113">
        <f t="shared" si="30"/>
        <v>1.9764409515111563</v>
      </c>
      <c r="G39" s="103">
        <f t="shared" si="31"/>
        <v>0</v>
      </c>
      <c r="H39" s="104" t="str">
        <f t="shared" si="10"/>
        <v>Non-Ag Irr</v>
      </c>
      <c r="I39" s="76">
        <v>0.45299423975654823</v>
      </c>
      <c r="J39" s="76">
        <v>0</v>
      </c>
      <c r="K39" s="77">
        <v>1.1755530063847839</v>
      </c>
      <c r="L39" s="78">
        <v>0</v>
      </c>
      <c r="M39" s="79">
        <v>0</v>
      </c>
      <c r="N39" s="76">
        <v>0</v>
      </c>
      <c r="O39" s="76">
        <v>0</v>
      </c>
      <c r="P39" s="78">
        <v>1.1960656450385829</v>
      </c>
      <c r="Q39" s="79">
        <v>0</v>
      </c>
      <c r="R39" s="76">
        <v>0</v>
      </c>
      <c r="S39" s="76">
        <v>0</v>
      </c>
      <c r="T39" s="112">
        <f t="shared" si="32"/>
        <v>2.5421516020619235</v>
      </c>
      <c r="U39" s="109">
        <f t="shared" si="33"/>
        <v>0</v>
      </c>
      <c r="V39" s="108">
        <f>VLOOKUP(+A39,'HUC11 data'!$E$6:$L$156,8,FALSE)</f>
        <v>0</v>
      </c>
      <c r="W39" s="108">
        <f t="shared" si="34"/>
        <v>2.5421516020619235</v>
      </c>
      <c r="X39" s="283">
        <v>0</v>
      </c>
      <c r="Y39" s="257">
        <v>3.0048907727420926E-3</v>
      </c>
      <c r="Z39" s="257">
        <v>0</v>
      </c>
      <c r="AA39" s="257">
        <v>0</v>
      </c>
      <c r="AB39" s="80">
        <v>0.87297507371141625</v>
      </c>
      <c r="AC39" s="81">
        <v>0</v>
      </c>
      <c r="AD39" s="82">
        <v>0</v>
      </c>
      <c r="AE39" s="257">
        <v>0</v>
      </c>
      <c r="AF39" s="257">
        <v>0</v>
      </c>
      <c r="AG39" s="81">
        <v>0.11960659302028545</v>
      </c>
      <c r="AH39" s="82">
        <v>0</v>
      </c>
      <c r="AI39" s="257">
        <v>0</v>
      </c>
      <c r="AJ39" s="257">
        <v>0</v>
      </c>
      <c r="AK39" s="111">
        <f t="shared" si="35"/>
        <v>0.9955865575044438</v>
      </c>
      <c r="AL39" s="110">
        <f t="shared" si="36"/>
        <v>0</v>
      </c>
      <c r="AM39" s="110">
        <f t="shared" si="37"/>
        <v>0.9955865575044438</v>
      </c>
      <c r="AN39" s="74"/>
      <c r="AO39" s="60" t="s">
        <v>146</v>
      </c>
      <c r="AP39" s="74">
        <f t="shared" si="20"/>
        <v>0.75256728165717379</v>
      </c>
      <c r="AQ39" s="74">
        <f t="shared" si="21"/>
        <v>0</v>
      </c>
      <c r="AR39" s="74">
        <f t="shared" si="22"/>
        <v>0</v>
      </c>
      <c r="AS39" s="74">
        <f t="shared" si="23"/>
        <v>1.0764590520182975</v>
      </c>
      <c r="AT39" s="74">
        <f t="shared" si="24"/>
        <v>0</v>
      </c>
      <c r="AU39" s="286">
        <f t="shared" si="25"/>
        <v>0</v>
      </c>
      <c r="AV39" s="74">
        <f t="shared" si="26"/>
        <v>1.0764590520182975</v>
      </c>
      <c r="AW39" t="str">
        <f t="shared" si="18"/>
        <v>Non-Ag Irr</v>
      </c>
      <c r="AX39" s="179">
        <f t="shared" si="27"/>
        <v>4</v>
      </c>
    </row>
    <row r="40" spans="1:50" x14ac:dyDescent="0.2">
      <c r="A40" s="60" t="s">
        <v>148</v>
      </c>
      <c r="B40" s="107">
        <f t="shared" si="28"/>
        <v>0.25</v>
      </c>
      <c r="C40" s="297">
        <v>2002</v>
      </c>
      <c r="D40" s="103">
        <f>+LFM*VLOOKUP(+A40,'HUC11 data'!$E$6:$K$156,7,FALSE)</f>
        <v>1.5278499999999999</v>
      </c>
      <c r="E40" s="103">
        <f t="shared" si="29"/>
        <v>1.4551663093520553</v>
      </c>
      <c r="F40" s="113">
        <f t="shared" si="30"/>
        <v>0.95242746955005753</v>
      </c>
      <c r="G40" s="103">
        <f t="shared" si="31"/>
        <v>7.2683690647944665E-2</v>
      </c>
      <c r="H40" s="104" t="str">
        <f t="shared" si="10"/>
        <v>Ag Irr</v>
      </c>
      <c r="I40" s="76">
        <v>0</v>
      </c>
      <c r="J40" s="76">
        <v>0</v>
      </c>
      <c r="K40" s="77">
        <v>1.1311357732863816</v>
      </c>
      <c r="L40" s="78">
        <v>0</v>
      </c>
      <c r="M40" s="79">
        <v>0</v>
      </c>
      <c r="N40" s="76">
        <v>1.6630800999891315</v>
      </c>
      <c r="O40" s="76">
        <v>0</v>
      </c>
      <c r="P40" s="78">
        <v>1.8258884903814799E-3</v>
      </c>
      <c r="Q40" s="79">
        <v>0</v>
      </c>
      <c r="R40" s="76">
        <v>0</v>
      </c>
      <c r="S40" s="76">
        <v>0</v>
      </c>
      <c r="T40" s="112">
        <f t="shared" si="32"/>
        <v>2.5164375855893053</v>
      </c>
      <c r="U40" s="109">
        <f t="shared" si="33"/>
        <v>0</v>
      </c>
      <c r="V40" s="108">
        <f>VLOOKUP(+A40,'HUC11 data'!$E$6:$L$156,8,FALSE)</f>
        <v>0</v>
      </c>
      <c r="W40" s="108">
        <f t="shared" si="34"/>
        <v>2.5164375855893053</v>
      </c>
      <c r="X40" s="283">
        <v>0</v>
      </c>
      <c r="Y40" s="257">
        <v>3.2585262471470484E-2</v>
      </c>
      <c r="Z40" s="257">
        <v>2.2086729703293118E-2</v>
      </c>
      <c r="AA40" s="257">
        <v>0</v>
      </c>
      <c r="AB40" s="80">
        <v>0.84010864552008313</v>
      </c>
      <c r="AC40" s="81">
        <v>0</v>
      </c>
      <c r="AD40" s="82">
        <v>0</v>
      </c>
      <c r="AE40" s="257">
        <v>0.16630804964983259</v>
      </c>
      <c r="AF40" s="257">
        <v>0</v>
      </c>
      <c r="AG40" s="81">
        <v>1.8258889257072197E-4</v>
      </c>
      <c r="AH40" s="82">
        <v>0</v>
      </c>
      <c r="AI40" s="257">
        <v>0</v>
      </c>
      <c r="AJ40" s="257">
        <v>0</v>
      </c>
      <c r="AK40" s="111">
        <f t="shared" si="35"/>
        <v>1.0391845465339569</v>
      </c>
      <c r="AL40" s="110">
        <f t="shared" si="36"/>
        <v>2.2086729703293118E-2</v>
      </c>
      <c r="AM40" s="110">
        <f t="shared" si="37"/>
        <v>1.06127127623725</v>
      </c>
      <c r="AN40" s="74"/>
      <c r="AO40" s="60" t="s">
        <v>148</v>
      </c>
      <c r="AP40" s="74">
        <f t="shared" si="20"/>
        <v>0.23635513559153487</v>
      </c>
      <c r="AQ40" s="74">
        <f t="shared" si="21"/>
        <v>0</v>
      </c>
      <c r="AR40" s="74">
        <f t="shared" si="22"/>
        <v>1.4967720503392989</v>
      </c>
      <c r="AS40" s="74">
        <f t="shared" si="23"/>
        <v>1.6432995978107579E-3</v>
      </c>
      <c r="AT40" s="74">
        <f t="shared" si="24"/>
        <v>0</v>
      </c>
      <c r="AU40" s="286">
        <f t="shared" si="25"/>
        <v>0</v>
      </c>
      <c r="AV40" s="74">
        <f t="shared" si="26"/>
        <v>1.4967720503392989</v>
      </c>
      <c r="AW40" t="str">
        <f t="shared" si="18"/>
        <v>Ag Irr</v>
      </c>
      <c r="AX40" s="179">
        <f t="shared" si="27"/>
        <v>3</v>
      </c>
    </row>
    <row r="41" spans="1:50" x14ac:dyDescent="0.2">
      <c r="A41" s="60" t="s">
        <v>150</v>
      </c>
      <c r="B41" s="107">
        <f t="shared" si="28"/>
        <v>0.25</v>
      </c>
      <c r="C41" s="297">
        <v>2001</v>
      </c>
      <c r="D41" s="103">
        <f>+LFM*VLOOKUP(+A41,'HUC11 data'!$E$6:$K$156,7,FALSE)</f>
        <v>5.798775</v>
      </c>
      <c r="E41" s="103">
        <f t="shared" si="29"/>
        <v>4.1711428065758973</v>
      </c>
      <c r="F41" s="113">
        <f t="shared" si="30"/>
        <v>0.71931447703625284</v>
      </c>
      <c r="G41" s="103">
        <f t="shared" si="31"/>
        <v>1.6276321934241027</v>
      </c>
      <c r="H41" s="104" t="str">
        <f t="shared" si="10"/>
        <v>Potable</v>
      </c>
      <c r="I41" s="76">
        <v>5.2532550809694598</v>
      </c>
      <c r="J41" s="76">
        <v>0</v>
      </c>
      <c r="K41" s="77">
        <v>2.1978550436654984</v>
      </c>
      <c r="L41" s="78">
        <v>0.19398978371916095</v>
      </c>
      <c r="M41" s="79">
        <v>0.63104010433648505</v>
      </c>
      <c r="N41" s="76">
        <v>0.84235409194652755</v>
      </c>
      <c r="O41" s="76">
        <v>0</v>
      </c>
      <c r="P41" s="78">
        <v>2.1736767742636669E-3</v>
      </c>
      <c r="Q41" s="79">
        <v>0.29233778937072058</v>
      </c>
      <c r="R41" s="76">
        <v>0</v>
      </c>
      <c r="S41" s="76">
        <v>0</v>
      </c>
      <c r="T41" s="112">
        <f t="shared" si="32"/>
        <v>7.6406649093674197</v>
      </c>
      <c r="U41" s="109">
        <f t="shared" si="33"/>
        <v>0.92337789370720569</v>
      </c>
      <c r="V41" s="108">
        <f>VLOOKUP(+A41,'HUC11 data'!$E$6:$L$156,8,FALSE)</f>
        <v>0</v>
      </c>
      <c r="W41" s="108">
        <f t="shared" si="34"/>
        <v>8.5640428030746261</v>
      </c>
      <c r="X41" s="283">
        <v>0</v>
      </c>
      <c r="Y41" s="257">
        <v>8.2189016721784885E-2</v>
      </c>
      <c r="Z41" s="257">
        <v>1.8223195304858162</v>
      </c>
      <c r="AA41" s="257">
        <v>0</v>
      </c>
      <c r="AB41" s="80">
        <v>1.6321779683562982</v>
      </c>
      <c r="AC41" s="81">
        <v>0.17459080505817751</v>
      </c>
      <c r="AD41" s="82">
        <v>0.56793609296251346</v>
      </c>
      <c r="AE41" s="257">
        <v>8.4235429277939325E-2</v>
      </c>
      <c r="AF41" s="257">
        <v>0</v>
      </c>
      <c r="AG41" s="81">
        <v>2.1736772925085951E-4</v>
      </c>
      <c r="AH41" s="82">
        <v>2.9233785906948091E-2</v>
      </c>
      <c r="AI41" s="257">
        <v>0</v>
      </c>
      <c r="AJ41" s="257">
        <v>0</v>
      </c>
      <c r="AK41" s="111">
        <f t="shared" si="35"/>
        <v>1.9734105871434509</v>
      </c>
      <c r="AL41" s="110">
        <f t="shared" si="36"/>
        <v>2.4194894093552777</v>
      </c>
      <c r="AM41" s="110">
        <f t="shared" si="37"/>
        <v>4.3928999964987288</v>
      </c>
      <c r="AN41" s="74"/>
      <c r="AO41" s="60" t="s">
        <v>150</v>
      </c>
      <c r="AP41" s="74">
        <f t="shared" si="20"/>
        <v>3.9144236090710587</v>
      </c>
      <c r="AQ41" s="74">
        <f t="shared" si="21"/>
        <v>8.2502990034955093E-2</v>
      </c>
      <c r="AR41" s="74">
        <f t="shared" si="22"/>
        <v>0.75811866266858818</v>
      </c>
      <c r="AS41" s="74">
        <f t="shared" si="23"/>
        <v>0.26506031250878531</v>
      </c>
      <c r="AT41" s="74">
        <f t="shared" si="24"/>
        <v>0</v>
      </c>
      <c r="AU41" s="286">
        <f t="shared" si="25"/>
        <v>0</v>
      </c>
      <c r="AV41" s="74">
        <f t="shared" si="26"/>
        <v>3.9144236090710587</v>
      </c>
      <c r="AW41" t="str">
        <f t="shared" si="18"/>
        <v>Potable</v>
      </c>
      <c r="AX41" s="179">
        <f t="shared" si="27"/>
        <v>1</v>
      </c>
    </row>
    <row r="42" spans="1:50" x14ac:dyDescent="0.2">
      <c r="A42" s="60" t="s">
        <v>152</v>
      </c>
      <c r="B42" s="107">
        <f t="shared" si="28"/>
        <v>0.25</v>
      </c>
      <c r="C42" s="297">
        <v>2005</v>
      </c>
      <c r="D42" s="103">
        <f>+LFM*VLOOKUP(+A42,'HUC11 data'!$E$6:$K$156,7,FALSE)</f>
        <v>3.5611999999999999</v>
      </c>
      <c r="E42" s="103">
        <f t="shared" si="29"/>
        <v>-1.2286591823727482</v>
      </c>
      <c r="F42" s="113" t="str">
        <f t="shared" si="30"/>
        <v>Net Gain</v>
      </c>
      <c r="G42" s="103">
        <f t="shared" si="31"/>
        <v>4.7898591823727479</v>
      </c>
      <c r="H42" s="104" t="str">
        <f t="shared" si="10"/>
        <v>Non-Ag Irr</v>
      </c>
      <c r="I42" s="76">
        <v>0.21247690468427344</v>
      </c>
      <c r="J42" s="76">
        <v>0</v>
      </c>
      <c r="K42" s="77">
        <v>1.0721582210862657</v>
      </c>
      <c r="L42" s="78">
        <v>0</v>
      </c>
      <c r="M42" s="79">
        <v>0</v>
      </c>
      <c r="N42" s="76">
        <v>0</v>
      </c>
      <c r="O42" s="76">
        <v>0</v>
      </c>
      <c r="P42" s="78">
        <v>0.21962830127160091</v>
      </c>
      <c r="Q42" s="79">
        <v>0.42489403325725467</v>
      </c>
      <c r="R42" s="76">
        <v>0</v>
      </c>
      <c r="S42" s="76">
        <v>0</v>
      </c>
      <c r="T42" s="112">
        <f t="shared" si="32"/>
        <v>1.3538370843379259</v>
      </c>
      <c r="U42" s="109">
        <f t="shared" si="33"/>
        <v>0.42489403325725467</v>
      </c>
      <c r="V42" s="108">
        <f>VLOOKUP(+A42,'HUC11 data'!$E$6:$L$156,8,FALSE)</f>
        <v>0</v>
      </c>
      <c r="W42" s="108">
        <f t="shared" si="34"/>
        <v>1.7787311175951805</v>
      </c>
      <c r="X42" s="283">
        <v>0</v>
      </c>
      <c r="Y42" s="257">
        <v>4.7609716335180949E-2</v>
      </c>
      <c r="Z42" s="257">
        <v>2.0991196609064229</v>
      </c>
      <c r="AA42" s="257">
        <v>0</v>
      </c>
      <c r="AB42" s="80">
        <v>0.79620867390682937</v>
      </c>
      <c r="AC42" s="81">
        <v>0</v>
      </c>
      <c r="AD42" s="82">
        <v>0</v>
      </c>
      <c r="AE42" s="257">
        <v>0</v>
      </c>
      <c r="AF42" s="257">
        <v>0</v>
      </c>
      <c r="AG42" s="81">
        <v>2.1962835363506843E-2</v>
      </c>
      <c r="AH42" s="82">
        <v>4.2489413455988632E-2</v>
      </c>
      <c r="AI42" s="257">
        <v>0</v>
      </c>
      <c r="AJ42" s="257">
        <v>0</v>
      </c>
      <c r="AK42" s="111">
        <f t="shared" si="35"/>
        <v>0.86578122560551718</v>
      </c>
      <c r="AL42" s="110">
        <f t="shared" si="36"/>
        <v>2.1416090743624117</v>
      </c>
      <c r="AM42" s="110">
        <f t="shared" si="37"/>
        <v>3.0073902999679287</v>
      </c>
      <c r="AN42" s="74"/>
      <c r="AO42" s="60" t="s">
        <v>152</v>
      </c>
      <c r="AP42" s="74">
        <f t="shared" si="20"/>
        <v>-1.6583029253778943</v>
      </c>
      <c r="AQ42" s="74">
        <f t="shared" si="21"/>
        <v>0</v>
      </c>
      <c r="AR42" s="74">
        <f t="shared" si="22"/>
        <v>0</v>
      </c>
      <c r="AS42" s="74">
        <f t="shared" si="23"/>
        <v>0.58007008570936003</v>
      </c>
      <c r="AT42" s="74">
        <f t="shared" si="24"/>
        <v>0</v>
      </c>
      <c r="AU42" s="286">
        <f t="shared" si="25"/>
        <v>0</v>
      </c>
      <c r="AV42" s="74">
        <f t="shared" si="26"/>
        <v>0.58007008570936003</v>
      </c>
      <c r="AW42" t="str">
        <f t="shared" si="18"/>
        <v>Non-Ag Irr</v>
      </c>
      <c r="AX42" s="179">
        <f t="shared" si="27"/>
        <v>4</v>
      </c>
    </row>
    <row r="43" spans="1:50" x14ac:dyDescent="0.2">
      <c r="A43" s="60" t="s">
        <v>154</v>
      </c>
      <c r="B43" s="107">
        <f t="shared" si="28"/>
        <v>0.25</v>
      </c>
      <c r="C43" s="297">
        <v>2005</v>
      </c>
      <c r="D43" s="103">
        <f>+LFM*VLOOKUP(+A43,'HUC11 data'!$E$6:$K$156,7,FALSE)</f>
        <v>0.4425</v>
      </c>
      <c r="E43" s="103">
        <f t="shared" si="29"/>
        <v>0.40190952857129869</v>
      </c>
      <c r="F43" s="113">
        <f t="shared" si="30"/>
        <v>0.90827012106508176</v>
      </c>
      <c r="G43" s="103">
        <f t="shared" si="31"/>
        <v>4.0590471428701314E-2</v>
      </c>
      <c r="H43" s="104" t="str">
        <f t="shared" si="10"/>
        <v>Potable</v>
      </c>
      <c r="I43" s="76">
        <v>0.31748940332572539</v>
      </c>
      <c r="J43" s="76">
        <v>0</v>
      </c>
      <c r="K43" s="77">
        <v>0.73809475090559939</v>
      </c>
      <c r="L43" s="78">
        <v>7.9339202260623846E-3</v>
      </c>
      <c r="M43" s="79">
        <v>0</v>
      </c>
      <c r="N43" s="76">
        <v>0</v>
      </c>
      <c r="O43" s="76">
        <v>0</v>
      </c>
      <c r="P43" s="78">
        <v>0</v>
      </c>
      <c r="Q43" s="79">
        <v>0</v>
      </c>
      <c r="R43" s="76">
        <v>0</v>
      </c>
      <c r="S43" s="76">
        <v>0</v>
      </c>
      <c r="T43" s="112">
        <f t="shared" si="32"/>
        <v>0.95716626701164842</v>
      </c>
      <c r="U43" s="109">
        <f t="shared" si="33"/>
        <v>0</v>
      </c>
      <c r="V43" s="108">
        <f>VLOOKUP(+A43,'HUC11 data'!$E$6:$L$156,8,FALSE)</f>
        <v>0</v>
      </c>
      <c r="W43" s="108">
        <f t="shared" si="34"/>
        <v>0.95716626701164842</v>
      </c>
      <c r="X43" s="283">
        <v>0</v>
      </c>
      <c r="Y43" s="257">
        <v>0</v>
      </c>
      <c r="Z43" s="257">
        <v>0</v>
      </c>
      <c r="AA43" s="257">
        <v>0</v>
      </c>
      <c r="AB43" s="80">
        <v>0.54811621024871604</v>
      </c>
      <c r="AC43" s="81">
        <v>7.1405281916336839E-3</v>
      </c>
      <c r="AD43" s="82">
        <v>0</v>
      </c>
      <c r="AE43" s="257">
        <v>0</v>
      </c>
      <c r="AF43" s="257">
        <v>0</v>
      </c>
      <c r="AG43" s="81">
        <v>0</v>
      </c>
      <c r="AH43" s="82">
        <v>0</v>
      </c>
      <c r="AI43" s="257">
        <v>0</v>
      </c>
      <c r="AJ43" s="257">
        <v>0</v>
      </c>
      <c r="AK43" s="111">
        <f t="shared" si="35"/>
        <v>0.55525673844034973</v>
      </c>
      <c r="AL43" s="110">
        <f t="shared" si="36"/>
        <v>0</v>
      </c>
      <c r="AM43" s="110">
        <f t="shared" si="37"/>
        <v>0.55525673844034973</v>
      </c>
      <c r="AN43" s="74"/>
      <c r="AO43" s="60" t="s">
        <v>154</v>
      </c>
      <c r="AP43" s="74">
        <f t="shared" si="20"/>
        <v>0.50746794398260864</v>
      </c>
      <c r="AQ43" s="74">
        <f t="shared" si="21"/>
        <v>7.9339203442870074E-4</v>
      </c>
      <c r="AR43" s="74">
        <f t="shared" si="22"/>
        <v>0</v>
      </c>
      <c r="AS43" s="74">
        <f t="shared" si="23"/>
        <v>0</v>
      </c>
      <c r="AT43" s="74">
        <f t="shared" si="24"/>
        <v>0</v>
      </c>
      <c r="AU43" s="286">
        <f t="shared" si="25"/>
        <v>0</v>
      </c>
      <c r="AV43" s="74">
        <f t="shared" si="26"/>
        <v>0.50746794398260864</v>
      </c>
      <c r="AW43" t="str">
        <f t="shared" si="18"/>
        <v>Potable</v>
      </c>
      <c r="AX43" s="179">
        <f t="shared" si="27"/>
        <v>1</v>
      </c>
    </row>
    <row r="44" spans="1:50" x14ac:dyDescent="0.2">
      <c r="A44" s="60" t="s">
        <v>157</v>
      </c>
      <c r="B44" s="107">
        <f t="shared" si="28"/>
        <v>0.25</v>
      </c>
      <c r="C44" s="297">
        <v>2005</v>
      </c>
      <c r="D44" s="103">
        <f>+LFM*VLOOKUP(+A44,'HUC11 data'!$E$6:$K$156,7,FALSE)</f>
        <v>0.29499999999999998</v>
      </c>
      <c r="E44" s="103">
        <f t="shared" si="29"/>
        <v>-12.352751954800157</v>
      </c>
      <c r="F44" s="113" t="str">
        <f t="shared" si="30"/>
        <v>Net Gain</v>
      </c>
      <c r="G44" s="103">
        <f t="shared" si="31"/>
        <v>12.647751954800157</v>
      </c>
      <c r="H44" s="104" t="str">
        <f t="shared" si="10"/>
        <v>Non-Ag Irr</v>
      </c>
      <c r="I44" s="76">
        <v>0.20008694707097049</v>
      </c>
      <c r="J44" s="76">
        <v>0</v>
      </c>
      <c r="K44" s="77">
        <v>0.57619213613276299</v>
      </c>
      <c r="L44" s="78">
        <v>0.16791653081186825</v>
      </c>
      <c r="M44" s="79">
        <v>0</v>
      </c>
      <c r="N44" s="76">
        <v>1.3911531355287471E-2</v>
      </c>
      <c r="O44" s="76">
        <v>7.3361591131398757E-2</v>
      </c>
      <c r="P44" s="78">
        <v>0.13910987936093905</v>
      </c>
      <c r="Q44" s="79">
        <v>0.15422236713400714</v>
      </c>
      <c r="R44" s="76">
        <v>0</v>
      </c>
      <c r="S44" s="76">
        <v>0</v>
      </c>
      <c r="T44" s="112">
        <f t="shared" si="32"/>
        <v>0.98749532225864545</v>
      </c>
      <c r="U44" s="109">
        <f t="shared" si="33"/>
        <v>0.22758395826540589</v>
      </c>
      <c r="V44" s="108">
        <f>VLOOKUP(+A44,'HUC11 data'!$E$6:$L$156,8,FALSE)</f>
        <v>0</v>
      </c>
      <c r="W44" s="108">
        <f t="shared" si="34"/>
        <v>1.2150792805240513</v>
      </c>
      <c r="X44" s="283">
        <v>1411.9863058363221</v>
      </c>
      <c r="Y44" s="257">
        <v>0</v>
      </c>
      <c r="Z44" s="257">
        <v>12.950766221062926</v>
      </c>
      <c r="AA44" s="257">
        <v>0</v>
      </c>
      <c r="AB44" s="80">
        <v>0.42787959080831323</v>
      </c>
      <c r="AC44" s="81">
        <v>0.1511248774804663</v>
      </c>
      <c r="AD44" s="82">
        <v>0</v>
      </c>
      <c r="AE44" s="257">
        <v>1.3911534672055006E-3</v>
      </c>
      <c r="AF44" s="257">
        <v>7.3361608622165078E-3</v>
      </c>
      <c r="AG44" s="81">
        <v>1.391099125273188E-2</v>
      </c>
      <c r="AH44" s="82">
        <v>1.5422240390348481E-2</v>
      </c>
      <c r="AI44" s="257">
        <v>0</v>
      </c>
      <c r="AJ44" s="257">
        <v>0</v>
      </c>
      <c r="AK44" s="111">
        <f t="shared" si="35"/>
        <v>0.5943066130087169</v>
      </c>
      <c r="AL44" s="110">
        <f t="shared" si="36"/>
        <v>12.973524622315491</v>
      </c>
      <c r="AM44" s="110">
        <f t="shared" si="37"/>
        <v>13.567831235324208</v>
      </c>
      <c r="AN44" s="74"/>
      <c r="AO44" s="60" t="s">
        <v>157</v>
      </c>
      <c r="AP44" s="74">
        <f t="shared" si="20"/>
        <v>-12.602366728667505</v>
      </c>
      <c r="AQ44" s="74">
        <f t="shared" si="21"/>
        <v>1.6791653331401951E-2</v>
      </c>
      <c r="AR44" s="74">
        <f t="shared" si="22"/>
        <v>7.8545808157264224E-2</v>
      </c>
      <c r="AS44" s="74">
        <f t="shared" si="23"/>
        <v>0.26399901485186578</v>
      </c>
      <c r="AT44" s="74">
        <f t="shared" si="24"/>
        <v>0</v>
      </c>
      <c r="AU44" s="286">
        <f t="shared" si="25"/>
        <v>0</v>
      </c>
      <c r="AV44" s="74">
        <f t="shared" si="26"/>
        <v>0.26399901485186578</v>
      </c>
      <c r="AW44" t="str">
        <f t="shared" si="18"/>
        <v>Non-Ag Irr</v>
      </c>
      <c r="AX44" s="179">
        <f t="shared" si="27"/>
        <v>4</v>
      </c>
    </row>
    <row r="45" spans="1:50" x14ac:dyDescent="0.2">
      <c r="A45" s="60" t="s">
        <v>169</v>
      </c>
      <c r="B45" s="107">
        <f t="shared" si="28"/>
        <v>0.25</v>
      </c>
      <c r="C45" s="297">
        <v>2001</v>
      </c>
      <c r="D45" s="103">
        <f>+LFM*VLOOKUP(+A45,'HUC11 data'!$E$6:$K$156,7,FALSE)</f>
        <v>0.80249999999999999</v>
      </c>
      <c r="E45" s="103">
        <f t="shared" si="29"/>
        <v>1.5294329376525004</v>
      </c>
      <c r="F45" s="113">
        <f t="shared" si="30"/>
        <v>1.9058354363271033</v>
      </c>
      <c r="G45" s="103">
        <f t="shared" si="31"/>
        <v>0</v>
      </c>
      <c r="H45" s="104" t="str">
        <f t="shared" si="10"/>
        <v>Potable</v>
      </c>
      <c r="I45" s="76">
        <v>1.3533202912726878</v>
      </c>
      <c r="J45" s="76">
        <v>0</v>
      </c>
      <c r="K45" s="77">
        <v>0.94233987384757334</v>
      </c>
      <c r="L45" s="78">
        <v>0.29420715139658732</v>
      </c>
      <c r="M45" s="79">
        <v>7.0883599608738176E-2</v>
      </c>
      <c r="N45" s="76">
        <v>0</v>
      </c>
      <c r="O45" s="76">
        <v>1.6302575806977502E-2</v>
      </c>
      <c r="P45" s="78">
        <v>0.1809585914574503</v>
      </c>
      <c r="Q45" s="79">
        <v>0.23531137919791328</v>
      </c>
      <c r="R45" s="76">
        <v>0</v>
      </c>
      <c r="S45" s="76">
        <v>0</v>
      </c>
      <c r="T45" s="112">
        <f t="shared" si="32"/>
        <v>2.493743317176869</v>
      </c>
      <c r="U45" s="109">
        <f t="shared" si="33"/>
        <v>0.32249755461362895</v>
      </c>
      <c r="V45" s="108">
        <f>VLOOKUP(+A45,'HUC11 data'!$E$6:$L$156,8,FALSE)</f>
        <v>0</v>
      </c>
      <c r="W45" s="108">
        <f t="shared" si="34"/>
        <v>2.8162408717904981</v>
      </c>
      <c r="X45" s="283">
        <v>0</v>
      </c>
      <c r="Y45" s="257">
        <v>0</v>
      </c>
      <c r="Z45" s="257">
        <v>0.21519693511574828</v>
      </c>
      <c r="AA45" s="257">
        <v>0</v>
      </c>
      <c r="AB45" s="80">
        <v>0.69977205870191672</v>
      </c>
      <c r="AC45" s="81">
        <v>0.26478643581852573</v>
      </c>
      <c r="AD45" s="82">
        <v>6.3795239542239562E-2</v>
      </c>
      <c r="AE45" s="257">
        <v>0</v>
      </c>
      <c r="AF45" s="257">
        <v>1.6302579693814462E-3</v>
      </c>
      <c r="AG45" s="81">
        <v>1.8095863460134056E-2</v>
      </c>
      <c r="AH45" s="82">
        <v>2.3531143530051792E-2</v>
      </c>
      <c r="AI45" s="257">
        <v>0</v>
      </c>
      <c r="AJ45" s="257">
        <v>0</v>
      </c>
      <c r="AK45" s="111">
        <f t="shared" si="35"/>
        <v>0.98265435798057643</v>
      </c>
      <c r="AL45" s="110">
        <f t="shared" si="36"/>
        <v>0.30415357615742111</v>
      </c>
      <c r="AM45" s="110">
        <f t="shared" si="37"/>
        <v>1.2868079341379977</v>
      </c>
      <c r="AN45" s="74"/>
      <c r="AO45" s="60" t="s">
        <v>169</v>
      </c>
      <c r="AP45" s="74">
        <f t="shared" si="20"/>
        <v>1.3806911713025962</v>
      </c>
      <c r="AQ45" s="74">
        <f t="shared" si="21"/>
        <v>3.6509075644560185E-2</v>
      </c>
      <c r="AR45" s="74">
        <f t="shared" si="22"/>
        <v>1.4672317837596056E-2</v>
      </c>
      <c r="AS45" s="74">
        <f t="shared" si="23"/>
        <v>0.37464296366517774</v>
      </c>
      <c r="AT45" s="74">
        <f t="shared" si="24"/>
        <v>0</v>
      </c>
      <c r="AU45" s="286">
        <f t="shared" si="25"/>
        <v>0</v>
      </c>
      <c r="AV45" s="74">
        <f t="shared" si="26"/>
        <v>1.3806911713025962</v>
      </c>
      <c r="AW45" t="str">
        <f t="shared" si="18"/>
        <v>Potable</v>
      </c>
      <c r="AX45" s="179">
        <f t="shared" si="27"/>
        <v>1</v>
      </c>
    </row>
    <row r="46" spans="1:50" x14ac:dyDescent="0.2">
      <c r="A46" s="60" t="s">
        <v>171</v>
      </c>
      <c r="B46" s="107">
        <f t="shared" si="28"/>
        <v>0.25</v>
      </c>
      <c r="C46" s="297">
        <v>2000</v>
      </c>
      <c r="D46" s="103">
        <f>+LFM*VLOOKUP(+A46,'HUC11 data'!$E$6:$K$156,7,FALSE)</f>
        <v>3.5625</v>
      </c>
      <c r="E46" s="103">
        <f t="shared" si="29"/>
        <v>5.3447357183261452</v>
      </c>
      <c r="F46" s="113">
        <f t="shared" si="30"/>
        <v>1.5002766928634794</v>
      </c>
      <c r="G46" s="103">
        <f t="shared" si="31"/>
        <v>0</v>
      </c>
      <c r="H46" s="104" t="str">
        <f t="shared" si="10"/>
        <v>Leakage</v>
      </c>
      <c r="I46" s="76">
        <v>5.0018910987936094</v>
      </c>
      <c r="J46" s="76">
        <v>0</v>
      </c>
      <c r="K46" s="77">
        <v>1.1326131283701026</v>
      </c>
      <c r="L46" s="78">
        <v>2.4986197152483425</v>
      </c>
      <c r="M46" s="79">
        <v>0</v>
      </c>
      <c r="N46" s="76">
        <v>1.8292468209977175</v>
      </c>
      <c r="O46" s="76">
        <v>0.28382784479947837</v>
      </c>
      <c r="P46" s="78">
        <v>2.1954135420063036E-2</v>
      </c>
      <c r="Q46" s="79">
        <v>0.57433974567981749</v>
      </c>
      <c r="R46" s="76">
        <v>0</v>
      </c>
      <c r="S46" s="76">
        <v>0</v>
      </c>
      <c r="T46" s="112">
        <f t="shared" si="32"/>
        <v>9.4358924089468506</v>
      </c>
      <c r="U46" s="109">
        <f t="shared" si="33"/>
        <v>0.85816759047929581</v>
      </c>
      <c r="V46" s="108">
        <f>VLOOKUP(+A46,'HUC11 data'!$E$6:$L$156,8,FALSE)</f>
        <v>3.2067439999999996</v>
      </c>
      <c r="W46" s="108">
        <f t="shared" si="34"/>
        <v>13.500803999426147</v>
      </c>
      <c r="X46" s="283">
        <v>0</v>
      </c>
      <c r="Y46" s="257">
        <v>6.8284746984023465E-3</v>
      </c>
      <c r="Z46" s="257">
        <v>4.6220736876426471</v>
      </c>
      <c r="AA46" s="257">
        <v>0</v>
      </c>
      <c r="AB46" s="80">
        <v>0.84109931272072902</v>
      </c>
      <c r="AC46" s="81">
        <v>2.3586240586947298</v>
      </c>
      <c r="AD46" s="82">
        <v>0</v>
      </c>
      <c r="AE46" s="257">
        <v>0.18292472571241455</v>
      </c>
      <c r="AF46" s="257">
        <v>2.8382791246930977E-2</v>
      </c>
      <c r="AG46" s="81">
        <v>5.870124212284087E-2</v>
      </c>
      <c r="AH46" s="82">
        <v>5.7433988261308341E-2</v>
      </c>
      <c r="AI46" s="257">
        <v>0</v>
      </c>
      <c r="AJ46" s="257">
        <v>0</v>
      </c>
      <c r="AK46" s="111">
        <f t="shared" si="35"/>
        <v>3.4481778139491164</v>
      </c>
      <c r="AL46" s="110">
        <f t="shared" si="36"/>
        <v>4.7078904671508859</v>
      </c>
      <c r="AM46" s="110">
        <f t="shared" si="37"/>
        <v>8.1560682811000014</v>
      </c>
      <c r="AN46" s="74"/>
      <c r="AO46" s="60" t="s">
        <v>171</v>
      </c>
      <c r="AP46" s="74">
        <f t="shared" si="20"/>
        <v>0.66450275210193332</v>
      </c>
      <c r="AQ46" s="74">
        <f t="shared" si="21"/>
        <v>0.13999565655361268</v>
      </c>
      <c r="AR46" s="74">
        <f t="shared" si="22"/>
        <v>1.9017671488378503</v>
      </c>
      <c r="AS46" s="74">
        <f t="shared" si="23"/>
        <v>0.48015865071573138</v>
      </c>
      <c r="AT46" s="74">
        <f t="shared" si="24"/>
        <v>0</v>
      </c>
      <c r="AU46" s="286">
        <f t="shared" si="25"/>
        <v>3.2067439999999996</v>
      </c>
      <c r="AV46" s="74">
        <f t="shared" si="26"/>
        <v>3.2067439999999996</v>
      </c>
      <c r="AW46" t="str">
        <f t="shared" si="18"/>
        <v>Leakage</v>
      </c>
      <c r="AX46" s="179">
        <f t="shared" si="27"/>
        <v>6</v>
      </c>
    </row>
    <row r="47" spans="1:50" x14ac:dyDescent="0.2">
      <c r="A47" s="60" t="s">
        <v>173</v>
      </c>
      <c r="B47" s="107">
        <f t="shared" si="28"/>
        <v>0.25</v>
      </c>
      <c r="C47" s="297">
        <v>2005</v>
      </c>
      <c r="D47" s="103">
        <f>+LFM*VLOOKUP(+A47,'HUC11 data'!$E$6:$K$156,7,FALSE)</f>
        <v>3.2425000000000002</v>
      </c>
      <c r="E47" s="103">
        <f t="shared" si="29"/>
        <v>-6.5608987869929196</v>
      </c>
      <c r="F47" s="113" t="str">
        <f t="shared" si="30"/>
        <v>Net Gain</v>
      </c>
      <c r="G47" s="103">
        <f t="shared" si="31"/>
        <v>9.8033987869929202</v>
      </c>
      <c r="H47" s="104" t="str">
        <f t="shared" si="10"/>
        <v>Non-Ag Irr</v>
      </c>
      <c r="I47" s="76">
        <v>0.57721986740571674</v>
      </c>
      <c r="J47" s="76">
        <v>0</v>
      </c>
      <c r="K47" s="77">
        <v>2.2556842530528045</v>
      </c>
      <c r="L47" s="78">
        <v>0.34805184219106616</v>
      </c>
      <c r="M47" s="79">
        <v>0</v>
      </c>
      <c r="N47" s="76">
        <v>7.1079230518421896E-2</v>
      </c>
      <c r="O47" s="76">
        <v>3.8148027388327354E-3</v>
      </c>
      <c r="P47" s="78">
        <v>0.54143027931746535</v>
      </c>
      <c r="Q47" s="79">
        <v>0.4776654711444408</v>
      </c>
      <c r="R47" s="76">
        <v>0</v>
      </c>
      <c r="S47" s="76">
        <v>0</v>
      </c>
      <c r="T47" s="112">
        <f t="shared" si="32"/>
        <v>3.4141189252369273</v>
      </c>
      <c r="U47" s="109">
        <f t="shared" si="33"/>
        <v>0.48148027388327352</v>
      </c>
      <c r="V47" s="108">
        <f>VLOOKUP(+A47,'HUC11 data'!$E$6:$L$156,8,FALSE)</f>
        <v>0</v>
      </c>
      <c r="W47" s="108">
        <f t="shared" si="34"/>
        <v>3.895599199120201</v>
      </c>
      <c r="X47" s="283">
        <v>1.6628627323117051</v>
      </c>
      <c r="Y47" s="257">
        <v>9.0805999347896953E-3</v>
      </c>
      <c r="Z47" s="257">
        <v>8.349677535050537</v>
      </c>
      <c r="AA47" s="257">
        <v>0</v>
      </c>
      <c r="AB47" s="80">
        <v>1.675094189219807</v>
      </c>
      <c r="AC47" s="81">
        <v>0.31324665745332192</v>
      </c>
      <c r="AD47" s="82">
        <v>0</v>
      </c>
      <c r="AE47" s="257">
        <v>7.107924746503104E-3</v>
      </c>
      <c r="AF47" s="257">
        <v>3.8148036483525843E-4</v>
      </c>
      <c r="AG47" s="81">
        <v>5.4143040840450338E-2</v>
      </c>
      <c r="AH47" s="82">
        <v>4.776655850287638E-2</v>
      </c>
      <c r="AI47" s="257">
        <v>0</v>
      </c>
      <c r="AJ47" s="257">
        <v>0</v>
      </c>
      <c r="AK47" s="111">
        <f t="shared" si="35"/>
        <v>2.0586724121948721</v>
      </c>
      <c r="AL47" s="110">
        <f t="shared" si="36"/>
        <v>8.397825573918249</v>
      </c>
      <c r="AM47" s="110">
        <f t="shared" si="37"/>
        <v>10.456497986113121</v>
      </c>
      <c r="AN47" s="74"/>
      <c r="AO47" s="60" t="s">
        <v>173</v>
      </c>
      <c r="AP47" s="74">
        <f t="shared" si="20"/>
        <v>-7.2009482037466119</v>
      </c>
      <c r="AQ47" s="74">
        <f t="shared" si="21"/>
        <v>3.4805184737744244E-2</v>
      </c>
      <c r="AR47" s="74">
        <f t="shared" si="22"/>
        <v>6.7404628145916273E-2</v>
      </c>
      <c r="AS47" s="74">
        <f t="shared" si="23"/>
        <v>0.91718615111857926</v>
      </c>
      <c r="AT47" s="74">
        <f t="shared" si="24"/>
        <v>0</v>
      </c>
      <c r="AU47" s="286">
        <f t="shared" si="25"/>
        <v>0</v>
      </c>
      <c r="AV47" s="74">
        <f t="shared" si="26"/>
        <v>0.91718615111857926</v>
      </c>
      <c r="AW47" t="str">
        <f t="shared" si="18"/>
        <v>Non-Ag Irr</v>
      </c>
      <c r="AX47" s="179">
        <f t="shared" si="27"/>
        <v>4</v>
      </c>
    </row>
    <row r="48" spans="1:50" x14ac:dyDescent="0.2">
      <c r="A48" s="60" t="s">
        <v>159</v>
      </c>
      <c r="B48" s="107">
        <f t="shared" si="28"/>
        <v>0.25</v>
      </c>
      <c r="C48" s="297">
        <v>2001</v>
      </c>
      <c r="D48" s="103">
        <f>+LFM*VLOOKUP(+A48,'HUC11 data'!$E$6:$K$156,7,FALSE)</f>
        <v>3.3925000000000001</v>
      </c>
      <c r="E48" s="103">
        <f t="shared" si="29"/>
        <v>17.394846495199531</v>
      </c>
      <c r="F48" s="113">
        <f t="shared" si="30"/>
        <v>5.1274418556225587</v>
      </c>
      <c r="G48" s="103">
        <f t="shared" si="31"/>
        <v>0</v>
      </c>
      <c r="H48" s="104" t="str">
        <f t="shared" si="10"/>
        <v>Potable</v>
      </c>
      <c r="I48" s="76">
        <v>18.195207042712749</v>
      </c>
      <c r="J48" s="76">
        <v>0</v>
      </c>
      <c r="K48" s="77">
        <v>2.4719536804119464</v>
      </c>
      <c r="L48" s="78">
        <v>1.7666775350505377</v>
      </c>
      <c r="M48" s="79">
        <v>0</v>
      </c>
      <c r="N48" s="76">
        <v>0</v>
      </c>
      <c r="O48" s="76">
        <v>0</v>
      </c>
      <c r="P48" s="78">
        <v>0.40672752961634601</v>
      </c>
      <c r="Q48" s="79">
        <v>0.34835343984349526</v>
      </c>
      <c r="R48" s="76">
        <v>0</v>
      </c>
      <c r="S48" s="76">
        <v>0</v>
      </c>
      <c r="T48" s="112">
        <f t="shared" si="32"/>
        <v>20.556509209012422</v>
      </c>
      <c r="U48" s="109">
        <f t="shared" si="33"/>
        <v>0.34835343984349526</v>
      </c>
      <c r="V48" s="108">
        <f>VLOOKUP(+A48,'HUC11 data'!$E$6:$L$156,8,FALSE)</f>
        <v>0</v>
      </c>
      <c r="W48" s="108">
        <f t="shared" si="34"/>
        <v>20.904862648855918</v>
      </c>
      <c r="X48" s="283">
        <v>0</v>
      </c>
      <c r="Y48" s="257">
        <v>0</v>
      </c>
      <c r="Z48" s="257">
        <v>8.8033909357678498E-3</v>
      </c>
      <c r="AA48" s="257">
        <v>0</v>
      </c>
      <c r="AB48" s="80">
        <v>1.8356948688591743</v>
      </c>
      <c r="AC48" s="81">
        <v>1.5900097789129295</v>
      </c>
      <c r="AD48" s="82">
        <v>0</v>
      </c>
      <c r="AE48" s="257">
        <v>0</v>
      </c>
      <c r="AF48" s="257">
        <v>0</v>
      </c>
      <c r="AG48" s="81">
        <v>4.0672762658774578E-2</v>
      </c>
      <c r="AH48" s="82">
        <v>3.4835352289742744E-2</v>
      </c>
      <c r="AI48" s="257">
        <v>0</v>
      </c>
      <c r="AJ48" s="257">
        <v>0</v>
      </c>
      <c r="AK48" s="111">
        <f t="shared" si="35"/>
        <v>3.4663774104308787</v>
      </c>
      <c r="AL48" s="110">
        <f t="shared" si="36"/>
        <v>4.363874322551059E-2</v>
      </c>
      <c r="AM48" s="110">
        <f t="shared" si="37"/>
        <v>3.5100161536563892</v>
      </c>
      <c r="AN48" s="74"/>
      <c r="AO48" s="60" t="s">
        <v>159</v>
      </c>
      <c r="AP48" s="74">
        <f t="shared" si="20"/>
        <v>18.822662463329753</v>
      </c>
      <c r="AQ48" s="74">
        <f t="shared" si="21"/>
        <v>0.17666775613760821</v>
      </c>
      <c r="AR48" s="74">
        <f t="shared" si="22"/>
        <v>0</v>
      </c>
      <c r="AS48" s="74">
        <f t="shared" si="23"/>
        <v>0.67957285451132399</v>
      </c>
      <c r="AT48" s="74">
        <f t="shared" si="24"/>
        <v>0</v>
      </c>
      <c r="AU48" s="286">
        <f t="shared" si="25"/>
        <v>0</v>
      </c>
      <c r="AV48" s="74">
        <f t="shared" si="26"/>
        <v>18.822662463329753</v>
      </c>
      <c r="AW48" t="str">
        <f t="shared" si="18"/>
        <v>Potable</v>
      </c>
      <c r="AX48" s="179">
        <f t="shared" si="27"/>
        <v>1</v>
      </c>
    </row>
    <row r="49" spans="1:50" x14ac:dyDescent="0.2">
      <c r="A49" s="60" t="s">
        <v>161</v>
      </c>
      <c r="B49" s="107">
        <f t="shared" si="28"/>
        <v>0.25</v>
      </c>
      <c r="C49" s="297">
        <v>2005</v>
      </c>
      <c r="D49" s="103">
        <f>+LFM*VLOOKUP(+A49,'HUC11 data'!$E$6:$K$156,7,FALSE)</f>
        <v>1.3325</v>
      </c>
      <c r="E49" s="103">
        <f t="shared" si="29"/>
        <v>6.1701458062681072</v>
      </c>
      <c r="F49" s="113">
        <f t="shared" si="30"/>
        <v>4.6305034193381669</v>
      </c>
      <c r="G49" s="103">
        <f t="shared" si="31"/>
        <v>0</v>
      </c>
      <c r="H49" s="104" t="str">
        <f t="shared" si="10"/>
        <v>Potable</v>
      </c>
      <c r="I49" s="76">
        <v>0</v>
      </c>
      <c r="J49" s="76">
        <v>4.4714704923377884</v>
      </c>
      <c r="K49" s="77">
        <v>0.21985198250256388</v>
      </c>
      <c r="L49" s="78">
        <v>7.0318443647429632E-2</v>
      </c>
      <c r="M49" s="79">
        <v>0</v>
      </c>
      <c r="N49" s="76">
        <v>8.0426040647755687E-3</v>
      </c>
      <c r="O49" s="76">
        <v>0.36713400717313333</v>
      </c>
      <c r="P49" s="78">
        <v>0.26584066949244645</v>
      </c>
      <c r="Q49" s="79">
        <v>0.1362895337463319</v>
      </c>
      <c r="R49" s="76">
        <v>0</v>
      </c>
      <c r="S49" s="76">
        <v>0</v>
      </c>
      <c r="T49" s="112">
        <f t="shared" si="32"/>
        <v>0.50764832973649399</v>
      </c>
      <c r="U49" s="109">
        <f t="shared" si="33"/>
        <v>4.9748940332572538</v>
      </c>
      <c r="V49" s="108">
        <f>VLOOKUP(+A49,'HUC11 data'!$E$6:$L$156,8,FALSE)</f>
        <v>1.0109900000000001</v>
      </c>
      <c r="W49" s="108">
        <f t="shared" si="34"/>
        <v>6.4935323629937471</v>
      </c>
      <c r="X49" s="283">
        <v>0</v>
      </c>
      <c r="Y49" s="257">
        <v>0</v>
      </c>
      <c r="Z49" s="257">
        <v>0</v>
      </c>
      <c r="AA49" s="257">
        <v>0</v>
      </c>
      <c r="AB49" s="80">
        <v>0.16326372375498011</v>
      </c>
      <c r="AC49" s="81">
        <v>7.4740788920921883E-2</v>
      </c>
      <c r="AD49" s="82">
        <v>0</v>
      </c>
      <c r="AE49" s="257">
        <v>8.455604667858432E-3</v>
      </c>
      <c r="AF49" s="257">
        <v>3.6713409470470165E-2</v>
      </c>
      <c r="AG49" s="81">
        <v>2.6584073287380116E-2</v>
      </c>
      <c r="AH49" s="82">
        <v>1.3628956624028889E-2</v>
      </c>
      <c r="AI49" s="257">
        <v>0</v>
      </c>
      <c r="AJ49" s="257">
        <v>0</v>
      </c>
      <c r="AK49" s="111">
        <f t="shared" si="35"/>
        <v>0.27304419063114055</v>
      </c>
      <c r="AL49" s="110">
        <f t="shared" si="36"/>
        <v>5.0342366094499054E-2</v>
      </c>
      <c r="AM49" s="110">
        <f t="shared" si="37"/>
        <v>0.3233865567256396</v>
      </c>
      <c r="AN49" s="74"/>
      <c r="AO49" s="60" t="s">
        <v>161</v>
      </c>
      <c r="AP49" s="74">
        <f t="shared" si="20"/>
        <v>4.5280587510853723</v>
      </c>
      <c r="AQ49" s="74">
        <f t="shared" si="21"/>
        <v>-4.4223452734922508E-3</v>
      </c>
      <c r="AR49" s="74">
        <f t="shared" si="22"/>
        <v>0.33000759709958033</v>
      </c>
      <c r="AS49" s="74">
        <f t="shared" si="23"/>
        <v>0.36191717332736933</v>
      </c>
      <c r="AT49" s="74">
        <f t="shared" si="24"/>
        <v>0</v>
      </c>
      <c r="AU49" s="286">
        <f t="shared" si="25"/>
        <v>1.0109900000000001</v>
      </c>
      <c r="AV49" s="74">
        <f t="shared" si="26"/>
        <v>4.5280587510853723</v>
      </c>
      <c r="AW49" t="str">
        <f t="shared" si="18"/>
        <v>Potable</v>
      </c>
      <c r="AX49" s="179">
        <f t="shared" si="27"/>
        <v>1</v>
      </c>
    </row>
    <row r="50" spans="1:50" x14ac:dyDescent="0.2">
      <c r="A50" s="60" t="s">
        <v>163</v>
      </c>
      <c r="B50" s="107">
        <f t="shared" si="28"/>
        <v>0.25</v>
      </c>
      <c r="C50" s="297">
        <v>2001</v>
      </c>
      <c r="D50" s="103">
        <f>+LFM*VLOOKUP(+A50,'HUC11 data'!$E$6:$K$156,7,FALSE)</f>
        <v>2.5724999999999998</v>
      </c>
      <c r="E50" s="103">
        <f t="shared" si="29"/>
        <v>4.0303139616472219</v>
      </c>
      <c r="F50" s="113">
        <f t="shared" si="30"/>
        <v>1.5666915302807471</v>
      </c>
      <c r="G50" s="103">
        <f t="shared" si="31"/>
        <v>0</v>
      </c>
      <c r="H50" s="104" t="str">
        <f t="shared" si="10"/>
        <v>Leakage</v>
      </c>
      <c r="I50" s="76">
        <v>1.4934246277578522</v>
      </c>
      <c r="J50" s="76">
        <v>0</v>
      </c>
      <c r="K50" s="77">
        <v>0.61152211863971362</v>
      </c>
      <c r="L50" s="78">
        <v>0</v>
      </c>
      <c r="M50" s="79">
        <v>0</v>
      </c>
      <c r="N50" s="76">
        <v>0</v>
      </c>
      <c r="O50" s="76">
        <v>0.13791979132702967</v>
      </c>
      <c r="P50" s="78">
        <v>0</v>
      </c>
      <c r="Q50" s="79">
        <v>0.3919139223997391</v>
      </c>
      <c r="R50" s="76">
        <v>0</v>
      </c>
      <c r="S50" s="76">
        <v>0</v>
      </c>
      <c r="T50" s="112">
        <f t="shared" si="32"/>
        <v>1.8944520717578095</v>
      </c>
      <c r="U50" s="109">
        <f t="shared" si="33"/>
        <v>0.5298337137267688</v>
      </c>
      <c r="V50" s="108">
        <f>VLOOKUP(+A50,'HUC11 data'!$E$6:$L$156,8,FALSE)</f>
        <v>2.1292160000000004</v>
      </c>
      <c r="W50" s="108">
        <f t="shared" si="34"/>
        <v>4.5535017854845785</v>
      </c>
      <c r="X50" s="283">
        <v>0</v>
      </c>
      <c r="Y50" s="257">
        <v>2.2595370068470815E-4</v>
      </c>
      <c r="Z50" s="257">
        <v>0</v>
      </c>
      <c r="AA50" s="257">
        <v>0</v>
      </c>
      <c r="AB50" s="80">
        <v>0.45412368396021752</v>
      </c>
      <c r="AC50" s="81">
        <v>0</v>
      </c>
      <c r="AD50" s="82">
        <v>0</v>
      </c>
      <c r="AE50" s="257">
        <v>0</v>
      </c>
      <c r="AF50" s="257">
        <v>1.3791982420967033E-2</v>
      </c>
      <c r="AG50" s="81">
        <v>1.5854802171557689E-2</v>
      </c>
      <c r="AH50" s="82">
        <v>3.9191401583929961E-2</v>
      </c>
      <c r="AI50" s="257">
        <v>0</v>
      </c>
      <c r="AJ50" s="257">
        <v>0</v>
      </c>
      <c r="AK50" s="111">
        <f t="shared" si="35"/>
        <v>0.47020443983245996</v>
      </c>
      <c r="AL50" s="110">
        <f t="shared" si="36"/>
        <v>5.2983384004896994E-2</v>
      </c>
      <c r="AM50" s="110">
        <f t="shared" si="37"/>
        <v>0.52318782383735696</v>
      </c>
      <c r="AN50" s="74"/>
      <c r="AO50" s="60" t="s">
        <v>163</v>
      </c>
      <c r="AP50" s="74">
        <f t="shared" si="20"/>
        <v>1.6505971087366638</v>
      </c>
      <c r="AQ50" s="74">
        <f t="shared" si="21"/>
        <v>0</v>
      </c>
      <c r="AR50" s="74">
        <f t="shared" si="22"/>
        <v>0.12412780890606263</v>
      </c>
      <c r="AS50" s="74">
        <f t="shared" si="23"/>
        <v>0.33686771864425147</v>
      </c>
      <c r="AT50" s="74">
        <f t="shared" si="24"/>
        <v>0</v>
      </c>
      <c r="AU50" s="286">
        <f t="shared" si="25"/>
        <v>2.1292160000000004</v>
      </c>
      <c r="AV50" s="74">
        <f t="shared" si="26"/>
        <v>2.1292160000000004</v>
      </c>
      <c r="AW50" t="str">
        <f t="shared" si="18"/>
        <v>Leakage</v>
      </c>
      <c r="AX50" s="179">
        <f t="shared" si="27"/>
        <v>6</v>
      </c>
    </row>
    <row r="51" spans="1:50" x14ac:dyDescent="0.2">
      <c r="A51" s="60" t="s">
        <v>165</v>
      </c>
      <c r="B51" s="107">
        <f t="shared" si="28"/>
        <v>0.25</v>
      </c>
      <c r="C51" s="297">
        <v>2003</v>
      </c>
      <c r="D51" s="103">
        <f>+LFM*VLOOKUP(+A51,'HUC11 data'!$E$6:$K$156,7,FALSE)</f>
        <v>2.5175000000000001</v>
      </c>
      <c r="E51" s="103">
        <f t="shared" si="29"/>
        <v>2.4715736717267633</v>
      </c>
      <c r="F51" s="113">
        <f t="shared" si="30"/>
        <v>0.98175716851112738</v>
      </c>
      <c r="G51" s="103">
        <f t="shared" si="31"/>
        <v>4.5926328273236727E-2</v>
      </c>
      <c r="H51" s="104" t="str">
        <f t="shared" si="10"/>
        <v>Potable</v>
      </c>
      <c r="I51" s="76">
        <v>4.2543201825888488</v>
      </c>
      <c r="J51" s="76">
        <v>2.6058037169872841</v>
      </c>
      <c r="K51" s="77">
        <v>0.53174847781746426</v>
      </c>
      <c r="L51" s="78">
        <v>0</v>
      </c>
      <c r="M51" s="79">
        <v>0</v>
      </c>
      <c r="N51" s="76">
        <v>0</v>
      </c>
      <c r="O51" s="76">
        <v>3.9126181936746003E-3</v>
      </c>
      <c r="P51" s="78">
        <v>0</v>
      </c>
      <c r="Q51" s="79">
        <v>4.1082491033583302E-2</v>
      </c>
      <c r="R51" s="76">
        <v>0</v>
      </c>
      <c r="S51" s="76">
        <v>0</v>
      </c>
      <c r="T51" s="112">
        <f t="shared" si="32"/>
        <v>4.3074617943656817</v>
      </c>
      <c r="U51" s="109">
        <f t="shared" si="33"/>
        <v>2.6507988262145421</v>
      </c>
      <c r="V51" s="108">
        <f>VLOOKUP(+A51,'HUC11 data'!$E$6:$L$156,8,FALSE)</f>
        <v>1.2073740000000004</v>
      </c>
      <c r="W51" s="108">
        <f t="shared" si="34"/>
        <v>8.1656346205802244</v>
      </c>
      <c r="X51" s="283">
        <v>0</v>
      </c>
      <c r="Y51" s="257">
        <v>5.8395826540593405E-6</v>
      </c>
      <c r="Z51" s="257">
        <v>5.2517117704597327</v>
      </c>
      <c r="AA51" s="257">
        <v>0</v>
      </c>
      <c r="AB51" s="80">
        <v>0.39488307317548549</v>
      </c>
      <c r="AC51" s="81">
        <v>0</v>
      </c>
      <c r="AD51" s="82">
        <v>0</v>
      </c>
      <c r="AE51" s="257">
        <v>0</v>
      </c>
      <c r="AF51" s="257">
        <v>3.9126191265154706E-4</v>
      </c>
      <c r="AG51" s="81">
        <v>4.2960753640096196E-2</v>
      </c>
      <c r="AH51" s="82">
        <v>4.1082500828412442E-3</v>
      </c>
      <c r="AI51" s="257">
        <v>0</v>
      </c>
      <c r="AJ51" s="257">
        <v>0</v>
      </c>
      <c r="AK51" s="111">
        <f t="shared" si="35"/>
        <v>0.43784966639823575</v>
      </c>
      <c r="AL51" s="110">
        <f t="shared" si="36"/>
        <v>5.256211282455225</v>
      </c>
      <c r="AM51" s="110">
        <f t="shared" si="37"/>
        <v>5.694060948853461</v>
      </c>
      <c r="AN51" s="74"/>
      <c r="AO51" s="60" t="s">
        <v>165</v>
      </c>
      <c r="AP51" s="74">
        <f t="shared" si="20"/>
        <v>1.7452716941757247</v>
      </c>
      <c r="AQ51" s="74">
        <f t="shared" si="21"/>
        <v>0</v>
      </c>
      <c r="AR51" s="74">
        <f t="shared" si="22"/>
        <v>3.5213562810230531E-3</v>
      </c>
      <c r="AS51" s="74">
        <f t="shared" si="23"/>
        <v>-5.9865126893541357E-3</v>
      </c>
      <c r="AT51" s="74">
        <f t="shared" si="24"/>
        <v>0</v>
      </c>
      <c r="AU51" s="286">
        <f t="shared" si="25"/>
        <v>1.2073740000000004</v>
      </c>
      <c r="AV51" s="74">
        <f t="shared" si="26"/>
        <v>1.7452716941757247</v>
      </c>
      <c r="AW51" t="str">
        <f t="shared" si="18"/>
        <v>Potable</v>
      </c>
      <c r="AX51" s="179">
        <f t="shared" si="27"/>
        <v>1</v>
      </c>
    </row>
    <row r="52" spans="1:50" x14ac:dyDescent="0.2">
      <c r="A52" s="60" t="s">
        <v>167</v>
      </c>
      <c r="B52" s="107">
        <f t="shared" si="28"/>
        <v>0.25</v>
      </c>
      <c r="C52" s="297">
        <v>2003</v>
      </c>
      <c r="D52" s="103">
        <f>+LFM*VLOOKUP(+A52,'HUC11 data'!$E$6:$K$156,7,FALSE)</f>
        <v>3.1025</v>
      </c>
      <c r="E52" s="103">
        <f t="shared" si="29"/>
        <v>11.725151288301477</v>
      </c>
      <c r="F52" s="113">
        <f t="shared" si="30"/>
        <v>3.7792590776153028</v>
      </c>
      <c r="G52" s="103">
        <f t="shared" si="31"/>
        <v>0</v>
      </c>
      <c r="H52" s="104" t="str">
        <f t="shared" si="10"/>
        <v>Potable</v>
      </c>
      <c r="I52" s="76">
        <v>13.60580371698728</v>
      </c>
      <c r="J52" s="76">
        <v>2.258558852298663</v>
      </c>
      <c r="K52" s="77">
        <v>9.551203020432017E-2</v>
      </c>
      <c r="L52" s="78">
        <v>0.44169112053037712</v>
      </c>
      <c r="M52" s="79">
        <v>1.4672318226279752E-2</v>
      </c>
      <c r="N52" s="76">
        <v>0</v>
      </c>
      <c r="O52" s="76">
        <v>0</v>
      </c>
      <c r="P52" s="78">
        <v>1.0868383871318336E-7</v>
      </c>
      <c r="Q52" s="79">
        <v>6.0645582001956307E-2</v>
      </c>
      <c r="R52" s="76">
        <v>0</v>
      </c>
      <c r="S52" s="76">
        <v>0</v>
      </c>
      <c r="T52" s="112">
        <f t="shared" si="32"/>
        <v>12.728706278765236</v>
      </c>
      <c r="U52" s="109">
        <f t="shared" si="33"/>
        <v>2.3338767525268991</v>
      </c>
      <c r="V52" s="108">
        <f>VLOOKUP(+A52,'HUC11 data'!$E$6:$L$156,8,FALSE)</f>
        <v>0.49419000000000035</v>
      </c>
      <c r="W52" s="108">
        <f t="shared" si="34"/>
        <v>15.556773031292135</v>
      </c>
      <c r="X52" s="283">
        <v>0</v>
      </c>
      <c r="Y52" s="257">
        <v>0</v>
      </c>
      <c r="Z52" s="257">
        <v>1.8741441147701335E-2</v>
      </c>
      <c r="AA52" s="257">
        <v>0</v>
      </c>
      <c r="AB52" s="80">
        <v>7.0928333891114109E-2</v>
      </c>
      <c r="AC52" s="81">
        <v>3.7229105470401005</v>
      </c>
      <c r="AD52" s="82">
        <v>1.2911640078480406E-2</v>
      </c>
      <c r="AE52" s="257">
        <v>0</v>
      </c>
      <c r="AF52" s="257">
        <v>0</v>
      </c>
      <c r="AG52" s="81">
        <v>6.5221187161720398E-5</v>
      </c>
      <c r="AH52" s="82">
        <v>6.0645596460989805E-3</v>
      </c>
      <c r="AI52" s="257">
        <v>0</v>
      </c>
      <c r="AJ52" s="257">
        <v>0</v>
      </c>
      <c r="AK52" s="111">
        <f t="shared" si="35"/>
        <v>3.7939041021183764</v>
      </c>
      <c r="AL52" s="110">
        <f t="shared" si="36"/>
        <v>3.7717640872280717E-2</v>
      </c>
      <c r="AM52" s="110">
        <f t="shared" si="37"/>
        <v>3.8316217429906572</v>
      </c>
      <c r="AN52" s="74"/>
      <c r="AO52" s="60" t="s">
        <v>167</v>
      </c>
      <c r="AP52" s="74">
        <f t="shared" si="20"/>
        <v>15.870204824451447</v>
      </c>
      <c r="AQ52" s="74">
        <f t="shared" si="21"/>
        <v>-3.279458748361924</v>
      </c>
      <c r="AR52" s="74">
        <f t="shared" si="22"/>
        <v>0</v>
      </c>
      <c r="AS52" s="74">
        <f t="shared" si="23"/>
        <v>5.4515909852534322E-2</v>
      </c>
      <c r="AT52" s="74">
        <f t="shared" si="24"/>
        <v>0</v>
      </c>
      <c r="AU52" s="286">
        <f t="shared" si="25"/>
        <v>0.49419000000000035</v>
      </c>
      <c r="AV52" s="74">
        <f t="shared" si="26"/>
        <v>15.870204824451447</v>
      </c>
      <c r="AW52" t="str">
        <f t="shared" si="18"/>
        <v>Potable</v>
      </c>
      <c r="AX52" s="179">
        <f t="shared" si="27"/>
        <v>1</v>
      </c>
    </row>
    <row r="53" spans="1:50" x14ac:dyDescent="0.2">
      <c r="A53" s="60" t="s">
        <v>56</v>
      </c>
      <c r="B53" s="107">
        <f t="shared" si="28"/>
        <v>0.25</v>
      </c>
      <c r="C53" s="297">
        <v>2002</v>
      </c>
      <c r="D53" s="103">
        <f>+LFM*VLOOKUP(+A53,'HUC11 data'!$E$6:$K$156,7,FALSE)</f>
        <v>0.95499999999999996</v>
      </c>
      <c r="E53" s="103">
        <f t="shared" si="29"/>
        <v>0.61454157112603913</v>
      </c>
      <c r="F53" s="113">
        <f t="shared" si="30"/>
        <v>0.64349902735710907</v>
      </c>
      <c r="G53" s="103">
        <f t="shared" si="31"/>
        <v>0.34045842887396083</v>
      </c>
      <c r="H53" s="104" t="str">
        <f t="shared" si="10"/>
        <v>Non-Ag Irr</v>
      </c>
      <c r="I53" s="76">
        <v>0.1228888164329964</v>
      </c>
      <c r="J53" s="76">
        <v>0</v>
      </c>
      <c r="K53" s="77">
        <v>0.13849498206827901</v>
      </c>
      <c r="L53" s="78">
        <v>0</v>
      </c>
      <c r="M53" s="79">
        <v>0</v>
      </c>
      <c r="N53" s="76">
        <v>0</v>
      </c>
      <c r="O53" s="76">
        <v>0</v>
      </c>
      <c r="P53" s="78">
        <v>4.7820889033800672E-3</v>
      </c>
      <c r="Q53" s="79">
        <v>0.53146397130746659</v>
      </c>
      <c r="R53" s="76">
        <v>0</v>
      </c>
      <c r="S53" s="76">
        <v>0</v>
      </c>
      <c r="T53" s="112">
        <f t="shared" si="32"/>
        <v>0.23954929866418992</v>
      </c>
      <c r="U53" s="109">
        <f t="shared" si="33"/>
        <v>0.53146397130746659</v>
      </c>
      <c r="V53" s="108">
        <f>VLOOKUP(+A53,'HUC11 data'!$E$6:$L$156,8,FALSE)</f>
        <v>0</v>
      </c>
      <c r="W53" s="108">
        <f t="shared" si="34"/>
        <v>0.77101326997165653</v>
      </c>
      <c r="X53" s="283">
        <v>0</v>
      </c>
      <c r="Y53" s="257">
        <v>0</v>
      </c>
      <c r="Z53" s="257">
        <v>0</v>
      </c>
      <c r="AA53" s="257">
        <v>0</v>
      </c>
      <c r="AB53" s="80">
        <v>0.10284708003943034</v>
      </c>
      <c r="AC53" s="81">
        <v>0</v>
      </c>
      <c r="AD53" s="82">
        <v>0</v>
      </c>
      <c r="AE53" s="257">
        <v>0</v>
      </c>
      <c r="AF53" s="257">
        <v>0</v>
      </c>
      <c r="AG53" s="81">
        <v>4.7820900435189081E-4</v>
      </c>
      <c r="AH53" s="82">
        <v>5.3146409801835146E-2</v>
      </c>
      <c r="AI53" s="257">
        <v>0</v>
      </c>
      <c r="AJ53" s="257">
        <v>0</v>
      </c>
      <c r="AK53" s="111">
        <f t="shared" si="35"/>
        <v>0.10332528904378223</v>
      </c>
      <c r="AL53" s="110">
        <f t="shared" si="36"/>
        <v>5.3146409801835146E-2</v>
      </c>
      <c r="AM53" s="110">
        <f t="shared" si="37"/>
        <v>0.15647169884561737</v>
      </c>
      <c r="AN53" s="74"/>
      <c r="AO53" s="60" t="s">
        <v>56</v>
      </c>
      <c r="AP53" s="74">
        <f t="shared" si="20"/>
        <v>0.15853671846184508</v>
      </c>
      <c r="AQ53" s="74">
        <f t="shared" si="21"/>
        <v>0</v>
      </c>
      <c r="AR53" s="74">
        <f t="shared" si="22"/>
        <v>0</v>
      </c>
      <c r="AS53" s="74">
        <f t="shared" si="23"/>
        <v>0.48262144140465962</v>
      </c>
      <c r="AT53" s="74">
        <f t="shared" si="24"/>
        <v>0</v>
      </c>
      <c r="AU53" s="286">
        <f t="shared" si="25"/>
        <v>0</v>
      </c>
      <c r="AV53" s="74">
        <f t="shared" si="26"/>
        <v>0.48262144140465962</v>
      </c>
      <c r="AW53" t="str">
        <f t="shared" si="18"/>
        <v>Non-Ag Irr</v>
      </c>
      <c r="AX53" s="179">
        <f t="shared" si="27"/>
        <v>4</v>
      </c>
    </row>
    <row r="54" spans="1:50" x14ac:dyDescent="0.2">
      <c r="A54" s="60" t="s">
        <v>58</v>
      </c>
      <c r="B54" s="107">
        <f t="shared" si="28"/>
        <v>0.25</v>
      </c>
      <c r="C54" s="297">
        <v>2007</v>
      </c>
      <c r="D54" s="103">
        <f>+LFM*VLOOKUP(+A54,'HUC11 data'!$E$6:$K$156,7,FALSE)</f>
        <v>0.54749999999999999</v>
      </c>
      <c r="E54" s="103">
        <f t="shared" si="29"/>
        <v>2.4152770406425036E-2</v>
      </c>
      <c r="F54" s="113">
        <f t="shared" si="30"/>
        <v>4.4114649144155318E-2</v>
      </c>
      <c r="G54" s="103">
        <f t="shared" si="31"/>
        <v>0.52334722959357494</v>
      </c>
      <c r="H54" s="104" t="str">
        <f t="shared" si="10"/>
        <v>Potable</v>
      </c>
      <c r="I54" s="76">
        <v>1.3802847516574285E-2</v>
      </c>
      <c r="J54" s="76">
        <v>0</v>
      </c>
      <c r="K54" s="77">
        <v>8.13675805097131E-2</v>
      </c>
      <c r="L54" s="78">
        <v>0</v>
      </c>
      <c r="M54" s="79">
        <v>0</v>
      </c>
      <c r="N54" s="76">
        <v>0</v>
      </c>
      <c r="O54" s="76">
        <v>0</v>
      </c>
      <c r="P54" s="78">
        <v>0</v>
      </c>
      <c r="Q54" s="79">
        <v>0</v>
      </c>
      <c r="R54" s="76">
        <v>0</v>
      </c>
      <c r="S54" s="76">
        <v>0</v>
      </c>
      <c r="T54" s="112">
        <f t="shared" si="32"/>
        <v>8.565338522365866E-2</v>
      </c>
      <c r="U54" s="109">
        <f t="shared" si="33"/>
        <v>0</v>
      </c>
      <c r="V54" s="108">
        <f>VLOOKUP(+A54,'HUC11 data'!$E$6:$L$156,8,FALSE)</f>
        <v>0</v>
      </c>
      <c r="W54" s="108">
        <f t="shared" si="34"/>
        <v>8.565338522365866E-2</v>
      </c>
      <c r="X54" s="283">
        <v>0</v>
      </c>
      <c r="Y54" s="257">
        <v>1.075970003260515E-3</v>
      </c>
      <c r="Z54" s="257">
        <v>0</v>
      </c>
      <c r="AA54" s="257">
        <v>0</v>
      </c>
      <c r="AB54" s="80">
        <v>6.0424644813973111E-2</v>
      </c>
      <c r="AC54" s="81">
        <v>0</v>
      </c>
      <c r="AD54" s="82">
        <v>0</v>
      </c>
      <c r="AE54" s="257">
        <v>0</v>
      </c>
      <c r="AF54" s="257">
        <v>0</v>
      </c>
      <c r="AG54" s="81">
        <v>0</v>
      </c>
      <c r="AH54" s="82">
        <v>0</v>
      </c>
      <c r="AI54" s="257">
        <v>0</v>
      </c>
      <c r="AJ54" s="257">
        <v>0</v>
      </c>
      <c r="AK54" s="111">
        <f t="shared" si="35"/>
        <v>6.1500614817233623E-2</v>
      </c>
      <c r="AL54" s="110">
        <f t="shared" si="36"/>
        <v>0</v>
      </c>
      <c r="AM54" s="110">
        <f t="shared" si="37"/>
        <v>6.1500614817233623E-2</v>
      </c>
      <c r="AN54" s="74"/>
      <c r="AO54" s="60" t="s">
        <v>58</v>
      </c>
      <c r="AP54" s="74">
        <f t="shared" si="20"/>
        <v>3.3669813209053767E-2</v>
      </c>
      <c r="AQ54" s="74">
        <f t="shared" si="21"/>
        <v>0</v>
      </c>
      <c r="AR54" s="74">
        <f t="shared" si="22"/>
        <v>0</v>
      </c>
      <c r="AS54" s="74">
        <f t="shared" si="23"/>
        <v>0</v>
      </c>
      <c r="AT54" s="74">
        <f t="shared" si="24"/>
        <v>0</v>
      </c>
      <c r="AU54" s="286">
        <f t="shared" si="25"/>
        <v>0</v>
      </c>
      <c r="AV54" s="74">
        <f t="shared" si="26"/>
        <v>3.3669813209053767E-2</v>
      </c>
      <c r="AW54" t="str">
        <f t="shared" si="18"/>
        <v>Potable</v>
      </c>
      <c r="AX54" s="179">
        <f t="shared" si="27"/>
        <v>1</v>
      </c>
    </row>
    <row r="55" spans="1:50" x14ac:dyDescent="0.2">
      <c r="A55" s="60" t="s">
        <v>60</v>
      </c>
      <c r="B55" s="107">
        <f t="shared" si="28"/>
        <v>0.25</v>
      </c>
      <c r="C55" s="297">
        <v>2009</v>
      </c>
      <c r="D55" s="103">
        <f>+LFM*VLOOKUP(+A55,'HUC11 data'!$E$6:$K$156,7,FALSE)</f>
        <v>0.57250000000000001</v>
      </c>
      <c r="E55" s="103">
        <f t="shared" si="29"/>
        <v>1.6926911261421485E-2</v>
      </c>
      <c r="F55" s="113">
        <f t="shared" si="30"/>
        <v>2.9566657225190366E-2</v>
      </c>
      <c r="G55" s="103">
        <f t="shared" si="31"/>
        <v>0.55557308873857858</v>
      </c>
      <c r="H55" s="104" t="str">
        <f t="shared" si="10"/>
        <v>Potable</v>
      </c>
      <c r="I55" s="76">
        <v>0</v>
      </c>
      <c r="J55" s="76">
        <v>0</v>
      </c>
      <c r="K55" s="77">
        <v>0.10754840836895463</v>
      </c>
      <c r="L55" s="78">
        <v>0</v>
      </c>
      <c r="M55" s="79">
        <v>0</v>
      </c>
      <c r="N55" s="76">
        <v>0</v>
      </c>
      <c r="O55" s="76">
        <v>0</v>
      </c>
      <c r="P55" s="78">
        <v>0</v>
      </c>
      <c r="Q55" s="79">
        <v>0</v>
      </c>
      <c r="R55" s="76">
        <v>0</v>
      </c>
      <c r="S55" s="76">
        <v>0</v>
      </c>
      <c r="T55" s="112">
        <f t="shared" si="32"/>
        <v>9.6793567532059172E-2</v>
      </c>
      <c r="U55" s="109">
        <f t="shared" si="33"/>
        <v>0</v>
      </c>
      <c r="V55" s="108">
        <f>VLOOKUP(+A55,'HUC11 data'!$E$6:$L$156,8,FALSE)</f>
        <v>0</v>
      </c>
      <c r="W55" s="108">
        <f t="shared" si="34"/>
        <v>9.6793567532059172E-2</v>
      </c>
      <c r="X55" s="283">
        <v>0</v>
      </c>
      <c r="Y55" s="257">
        <v>0</v>
      </c>
      <c r="Z55" s="257">
        <v>0</v>
      </c>
      <c r="AA55" s="257">
        <v>0</v>
      </c>
      <c r="AB55" s="80">
        <v>7.9866656270637687E-2</v>
      </c>
      <c r="AC55" s="81">
        <v>0</v>
      </c>
      <c r="AD55" s="82">
        <v>0</v>
      </c>
      <c r="AE55" s="257">
        <v>0</v>
      </c>
      <c r="AF55" s="257">
        <v>0</v>
      </c>
      <c r="AG55" s="81">
        <v>0</v>
      </c>
      <c r="AH55" s="82">
        <v>0</v>
      </c>
      <c r="AI55" s="257">
        <v>0</v>
      </c>
      <c r="AJ55" s="257">
        <v>0</v>
      </c>
      <c r="AK55" s="111">
        <f t="shared" si="35"/>
        <v>7.9866656270637687E-2</v>
      </c>
      <c r="AL55" s="110">
        <f t="shared" si="36"/>
        <v>0</v>
      </c>
      <c r="AM55" s="110">
        <f t="shared" si="37"/>
        <v>7.9866656270637687E-2</v>
      </c>
      <c r="AN55" s="74"/>
      <c r="AO55" s="60" t="s">
        <v>60</v>
      </c>
      <c r="AP55" s="74">
        <f t="shared" si="20"/>
        <v>2.7681752098316942E-2</v>
      </c>
      <c r="AQ55" s="74">
        <f t="shared" si="21"/>
        <v>0</v>
      </c>
      <c r="AR55" s="74">
        <f t="shared" si="22"/>
        <v>0</v>
      </c>
      <c r="AS55" s="74">
        <f t="shared" si="23"/>
        <v>0</v>
      </c>
      <c r="AT55" s="74">
        <f t="shared" si="24"/>
        <v>0</v>
      </c>
      <c r="AU55" s="286">
        <f t="shared" si="25"/>
        <v>0</v>
      </c>
      <c r="AV55" s="74">
        <f t="shared" si="26"/>
        <v>2.7681752098316942E-2</v>
      </c>
      <c r="AW55" t="str">
        <f t="shared" si="18"/>
        <v>Potable</v>
      </c>
      <c r="AX55" s="179">
        <f t="shared" si="27"/>
        <v>1</v>
      </c>
    </row>
    <row r="56" spans="1:50" x14ac:dyDescent="0.2">
      <c r="A56" s="60" t="s">
        <v>62</v>
      </c>
      <c r="B56" s="107">
        <f t="shared" si="28"/>
        <v>0.25</v>
      </c>
      <c r="C56" s="297">
        <v>2007</v>
      </c>
      <c r="D56" s="103">
        <f>+LFM*VLOOKUP(+A56,'HUC11 data'!$E$6:$K$156,7,FALSE)</f>
        <v>1.07</v>
      </c>
      <c r="E56" s="103">
        <f t="shared" si="29"/>
        <v>3.3361132804825944E-2</v>
      </c>
      <c r="F56" s="113">
        <f t="shared" si="30"/>
        <v>3.1178628789556954E-2</v>
      </c>
      <c r="G56" s="103">
        <f t="shared" si="31"/>
        <v>1.0366388671951741</v>
      </c>
      <c r="H56" s="104" t="str">
        <f t="shared" si="10"/>
        <v>Potable</v>
      </c>
      <c r="I56" s="76">
        <v>0</v>
      </c>
      <c r="J56" s="76">
        <v>0</v>
      </c>
      <c r="K56" s="77">
        <v>0.21611100598853825</v>
      </c>
      <c r="L56" s="78">
        <v>0</v>
      </c>
      <c r="M56" s="79">
        <v>0</v>
      </c>
      <c r="N56" s="76">
        <v>0</v>
      </c>
      <c r="O56" s="76">
        <v>0</v>
      </c>
      <c r="P56" s="78">
        <v>0</v>
      </c>
      <c r="Q56" s="79">
        <v>0</v>
      </c>
      <c r="R56" s="76">
        <v>0</v>
      </c>
      <c r="S56" s="76">
        <v>0</v>
      </c>
      <c r="T56" s="112">
        <f t="shared" si="32"/>
        <v>0.19449990538968442</v>
      </c>
      <c r="U56" s="109">
        <f t="shared" si="33"/>
        <v>0</v>
      </c>
      <c r="V56" s="108">
        <f>VLOOKUP(+A56,'HUC11 data'!$E$6:$L$156,8,FALSE)</f>
        <v>0</v>
      </c>
      <c r="W56" s="108">
        <f t="shared" si="34"/>
        <v>0.19449990538968442</v>
      </c>
      <c r="X56" s="283">
        <v>0</v>
      </c>
      <c r="Y56" s="257">
        <v>6.5210303227910009E-4</v>
      </c>
      <c r="Z56" s="257">
        <v>0</v>
      </c>
      <c r="AA56" s="257">
        <v>0</v>
      </c>
      <c r="AB56" s="80">
        <v>0.16048666955257937</v>
      </c>
      <c r="AC56" s="81">
        <v>0</v>
      </c>
      <c r="AD56" s="82">
        <v>0</v>
      </c>
      <c r="AE56" s="257">
        <v>0</v>
      </c>
      <c r="AF56" s="257">
        <v>0</v>
      </c>
      <c r="AG56" s="81">
        <v>0</v>
      </c>
      <c r="AH56" s="82">
        <v>0</v>
      </c>
      <c r="AI56" s="257">
        <v>0</v>
      </c>
      <c r="AJ56" s="257">
        <v>0</v>
      </c>
      <c r="AK56" s="111">
        <f t="shared" si="35"/>
        <v>0.16113877258485848</v>
      </c>
      <c r="AL56" s="110">
        <f t="shared" si="36"/>
        <v>0</v>
      </c>
      <c r="AM56" s="110">
        <f t="shared" si="37"/>
        <v>0.16113877258485848</v>
      </c>
      <c r="AN56" s="74"/>
      <c r="AO56" s="60" t="s">
        <v>62</v>
      </c>
      <c r="AP56" s="74">
        <f t="shared" si="20"/>
        <v>5.4972233403679766E-2</v>
      </c>
      <c r="AQ56" s="74">
        <f t="shared" si="21"/>
        <v>0</v>
      </c>
      <c r="AR56" s="74">
        <f t="shared" si="22"/>
        <v>0</v>
      </c>
      <c r="AS56" s="74">
        <f t="shared" si="23"/>
        <v>0</v>
      </c>
      <c r="AT56" s="74">
        <f t="shared" si="24"/>
        <v>0</v>
      </c>
      <c r="AU56" s="286">
        <f t="shared" si="25"/>
        <v>0</v>
      </c>
      <c r="AV56" s="74">
        <f t="shared" si="26"/>
        <v>5.4972233403679766E-2</v>
      </c>
      <c r="AW56" t="str">
        <f t="shared" si="18"/>
        <v>Potable</v>
      </c>
      <c r="AX56" s="179">
        <f t="shared" si="27"/>
        <v>1</v>
      </c>
    </row>
    <row r="57" spans="1:50" x14ac:dyDescent="0.2">
      <c r="A57" s="60" t="s">
        <v>64</v>
      </c>
      <c r="B57" s="107">
        <f t="shared" si="28"/>
        <v>0.25</v>
      </c>
      <c r="C57" s="297">
        <v>2008</v>
      </c>
      <c r="D57" s="103">
        <f>+LFM*VLOOKUP(+A57,'HUC11 data'!$E$6:$K$156,7,FALSE)</f>
        <v>0.6</v>
      </c>
      <c r="E57" s="103">
        <f t="shared" si="29"/>
        <v>5.082842929612235E-3</v>
      </c>
      <c r="F57" s="113">
        <f t="shared" si="30"/>
        <v>8.4714048826870589E-3</v>
      </c>
      <c r="G57" s="103">
        <f t="shared" si="31"/>
        <v>0.59491715707038773</v>
      </c>
      <c r="H57" s="104" t="str">
        <f t="shared" si="10"/>
        <v>Potable</v>
      </c>
      <c r="I57" s="76">
        <v>0</v>
      </c>
      <c r="J57" s="76">
        <v>0</v>
      </c>
      <c r="K57" s="77">
        <v>3.267416565795872E-2</v>
      </c>
      <c r="L57" s="78">
        <v>0</v>
      </c>
      <c r="M57" s="79">
        <v>0</v>
      </c>
      <c r="N57" s="76">
        <v>0</v>
      </c>
      <c r="O57" s="76">
        <v>0</v>
      </c>
      <c r="P57" s="78">
        <v>0</v>
      </c>
      <c r="Q57" s="79">
        <v>0</v>
      </c>
      <c r="R57" s="76">
        <v>0</v>
      </c>
      <c r="S57" s="76">
        <v>0</v>
      </c>
      <c r="T57" s="112">
        <f t="shared" si="32"/>
        <v>2.940674909216285E-2</v>
      </c>
      <c r="U57" s="109">
        <f t="shared" si="33"/>
        <v>0</v>
      </c>
      <c r="V57" s="108">
        <f>VLOOKUP(+A57,'HUC11 data'!$E$6:$L$156,8,FALSE)</f>
        <v>0</v>
      </c>
      <c r="W57" s="108">
        <f t="shared" si="34"/>
        <v>2.940674909216285E-2</v>
      </c>
      <c r="X57" s="283">
        <v>0</v>
      </c>
      <c r="Y57" s="257">
        <v>5.9667427453537657E-5</v>
      </c>
      <c r="Z57" s="257">
        <v>0</v>
      </c>
      <c r="AA57" s="257">
        <v>0</v>
      </c>
      <c r="AB57" s="80">
        <v>2.4264238735097077E-2</v>
      </c>
      <c r="AC57" s="81">
        <v>0</v>
      </c>
      <c r="AD57" s="82">
        <v>0</v>
      </c>
      <c r="AE57" s="257">
        <v>0</v>
      </c>
      <c r="AF57" s="257">
        <v>0</v>
      </c>
      <c r="AG57" s="81">
        <v>0</v>
      </c>
      <c r="AH57" s="82">
        <v>0</v>
      </c>
      <c r="AI57" s="257">
        <v>0</v>
      </c>
      <c r="AJ57" s="257">
        <v>0</v>
      </c>
      <c r="AK57" s="111">
        <f t="shared" si="35"/>
        <v>2.4323906162550615E-2</v>
      </c>
      <c r="AL57" s="110">
        <f t="shared" si="36"/>
        <v>0</v>
      </c>
      <c r="AM57" s="110">
        <f t="shared" si="37"/>
        <v>2.4323906162550615E-2</v>
      </c>
      <c r="AN57" s="74"/>
      <c r="AO57" s="60" t="s">
        <v>64</v>
      </c>
      <c r="AP57" s="74">
        <f t="shared" si="20"/>
        <v>8.3502594954081057E-3</v>
      </c>
      <c r="AQ57" s="74">
        <f t="shared" si="21"/>
        <v>0</v>
      </c>
      <c r="AR57" s="74">
        <f t="shared" si="22"/>
        <v>0</v>
      </c>
      <c r="AS57" s="74">
        <f t="shared" si="23"/>
        <v>0</v>
      </c>
      <c r="AT57" s="74">
        <f t="shared" si="24"/>
        <v>0</v>
      </c>
      <c r="AU57" s="286">
        <f t="shared" si="25"/>
        <v>0</v>
      </c>
      <c r="AV57" s="74">
        <f t="shared" si="26"/>
        <v>8.3502594954081057E-3</v>
      </c>
      <c r="AW57" t="str">
        <f t="shared" si="18"/>
        <v>Potable</v>
      </c>
      <c r="AX57" s="179">
        <f t="shared" si="27"/>
        <v>1</v>
      </c>
    </row>
    <row r="58" spans="1:50" x14ac:dyDescent="0.2">
      <c r="A58" s="60" t="s">
        <v>66</v>
      </c>
      <c r="B58" s="107">
        <f t="shared" si="28"/>
        <v>0.25</v>
      </c>
      <c r="C58" s="297">
        <v>2009</v>
      </c>
      <c r="D58" s="103">
        <f>+LFM*VLOOKUP(+A58,'HUC11 data'!$E$6:$K$156,7,FALSE)</f>
        <v>0.86</v>
      </c>
      <c r="E58" s="103">
        <f t="shared" si="29"/>
        <v>1.4792893896731232E-2</v>
      </c>
      <c r="F58" s="113">
        <f t="shared" si="30"/>
        <v>1.7201039414803759E-2</v>
      </c>
      <c r="G58" s="103">
        <f t="shared" si="31"/>
        <v>0.84520710610326877</v>
      </c>
      <c r="H58" s="104" t="str">
        <f t="shared" si="10"/>
        <v>Potable</v>
      </c>
      <c r="I58" s="76">
        <v>0</v>
      </c>
      <c r="J58" s="76">
        <v>0</v>
      </c>
      <c r="K58" s="77">
        <v>9.3984230858456599E-2</v>
      </c>
      <c r="L58" s="78">
        <v>0</v>
      </c>
      <c r="M58" s="79">
        <v>0</v>
      </c>
      <c r="N58" s="76">
        <v>0</v>
      </c>
      <c r="O58" s="76">
        <v>0</v>
      </c>
      <c r="P58" s="78">
        <v>0</v>
      </c>
      <c r="Q58" s="79">
        <v>0</v>
      </c>
      <c r="R58" s="76">
        <v>0</v>
      </c>
      <c r="S58" s="76">
        <v>0</v>
      </c>
      <c r="T58" s="112">
        <f t="shared" si="32"/>
        <v>8.4585807772610946E-2</v>
      </c>
      <c r="U58" s="109">
        <f t="shared" si="33"/>
        <v>0</v>
      </c>
      <c r="V58" s="108">
        <f>VLOOKUP(+A58,'HUC11 data'!$E$6:$L$156,8,FALSE)</f>
        <v>0</v>
      </c>
      <c r="W58" s="108">
        <f t="shared" si="34"/>
        <v>8.4585807772610946E-2</v>
      </c>
      <c r="X58" s="283">
        <v>0</v>
      </c>
      <c r="Y58" s="257">
        <v>0</v>
      </c>
      <c r="Z58" s="257">
        <v>0</v>
      </c>
      <c r="AA58" s="257">
        <v>0</v>
      </c>
      <c r="AB58" s="80">
        <v>6.9792913875879714E-2</v>
      </c>
      <c r="AC58" s="81">
        <v>0</v>
      </c>
      <c r="AD58" s="82">
        <v>0</v>
      </c>
      <c r="AE58" s="257">
        <v>0</v>
      </c>
      <c r="AF58" s="257">
        <v>0</v>
      </c>
      <c r="AG58" s="81">
        <v>0</v>
      </c>
      <c r="AH58" s="82">
        <v>0</v>
      </c>
      <c r="AI58" s="257">
        <v>0</v>
      </c>
      <c r="AJ58" s="257">
        <v>0</v>
      </c>
      <c r="AK58" s="111">
        <f t="shared" si="35"/>
        <v>6.9792913875879714E-2</v>
      </c>
      <c r="AL58" s="110">
        <f t="shared" si="36"/>
        <v>0</v>
      </c>
      <c r="AM58" s="110">
        <f t="shared" si="37"/>
        <v>6.9792913875879714E-2</v>
      </c>
      <c r="AN58" s="74"/>
      <c r="AO58" s="60" t="s">
        <v>66</v>
      </c>
      <c r="AP58" s="74">
        <f t="shared" si="20"/>
        <v>2.4191316982576885E-2</v>
      </c>
      <c r="AQ58" s="74">
        <f t="shared" si="21"/>
        <v>0</v>
      </c>
      <c r="AR58" s="74">
        <f t="shared" si="22"/>
        <v>0</v>
      </c>
      <c r="AS58" s="74">
        <f t="shared" si="23"/>
        <v>0</v>
      </c>
      <c r="AT58" s="74">
        <f t="shared" si="24"/>
        <v>0</v>
      </c>
      <c r="AU58" s="286">
        <f t="shared" si="25"/>
        <v>0</v>
      </c>
      <c r="AV58" s="74">
        <f t="shared" si="26"/>
        <v>2.4191316982576885E-2</v>
      </c>
      <c r="AW58" t="str">
        <f t="shared" si="18"/>
        <v>Potable</v>
      </c>
      <c r="AX58" s="179">
        <f t="shared" si="27"/>
        <v>1</v>
      </c>
    </row>
    <row r="59" spans="1:50" x14ac:dyDescent="0.2">
      <c r="A59" s="60" t="s">
        <v>68</v>
      </c>
      <c r="B59" s="107">
        <f t="shared" si="28"/>
        <v>0.25</v>
      </c>
      <c r="C59" s="297">
        <v>2003</v>
      </c>
      <c r="D59" s="103">
        <f>+LFM*VLOOKUP(+A59,'HUC11 data'!$E$6:$K$156,7,FALSE)</f>
        <v>0.97750000000000004</v>
      </c>
      <c r="E59" s="103">
        <f t="shared" si="29"/>
        <v>5.8909158839057785E-2</v>
      </c>
      <c r="F59" s="113">
        <f t="shared" si="30"/>
        <v>6.0265124132028419E-2</v>
      </c>
      <c r="G59" s="103">
        <f t="shared" si="31"/>
        <v>0.91859084116094225</v>
      </c>
      <c r="H59" s="104" t="str">
        <f t="shared" si="10"/>
        <v>Potable</v>
      </c>
      <c r="I59" s="76">
        <v>6.8470818389305523E-3</v>
      </c>
      <c r="J59" s="76">
        <v>0</v>
      </c>
      <c r="K59" s="77">
        <v>0.33512445815609404</v>
      </c>
      <c r="L59" s="78">
        <v>0</v>
      </c>
      <c r="M59" s="79">
        <v>0</v>
      </c>
      <c r="N59" s="76">
        <v>0</v>
      </c>
      <c r="O59" s="76">
        <v>0</v>
      </c>
      <c r="P59" s="78">
        <v>0</v>
      </c>
      <c r="Q59" s="79">
        <v>0</v>
      </c>
      <c r="R59" s="76">
        <v>0</v>
      </c>
      <c r="S59" s="76">
        <v>0</v>
      </c>
      <c r="T59" s="112">
        <f t="shared" si="32"/>
        <v>0.30777438599552215</v>
      </c>
      <c r="U59" s="109">
        <f t="shared" si="33"/>
        <v>0</v>
      </c>
      <c r="V59" s="108">
        <f>VLOOKUP(+A59,'HUC11 data'!$E$6:$L$156,8,FALSE)</f>
        <v>0</v>
      </c>
      <c r="W59" s="108">
        <f t="shared" si="34"/>
        <v>0.30777438599552215</v>
      </c>
      <c r="X59" s="283">
        <v>0</v>
      </c>
      <c r="Y59" s="257">
        <v>0</v>
      </c>
      <c r="Z59" s="257">
        <v>0</v>
      </c>
      <c r="AA59" s="257">
        <v>0</v>
      </c>
      <c r="AB59" s="80">
        <v>0.24886522715646436</v>
      </c>
      <c r="AC59" s="81">
        <v>0</v>
      </c>
      <c r="AD59" s="82">
        <v>0</v>
      </c>
      <c r="AE59" s="257">
        <v>0</v>
      </c>
      <c r="AF59" s="257">
        <v>0</v>
      </c>
      <c r="AG59" s="81">
        <v>0</v>
      </c>
      <c r="AH59" s="82">
        <v>0</v>
      </c>
      <c r="AI59" s="257">
        <v>0</v>
      </c>
      <c r="AJ59" s="257">
        <v>0</v>
      </c>
      <c r="AK59" s="111">
        <f t="shared" si="35"/>
        <v>0.24886522715646436</v>
      </c>
      <c r="AL59" s="110">
        <f t="shared" si="36"/>
        <v>0</v>
      </c>
      <c r="AM59" s="110">
        <f t="shared" si="37"/>
        <v>0.24886522715646436</v>
      </c>
      <c r="AN59" s="74"/>
      <c r="AO59" s="60" t="s">
        <v>68</v>
      </c>
      <c r="AP59" s="74">
        <f t="shared" si="20"/>
        <v>9.3106312838560246E-2</v>
      </c>
      <c r="AQ59" s="74">
        <f t="shared" si="21"/>
        <v>0</v>
      </c>
      <c r="AR59" s="74">
        <f t="shared" si="22"/>
        <v>0</v>
      </c>
      <c r="AS59" s="74">
        <f t="shared" si="23"/>
        <v>0</v>
      </c>
      <c r="AT59" s="74">
        <f t="shared" si="24"/>
        <v>0</v>
      </c>
      <c r="AU59" s="286">
        <f t="shared" si="25"/>
        <v>0</v>
      </c>
      <c r="AV59" s="74">
        <f t="shared" si="26"/>
        <v>9.3106312838560246E-2</v>
      </c>
      <c r="AW59" t="str">
        <f t="shared" si="18"/>
        <v>Potable</v>
      </c>
      <c r="AX59" s="179">
        <f t="shared" si="27"/>
        <v>1</v>
      </c>
    </row>
    <row r="60" spans="1:50" x14ac:dyDescent="0.2">
      <c r="A60" s="60" t="s">
        <v>70</v>
      </c>
      <c r="B60" s="107">
        <f t="shared" si="28"/>
        <v>0.25</v>
      </c>
      <c r="C60" s="297">
        <v>2007</v>
      </c>
      <c r="D60" s="103">
        <f>+LFM*VLOOKUP(+A60,'HUC11 data'!$E$6:$K$156,7,FALSE)</f>
        <v>3.8075000000000001</v>
      </c>
      <c r="E60" s="103">
        <f t="shared" si="29"/>
        <v>1.5635484401771338</v>
      </c>
      <c r="F60" s="113">
        <f t="shared" si="30"/>
        <v>0.41064962315880071</v>
      </c>
      <c r="G60" s="103">
        <f t="shared" si="31"/>
        <v>2.2439515598228663</v>
      </c>
      <c r="H60" s="104" t="str">
        <f t="shared" si="10"/>
        <v>Potable</v>
      </c>
      <c r="I60" s="76">
        <v>2.3080230409738074</v>
      </c>
      <c r="J60" s="76">
        <v>3.2605151613955004E-4</v>
      </c>
      <c r="K60" s="77">
        <v>1.3491565117571618</v>
      </c>
      <c r="L60" s="78">
        <v>5.062927942614933E-2</v>
      </c>
      <c r="M60" s="79">
        <v>0</v>
      </c>
      <c r="N60" s="76">
        <v>0</v>
      </c>
      <c r="O60" s="76">
        <v>0</v>
      </c>
      <c r="P60" s="78">
        <v>8.4436474296272129E-2</v>
      </c>
      <c r="Q60" s="79">
        <v>0.27422888816432989</v>
      </c>
      <c r="R60" s="76">
        <v>0</v>
      </c>
      <c r="S60" s="76">
        <v>0</v>
      </c>
      <c r="T60" s="112">
        <f t="shared" si="32"/>
        <v>3.4130207758080515</v>
      </c>
      <c r="U60" s="109">
        <f t="shared" si="33"/>
        <v>0.27455493968046946</v>
      </c>
      <c r="V60" s="108">
        <f>VLOOKUP(+A60,'HUC11 data'!$E$6:$L$156,8,FALSE)</f>
        <v>0</v>
      </c>
      <c r="W60" s="108">
        <f t="shared" si="34"/>
        <v>3.6875757154885211</v>
      </c>
      <c r="X60" s="283">
        <v>0</v>
      </c>
      <c r="Y60" s="257">
        <v>5.9290837952396466E-2</v>
      </c>
      <c r="Z60" s="257">
        <v>0.98202804043038783</v>
      </c>
      <c r="AA60" s="257">
        <v>0</v>
      </c>
      <c r="AB60" s="80">
        <v>1.0018966504690077</v>
      </c>
      <c r="AC60" s="81">
        <v>4.4945201662286771E-2</v>
      </c>
      <c r="AD60" s="82">
        <v>0</v>
      </c>
      <c r="AE60" s="257">
        <v>0</v>
      </c>
      <c r="AF60" s="257">
        <v>0</v>
      </c>
      <c r="AG60" s="81">
        <v>8.4436494427496366E-3</v>
      </c>
      <c r="AH60" s="82">
        <v>2.742289535455918E-2</v>
      </c>
      <c r="AI60" s="257">
        <v>0</v>
      </c>
      <c r="AJ60" s="257">
        <v>0</v>
      </c>
      <c r="AK60" s="111">
        <f t="shared" si="35"/>
        <v>1.1145763395264403</v>
      </c>
      <c r="AL60" s="110">
        <f t="shared" si="36"/>
        <v>1.009450935784947</v>
      </c>
      <c r="AM60" s="110">
        <f t="shared" si="37"/>
        <v>2.1240272753113874</v>
      </c>
      <c r="AN60" s="74"/>
      <c r="AO60" s="60" t="s">
        <v>70</v>
      </c>
      <c r="AP60" s="74">
        <f t="shared" si="20"/>
        <v>1.6142900753953171</v>
      </c>
      <c r="AQ60" s="74">
        <f t="shared" si="21"/>
        <v>5.6840777638625592E-3</v>
      </c>
      <c r="AR60" s="74">
        <f t="shared" si="22"/>
        <v>0</v>
      </c>
      <c r="AS60" s="74">
        <f t="shared" si="23"/>
        <v>0.32279881766329316</v>
      </c>
      <c r="AT60" s="74">
        <f t="shared" si="24"/>
        <v>0</v>
      </c>
      <c r="AU60" s="286">
        <f t="shared" si="25"/>
        <v>0</v>
      </c>
      <c r="AV60" s="74">
        <f t="shared" si="26"/>
        <v>1.6142900753953171</v>
      </c>
      <c r="AW60" t="str">
        <f t="shared" si="18"/>
        <v>Potable</v>
      </c>
      <c r="AX60" s="179">
        <f t="shared" si="27"/>
        <v>1</v>
      </c>
    </row>
    <row r="61" spans="1:50" x14ac:dyDescent="0.2">
      <c r="A61" s="60" t="s">
        <v>72</v>
      </c>
      <c r="B61" s="107">
        <f t="shared" si="28"/>
        <v>0.25</v>
      </c>
      <c r="C61" s="297">
        <v>2002</v>
      </c>
      <c r="D61" s="103">
        <f>+LFM*VLOOKUP(+A61,'HUC11 data'!$E$6:$K$156,7,FALSE)</f>
        <v>3.4075000000000002</v>
      </c>
      <c r="E61" s="103">
        <f t="shared" si="29"/>
        <v>0.22209074157338971</v>
      </c>
      <c r="F61" s="113">
        <f t="shared" si="30"/>
        <v>6.5177033477150315E-2</v>
      </c>
      <c r="G61" s="103">
        <f t="shared" si="31"/>
        <v>3.1854092584266107</v>
      </c>
      <c r="H61" s="104" t="str">
        <f t="shared" si="10"/>
        <v>Potable</v>
      </c>
      <c r="I61" s="76">
        <v>7.3578958808825118E-2</v>
      </c>
      <c r="J61" s="76">
        <v>0</v>
      </c>
      <c r="K61" s="77">
        <v>0.83898375716278806</v>
      </c>
      <c r="L61" s="78">
        <v>0</v>
      </c>
      <c r="M61" s="79">
        <v>0</v>
      </c>
      <c r="N61" s="76">
        <v>0</v>
      </c>
      <c r="O61" s="76">
        <v>0</v>
      </c>
      <c r="P61" s="78">
        <v>0</v>
      </c>
      <c r="Q61" s="79">
        <v>6.1297685034235404E-2</v>
      </c>
      <c r="R61" s="76">
        <v>0</v>
      </c>
      <c r="S61" s="76">
        <v>0</v>
      </c>
      <c r="T61" s="112">
        <f t="shared" si="32"/>
        <v>0.82130644437445188</v>
      </c>
      <c r="U61" s="109">
        <f t="shared" si="33"/>
        <v>6.1297685034235404E-2</v>
      </c>
      <c r="V61" s="108">
        <f>VLOOKUP(+A61,'HUC11 data'!$E$6:$L$156,8,FALSE)</f>
        <v>0</v>
      </c>
      <c r="W61" s="108">
        <f t="shared" si="34"/>
        <v>0.88260412940868727</v>
      </c>
      <c r="X61" s="283">
        <v>75.620345614607075</v>
      </c>
      <c r="Y61" s="257">
        <v>5.171503097489402E-3</v>
      </c>
      <c r="Z61" s="257">
        <v>2.6175415715683076E-2</v>
      </c>
      <c r="AA61" s="257">
        <v>0</v>
      </c>
      <c r="AB61" s="80">
        <v>0.6230366990572509</v>
      </c>
      <c r="AC61" s="81">
        <v>0</v>
      </c>
      <c r="AD61" s="82">
        <v>0</v>
      </c>
      <c r="AE61" s="257">
        <v>0</v>
      </c>
      <c r="AF61" s="257">
        <v>0</v>
      </c>
      <c r="AG61" s="81">
        <v>0</v>
      </c>
      <c r="AH61" s="82">
        <v>6.1297699648742371E-3</v>
      </c>
      <c r="AI61" s="257">
        <v>0</v>
      </c>
      <c r="AJ61" s="257">
        <v>0</v>
      </c>
      <c r="AK61" s="111">
        <f t="shared" si="35"/>
        <v>0.62820820215474027</v>
      </c>
      <c r="AL61" s="110">
        <f t="shared" si="36"/>
        <v>3.2305185680557312E-2</v>
      </c>
      <c r="AM61" s="110">
        <f t="shared" si="37"/>
        <v>0.66051338783529756</v>
      </c>
      <c r="AN61" s="74"/>
      <c r="AO61" s="60" t="s">
        <v>72</v>
      </c>
      <c r="AP61" s="74">
        <f t="shared" si="20"/>
        <v>0.25817909810118977</v>
      </c>
      <c r="AQ61" s="74">
        <f t="shared" si="21"/>
        <v>0</v>
      </c>
      <c r="AR61" s="74">
        <f t="shared" si="22"/>
        <v>0</v>
      </c>
      <c r="AS61" s="74">
        <f t="shared" si="23"/>
        <v>5.5167915069361168E-2</v>
      </c>
      <c r="AT61" s="74">
        <f t="shared" si="24"/>
        <v>0</v>
      </c>
      <c r="AU61" s="286">
        <f t="shared" si="25"/>
        <v>0</v>
      </c>
      <c r="AV61" s="74">
        <f t="shared" si="26"/>
        <v>0.25817909810118977</v>
      </c>
      <c r="AW61" t="str">
        <f t="shared" si="18"/>
        <v>Potable</v>
      </c>
      <c r="AX61" s="179">
        <f t="shared" si="27"/>
        <v>1</v>
      </c>
    </row>
    <row r="62" spans="1:50" x14ac:dyDescent="0.2">
      <c r="A62" s="60" t="s">
        <v>74</v>
      </c>
      <c r="B62" s="107">
        <f t="shared" si="28"/>
        <v>0.25</v>
      </c>
      <c r="C62" s="297">
        <v>2001</v>
      </c>
      <c r="D62" s="103">
        <f>+LFM*VLOOKUP(+A62,'HUC11 data'!$E$6:$K$156,7,FALSE)</f>
        <v>0.69962500000000005</v>
      </c>
      <c r="E62" s="103">
        <f t="shared" si="29"/>
        <v>3.8700466046606152E-2</v>
      </c>
      <c r="F62" s="113">
        <f t="shared" si="30"/>
        <v>5.5316013645318775E-2</v>
      </c>
      <c r="G62" s="103">
        <f t="shared" si="31"/>
        <v>0.6609245339533939</v>
      </c>
      <c r="H62" s="104" t="str">
        <f t="shared" si="10"/>
        <v>ICM</v>
      </c>
      <c r="I62" s="76">
        <v>0</v>
      </c>
      <c r="J62" s="76">
        <v>0</v>
      </c>
      <c r="K62" s="77">
        <v>0.24213816339446445</v>
      </c>
      <c r="L62" s="78">
        <v>0.94837517661123782</v>
      </c>
      <c r="M62" s="79">
        <v>0</v>
      </c>
      <c r="N62" s="76">
        <v>7.3905010324964667E-4</v>
      </c>
      <c r="O62" s="76">
        <v>0</v>
      </c>
      <c r="P62" s="78">
        <v>0</v>
      </c>
      <c r="Q62" s="79">
        <v>0</v>
      </c>
      <c r="R62" s="76">
        <v>0</v>
      </c>
      <c r="S62" s="76">
        <v>142.25627649168567</v>
      </c>
      <c r="T62" s="112">
        <f t="shared" si="32"/>
        <v>1.0721271510980566</v>
      </c>
      <c r="U62" s="109">
        <f t="shared" si="33"/>
        <v>142.25627649168567</v>
      </c>
      <c r="V62" s="108">
        <f>VLOOKUP(+A62,'HUC11 data'!$E$6:$L$156,8,FALSE)</f>
        <v>0</v>
      </c>
      <c r="W62" s="108">
        <f t="shared" si="34"/>
        <v>143.32840364278371</v>
      </c>
      <c r="X62" s="283">
        <v>19.846071079230519</v>
      </c>
      <c r="Y62" s="257">
        <v>0</v>
      </c>
      <c r="Z62" s="257">
        <v>0</v>
      </c>
      <c r="AA62" s="257">
        <v>0</v>
      </c>
      <c r="AB62" s="80">
        <v>0.17981512248657702</v>
      </c>
      <c r="AC62" s="81">
        <v>0.8535376575369249</v>
      </c>
      <c r="AD62" s="82">
        <v>0</v>
      </c>
      <c r="AE62" s="257">
        <v>7.390502794529223E-5</v>
      </c>
      <c r="AF62" s="257">
        <v>0</v>
      </c>
      <c r="AG62" s="81">
        <v>0</v>
      </c>
      <c r="AH62" s="82">
        <v>0</v>
      </c>
      <c r="AI62" s="257">
        <v>0</v>
      </c>
      <c r="AJ62" s="257">
        <v>142.25627649168567</v>
      </c>
      <c r="AK62" s="111">
        <f t="shared" si="35"/>
        <v>1.0334266850514471</v>
      </c>
      <c r="AL62" s="110">
        <f t="shared" si="36"/>
        <v>142.25627649168567</v>
      </c>
      <c r="AM62" s="110">
        <f t="shared" si="37"/>
        <v>143.28970317673711</v>
      </c>
      <c r="AN62" s="74"/>
      <c r="AO62" s="60" t="s">
        <v>74</v>
      </c>
      <c r="AP62" s="74">
        <f t="shared" si="20"/>
        <v>6.2323040907887428E-2</v>
      </c>
      <c r="AQ62" s="74">
        <f t="shared" si="21"/>
        <v>9.4837519074312926E-2</v>
      </c>
      <c r="AR62" s="74">
        <f t="shared" si="22"/>
        <v>6.6514507530435446E-4</v>
      </c>
      <c r="AS62" s="74">
        <f t="shared" si="23"/>
        <v>0</v>
      </c>
      <c r="AT62" s="74">
        <f t="shared" si="24"/>
        <v>0</v>
      </c>
      <c r="AU62" s="286">
        <f t="shared" si="25"/>
        <v>0</v>
      </c>
      <c r="AV62" s="74">
        <f t="shared" si="26"/>
        <v>9.4837519074312926E-2</v>
      </c>
      <c r="AW62" t="str">
        <f t="shared" si="18"/>
        <v>ICM</v>
      </c>
      <c r="AX62" s="179">
        <f t="shared" si="27"/>
        <v>2</v>
      </c>
    </row>
    <row r="63" spans="1:50" x14ac:dyDescent="0.2">
      <c r="A63" s="60" t="s">
        <v>76</v>
      </c>
      <c r="B63" s="107">
        <f t="shared" si="28"/>
        <v>0.25</v>
      </c>
      <c r="C63" s="297">
        <v>2008</v>
      </c>
      <c r="D63" s="103">
        <f>+LFM*VLOOKUP(+A63,'HUC11 data'!$E$6:$K$156,7,FALSE)</f>
        <v>2.453125</v>
      </c>
      <c r="E63" s="103">
        <f t="shared" si="29"/>
        <v>1.3128448286448344</v>
      </c>
      <c r="F63" s="113">
        <f t="shared" si="30"/>
        <v>0.5351724142246459</v>
      </c>
      <c r="G63" s="103">
        <f t="shared" si="31"/>
        <v>1.1402801713551656</v>
      </c>
      <c r="H63" s="104" t="str">
        <f t="shared" si="10"/>
        <v>Potable</v>
      </c>
      <c r="I63" s="76">
        <v>0.96908922943158349</v>
      </c>
      <c r="J63" s="76">
        <v>0</v>
      </c>
      <c r="K63" s="77">
        <v>0.99765222372367923</v>
      </c>
      <c r="L63" s="78">
        <v>0</v>
      </c>
      <c r="M63" s="79">
        <v>0</v>
      </c>
      <c r="N63" s="76">
        <v>0.53630040213020325</v>
      </c>
      <c r="O63" s="76">
        <v>9.2381262906205838E-2</v>
      </c>
      <c r="P63" s="78">
        <v>0</v>
      </c>
      <c r="Q63" s="79">
        <v>3.0714052820345616E-2</v>
      </c>
      <c r="R63" s="76">
        <v>0</v>
      </c>
      <c r="S63" s="76">
        <v>0</v>
      </c>
      <c r="T63" s="112">
        <f t="shared" si="32"/>
        <v>2.2527376697569195</v>
      </c>
      <c r="U63" s="109">
        <f t="shared" si="33"/>
        <v>0.12309531572655145</v>
      </c>
      <c r="V63" s="108">
        <f>VLOOKUP(+A63,'HUC11 data'!$E$6:$L$156,8,FALSE)</f>
        <v>0</v>
      </c>
      <c r="W63" s="108">
        <f t="shared" si="34"/>
        <v>2.3758329854834708</v>
      </c>
      <c r="X63" s="283">
        <v>0</v>
      </c>
      <c r="Y63" s="257">
        <v>9.6113465927616555E-3</v>
      </c>
      <c r="Z63" s="257">
        <v>0.24452983371372677</v>
      </c>
      <c r="AA63" s="257">
        <v>0</v>
      </c>
      <c r="AB63" s="80">
        <v>0.74290738902525344</v>
      </c>
      <c r="AC63" s="81">
        <v>0</v>
      </c>
      <c r="AD63" s="82">
        <v>0</v>
      </c>
      <c r="AE63" s="257">
        <v>5.3630052999418303E-2</v>
      </c>
      <c r="AF63" s="257">
        <v>9.2381284931615272E-3</v>
      </c>
      <c r="AG63" s="81">
        <v>0</v>
      </c>
      <c r="AH63" s="82">
        <v>3.0714060143146446E-3</v>
      </c>
      <c r="AI63" s="257">
        <v>0</v>
      </c>
      <c r="AJ63" s="257">
        <v>0</v>
      </c>
      <c r="AK63" s="111">
        <f t="shared" si="35"/>
        <v>0.80614878861743333</v>
      </c>
      <c r="AL63" s="110">
        <f t="shared" si="36"/>
        <v>0.25683936822120296</v>
      </c>
      <c r="AM63" s="110">
        <f t="shared" si="37"/>
        <v>1.0629881568386363</v>
      </c>
      <c r="AN63" s="74"/>
      <c r="AO63" s="60" t="s">
        <v>76</v>
      </c>
      <c r="AP63" s="74">
        <f t="shared" si="20"/>
        <v>0.96969288382352081</v>
      </c>
      <c r="AQ63" s="74">
        <f t="shared" si="21"/>
        <v>0</v>
      </c>
      <c r="AR63" s="74">
        <f t="shared" si="22"/>
        <v>0.56581348354382932</v>
      </c>
      <c r="AS63" s="74">
        <f t="shared" si="23"/>
        <v>2.7642646806030971E-2</v>
      </c>
      <c r="AT63" s="74">
        <f t="shared" si="24"/>
        <v>0</v>
      </c>
      <c r="AU63" s="286">
        <f t="shared" si="25"/>
        <v>0</v>
      </c>
      <c r="AV63" s="74">
        <f t="shared" si="26"/>
        <v>0.96969288382352081</v>
      </c>
      <c r="AW63" t="str">
        <f t="shared" si="18"/>
        <v>Potable</v>
      </c>
      <c r="AX63" s="179">
        <f t="shared" si="27"/>
        <v>1</v>
      </c>
    </row>
    <row r="64" spans="1:50" x14ac:dyDescent="0.2">
      <c r="A64" s="60" t="s">
        <v>78</v>
      </c>
      <c r="B64" s="107">
        <f t="shared" si="28"/>
        <v>0.25</v>
      </c>
      <c r="C64" s="297">
        <v>2007</v>
      </c>
      <c r="D64" s="103">
        <f>+LFM*VLOOKUP(+A64,'HUC11 data'!$E$6:$K$156,7,FALSE)</f>
        <v>0.739425</v>
      </c>
      <c r="E64" s="103">
        <f t="shared" si="29"/>
        <v>0.1565867693607515</v>
      </c>
      <c r="F64" s="113">
        <f t="shared" si="30"/>
        <v>0.21176829206579639</v>
      </c>
      <c r="G64" s="103">
        <f t="shared" si="31"/>
        <v>0.58283823063924856</v>
      </c>
      <c r="H64" s="104" t="str">
        <f t="shared" si="10"/>
        <v>Potable</v>
      </c>
      <c r="I64" s="76">
        <v>5.9623953918052378E-2</v>
      </c>
      <c r="J64" s="76">
        <v>0</v>
      </c>
      <c r="K64" s="77">
        <v>0.21633169433925331</v>
      </c>
      <c r="L64" s="78">
        <v>0</v>
      </c>
      <c r="M64" s="79">
        <v>0</v>
      </c>
      <c r="N64" s="76">
        <v>0</v>
      </c>
      <c r="O64" s="76">
        <v>9.7815454841865004E-2</v>
      </c>
      <c r="P64" s="78">
        <v>0</v>
      </c>
      <c r="Q64" s="79">
        <v>0</v>
      </c>
      <c r="R64" s="76">
        <v>0</v>
      </c>
      <c r="S64" s="76">
        <v>0</v>
      </c>
      <c r="T64" s="112">
        <f t="shared" si="32"/>
        <v>0.24836008343157512</v>
      </c>
      <c r="U64" s="109">
        <f t="shared" si="33"/>
        <v>9.7815454841865004E-2</v>
      </c>
      <c r="V64" s="108">
        <f>VLOOKUP(+A64,'HUC11 data'!$E$6:$L$156,8,FALSE)</f>
        <v>0</v>
      </c>
      <c r="W64" s="108">
        <f t="shared" si="34"/>
        <v>0.34617553827344011</v>
      </c>
      <c r="X64" s="283">
        <v>0</v>
      </c>
      <c r="Y64" s="257">
        <v>1.9158134985327681E-2</v>
      </c>
      <c r="Z64" s="257">
        <v>0</v>
      </c>
      <c r="AA64" s="257">
        <v>0</v>
      </c>
      <c r="AB64" s="80">
        <v>0.16064908611107226</v>
      </c>
      <c r="AC64" s="81">
        <v>0</v>
      </c>
      <c r="AD64" s="82">
        <v>0</v>
      </c>
      <c r="AE64" s="257">
        <v>0</v>
      </c>
      <c r="AF64" s="257">
        <v>9.7815478162886771E-3</v>
      </c>
      <c r="AG64" s="81">
        <v>0</v>
      </c>
      <c r="AH64" s="82">
        <v>0</v>
      </c>
      <c r="AI64" s="257">
        <v>0</v>
      </c>
      <c r="AJ64" s="257">
        <v>0</v>
      </c>
      <c r="AK64" s="111">
        <f t="shared" si="35"/>
        <v>0.17980722109639993</v>
      </c>
      <c r="AL64" s="110">
        <f t="shared" si="36"/>
        <v>9.7815478162886771E-3</v>
      </c>
      <c r="AM64" s="110">
        <f t="shared" si="37"/>
        <v>0.18958876891268861</v>
      </c>
      <c r="AN64" s="74"/>
      <c r="AO64" s="60" t="s">
        <v>78</v>
      </c>
      <c r="AP64" s="74">
        <f t="shared" si="20"/>
        <v>9.6148427160905742E-2</v>
      </c>
      <c r="AQ64" s="74">
        <f t="shared" si="21"/>
        <v>0</v>
      </c>
      <c r="AR64" s="74">
        <f t="shared" si="22"/>
        <v>8.8033907025576327E-2</v>
      </c>
      <c r="AS64" s="74">
        <f t="shared" si="23"/>
        <v>0</v>
      </c>
      <c r="AT64" s="74">
        <f t="shared" si="24"/>
        <v>0</v>
      </c>
      <c r="AU64" s="286">
        <f t="shared" si="25"/>
        <v>0</v>
      </c>
      <c r="AV64" s="74">
        <f t="shared" si="26"/>
        <v>9.6148427160905742E-2</v>
      </c>
      <c r="AW64" t="str">
        <f t="shared" si="18"/>
        <v>Potable</v>
      </c>
      <c r="AX64" s="179">
        <f t="shared" si="27"/>
        <v>1</v>
      </c>
    </row>
    <row r="65" spans="1:50" x14ac:dyDescent="0.2">
      <c r="A65" s="60" t="s">
        <v>80</v>
      </c>
      <c r="B65" s="107">
        <f t="shared" si="28"/>
        <v>0.25</v>
      </c>
      <c r="C65" s="297">
        <v>2006</v>
      </c>
      <c r="D65" s="103">
        <f>+LFM*VLOOKUP(+A65,'HUC11 data'!$E$6:$K$156,7,FALSE)</f>
        <v>1.7921750000000001</v>
      </c>
      <c r="E65" s="103">
        <f t="shared" si="29"/>
        <v>0.31301531412693251</v>
      </c>
      <c r="F65" s="113">
        <f t="shared" si="30"/>
        <v>0.17465666808594724</v>
      </c>
      <c r="G65" s="103">
        <f t="shared" si="31"/>
        <v>1.4791596858730676</v>
      </c>
      <c r="H65" s="104" t="str">
        <f t="shared" si="10"/>
        <v>Ag Irr</v>
      </c>
      <c r="I65" s="76">
        <v>0.15559178350179328</v>
      </c>
      <c r="J65" s="76">
        <v>0</v>
      </c>
      <c r="K65" s="77">
        <v>0.93086316593745377</v>
      </c>
      <c r="L65" s="78">
        <v>0.28692533420280397</v>
      </c>
      <c r="M65" s="79">
        <v>0</v>
      </c>
      <c r="N65" s="76">
        <v>9.2957287251385701</v>
      </c>
      <c r="O65" s="76">
        <v>0.17606781871535704</v>
      </c>
      <c r="P65" s="78">
        <v>0</v>
      </c>
      <c r="Q65" s="79">
        <v>0</v>
      </c>
      <c r="R65" s="76">
        <v>0</v>
      </c>
      <c r="S65" s="76">
        <v>0</v>
      </c>
      <c r="T65" s="112">
        <f t="shared" si="32"/>
        <v>9.6021981079025593</v>
      </c>
      <c r="U65" s="109">
        <f t="shared" si="33"/>
        <v>0.17606781871535704</v>
      </c>
      <c r="V65" s="108">
        <f>VLOOKUP(+A65,'HUC11 data'!$E$6:$L$156,8,FALSE)</f>
        <v>0</v>
      </c>
      <c r="W65" s="108">
        <f t="shared" si="34"/>
        <v>9.7782659266179159</v>
      </c>
      <c r="X65" s="283">
        <v>0</v>
      </c>
      <c r="Y65" s="257">
        <v>6.1526899250081511E-3</v>
      </c>
      <c r="Z65" s="257">
        <v>0.27094880991196607</v>
      </c>
      <c r="AA65" s="257">
        <v>0</v>
      </c>
      <c r="AB65" s="80">
        <v>0.69126832433883745</v>
      </c>
      <c r="AC65" s="81">
        <v>0.25823280035497154</v>
      </c>
      <c r="AD65" s="82">
        <v>0</v>
      </c>
      <c r="AE65" s="257">
        <v>8.2210412018908805</v>
      </c>
      <c r="AF65" s="257">
        <v>1.7606786069319619E-2</v>
      </c>
      <c r="AG65" s="81">
        <v>0</v>
      </c>
      <c r="AH65" s="82">
        <v>0</v>
      </c>
      <c r="AI65" s="257">
        <v>0</v>
      </c>
      <c r="AJ65" s="257">
        <v>0</v>
      </c>
      <c r="AK65" s="111">
        <f t="shared" si="35"/>
        <v>9.1766950165096972</v>
      </c>
      <c r="AL65" s="110">
        <f t="shared" si="36"/>
        <v>0.28855559598128566</v>
      </c>
      <c r="AM65" s="110">
        <f t="shared" si="37"/>
        <v>9.4652506124909834</v>
      </c>
      <c r="AN65" s="74"/>
      <c r="AO65" s="60" t="s">
        <v>80</v>
      </c>
      <c r="AP65" s="74">
        <f t="shared" si="20"/>
        <v>0.1180851252634354</v>
      </c>
      <c r="AQ65" s="74">
        <f t="shared" si="21"/>
        <v>2.8692533847832435E-2</v>
      </c>
      <c r="AR65" s="74">
        <f t="shared" si="22"/>
        <v>1.2331485558937274</v>
      </c>
      <c r="AS65" s="74">
        <f t="shared" si="23"/>
        <v>0</v>
      </c>
      <c r="AT65" s="74">
        <f t="shared" si="24"/>
        <v>0</v>
      </c>
      <c r="AU65" s="286">
        <f t="shared" si="25"/>
        <v>0</v>
      </c>
      <c r="AV65" s="74">
        <f t="shared" si="26"/>
        <v>1.2331485558937274</v>
      </c>
      <c r="AW65" t="str">
        <f t="shared" si="18"/>
        <v>Ag Irr</v>
      </c>
      <c r="AX65" s="179">
        <f t="shared" si="27"/>
        <v>3</v>
      </c>
    </row>
    <row r="66" spans="1:50" x14ac:dyDescent="0.2">
      <c r="A66" s="60" t="s">
        <v>82</v>
      </c>
      <c r="B66" s="107">
        <f t="shared" si="28"/>
        <v>0.25</v>
      </c>
      <c r="C66" s="297">
        <v>2006</v>
      </c>
      <c r="D66" s="103">
        <f>+LFM*VLOOKUP(+A66,'HUC11 data'!$E$6:$K$156,7,FALSE)</f>
        <v>1.1152249999999999</v>
      </c>
      <c r="E66" s="103">
        <f t="shared" si="29"/>
        <v>0.17254286559059606</v>
      </c>
      <c r="F66" s="113">
        <f t="shared" si="30"/>
        <v>0.15471574398941565</v>
      </c>
      <c r="G66" s="103">
        <f t="shared" si="31"/>
        <v>0.94268213440940385</v>
      </c>
      <c r="H66" s="104" t="str">
        <f t="shared" si="10"/>
        <v>Potable</v>
      </c>
      <c r="I66" s="76">
        <v>0</v>
      </c>
      <c r="J66" s="76">
        <v>0</v>
      </c>
      <c r="K66" s="77">
        <v>0.47229894067306244</v>
      </c>
      <c r="L66" s="78">
        <v>0</v>
      </c>
      <c r="M66" s="79">
        <v>0</v>
      </c>
      <c r="N66" s="76">
        <v>1.2716009129442452E-2</v>
      </c>
      <c r="O66" s="76">
        <v>9.7815454841865004E-2</v>
      </c>
      <c r="P66" s="78">
        <v>0</v>
      </c>
      <c r="Q66" s="79">
        <v>0</v>
      </c>
      <c r="R66" s="76">
        <v>0</v>
      </c>
      <c r="S66" s="76">
        <v>0</v>
      </c>
      <c r="T66" s="112">
        <f t="shared" si="32"/>
        <v>0.4365134548222544</v>
      </c>
      <c r="U66" s="109">
        <f t="shared" si="33"/>
        <v>9.7815454841865004E-2</v>
      </c>
      <c r="V66" s="108">
        <f>VLOOKUP(+A66,'HUC11 data'!$E$6:$L$156,8,FALSE)</f>
        <v>0</v>
      </c>
      <c r="W66" s="108">
        <f t="shared" si="34"/>
        <v>0.53432890966411939</v>
      </c>
      <c r="X66" s="283">
        <v>0</v>
      </c>
      <c r="Y66" s="257">
        <v>0</v>
      </c>
      <c r="Z66" s="257">
        <v>0</v>
      </c>
      <c r="AA66" s="257">
        <v>0</v>
      </c>
      <c r="AB66" s="80">
        <v>0.3507328950411171</v>
      </c>
      <c r="AC66" s="81">
        <v>0</v>
      </c>
      <c r="AD66" s="82">
        <v>0</v>
      </c>
      <c r="AE66" s="257">
        <v>1.2716012161175278E-3</v>
      </c>
      <c r="AF66" s="257">
        <v>9.7815478162886771E-3</v>
      </c>
      <c r="AG66" s="81">
        <v>0</v>
      </c>
      <c r="AH66" s="82">
        <v>0</v>
      </c>
      <c r="AI66" s="257">
        <v>0</v>
      </c>
      <c r="AJ66" s="257">
        <v>0</v>
      </c>
      <c r="AK66" s="111">
        <f t="shared" si="35"/>
        <v>0.35200449625723462</v>
      </c>
      <c r="AL66" s="110">
        <f t="shared" si="36"/>
        <v>9.7815478162886771E-3</v>
      </c>
      <c r="AM66" s="110">
        <f t="shared" si="37"/>
        <v>0.36178604407352333</v>
      </c>
      <c r="AN66" s="74"/>
      <c r="AO66" s="60" t="s">
        <v>82</v>
      </c>
      <c r="AP66" s="74">
        <f t="shared" si="20"/>
        <v>0.12156604563194534</v>
      </c>
      <c r="AQ66" s="74">
        <f t="shared" si="21"/>
        <v>0</v>
      </c>
      <c r="AR66" s="74">
        <f t="shared" si="22"/>
        <v>9.9478314938901261E-2</v>
      </c>
      <c r="AS66" s="74">
        <f t="shared" si="23"/>
        <v>0</v>
      </c>
      <c r="AT66" s="74">
        <f t="shared" si="24"/>
        <v>0</v>
      </c>
      <c r="AU66" s="286">
        <f t="shared" si="25"/>
        <v>0</v>
      </c>
      <c r="AV66" s="74">
        <f t="shared" si="26"/>
        <v>0.12156604563194534</v>
      </c>
      <c r="AW66" t="str">
        <f t="shared" si="18"/>
        <v>Potable</v>
      </c>
      <c r="AX66" s="179">
        <f t="shared" si="27"/>
        <v>1</v>
      </c>
    </row>
    <row r="67" spans="1:50" x14ac:dyDescent="0.2">
      <c r="A67" s="60" t="s">
        <v>84</v>
      </c>
      <c r="B67" s="107">
        <f t="shared" si="28"/>
        <v>0.25</v>
      </c>
      <c r="C67" s="297">
        <v>2008</v>
      </c>
      <c r="D67" s="103">
        <f>+LFM*VLOOKUP(+A67,'HUC11 data'!$E$6:$K$156,7,FALSE)</f>
        <v>0.96375</v>
      </c>
      <c r="E67" s="103">
        <f t="shared" si="29"/>
        <v>0.38325618926117988</v>
      </c>
      <c r="F67" s="113">
        <f t="shared" si="30"/>
        <v>0.3976717917106925</v>
      </c>
      <c r="G67" s="103">
        <f t="shared" si="31"/>
        <v>0.58049381073882012</v>
      </c>
      <c r="H67" s="104" t="str">
        <f t="shared" si="10"/>
        <v>ICM</v>
      </c>
      <c r="I67" s="76">
        <v>0.37700249972829036</v>
      </c>
      <c r="J67" s="76">
        <v>0</v>
      </c>
      <c r="K67" s="77">
        <v>0.37899829213265657</v>
      </c>
      <c r="L67" s="78">
        <v>2.4997206481904142</v>
      </c>
      <c r="M67" s="79">
        <v>1.1737854581023801E-2</v>
      </c>
      <c r="N67" s="76">
        <v>0</v>
      </c>
      <c r="O67" s="76">
        <v>0.25360286925334202</v>
      </c>
      <c r="P67" s="78">
        <v>1.79958700141289E-2</v>
      </c>
      <c r="Q67" s="79">
        <v>1.0596674274535376E-2</v>
      </c>
      <c r="R67" s="76">
        <v>0</v>
      </c>
      <c r="S67" s="76">
        <v>0</v>
      </c>
      <c r="T67" s="112">
        <f t="shared" si="32"/>
        <v>2.9463455790589408</v>
      </c>
      <c r="U67" s="109">
        <f t="shared" si="33"/>
        <v>0.27593739810890117</v>
      </c>
      <c r="V67" s="108">
        <f>VLOOKUP(+A67,'HUC11 data'!$E$6:$L$156,8,FALSE)</f>
        <v>0</v>
      </c>
      <c r="W67" s="108">
        <f t="shared" si="34"/>
        <v>3.2222829771678421</v>
      </c>
      <c r="X67" s="283">
        <v>40.497228562112817</v>
      </c>
      <c r="Y67" s="257">
        <v>1.0759700032605152E-3</v>
      </c>
      <c r="Z67" s="257">
        <v>0.27192696446038472</v>
      </c>
      <c r="AA67" s="257">
        <v>0</v>
      </c>
      <c r="AB67" s="80">
        <v>0.28145122539479234</v>
      </c>
      <c r="AC67" s="81">
        <v>2.2457890108605305</v>
      </c>
      <c r="AD67" s="82">
        <v>1.0564069105430654E-2</v>
      </c>
      <c r="AE67" s="257">
        <v>0</v>
      </c>
      <c r="AF67" s="257">
        <v>2.5360292971697781E-2</v>
      </c>
      <c r="AG67" s="81">
        <v>1.7995874304678658E-3</v>
      </c>
      <c r="AH67" s="82">
        <v>1.05966768009794E-3</v>
      </c>
      <c r="AI67" s="257">
        <v>0</v>
      </c>
      <c r="AJ67" s="257">
        <v>0</v>
      </c>
      <c r="AK67" s="111">
        <f t="shared" si="35"/>
        <v>2.5301157936890513</v>
      </c>
      <c r="AL67" s="110">
        <f t="shared" si="36"/>
        <v>0.30891099421761115</v>
      </c>
      <c r="AM67" s="110">
        <f t="shared" si="37"/>
        <v>2.8390267879066622</v>
      </c>
      <c r="AN67" s="74"/>
      <c r="AO67" s="60" t="s">
        <v>84</v>
      </c>
      <c r="AP67" s="74">
        <f t="shared" si="20"/>
        <v>0.20154663200250933</v>
      </c>
      <c r="AQ67" s="74">
        <f t="shared" si="21"/>
        <v>0.25510542280547677</v>
      </c>
      <c r="AR67" s="74">
        <f t="shared" si="22"/>
        <v>0.22824257628164424</v>
      </c>
      <c r="AS67" s="74">
        <f t="shared" si="23"/>
        <v>2.5733289178098473E-2</v>
      </c>
      <c r="AT67" s="74">
        <f t="shared" si="24"/>
        <v>0</v>
      </c>
      <c r="AU67" s="286">
        <f t="shared" si="25"/>
        <v>0</v>
      </c>
      <c r="AV67" s="74">
        <f t="shared" si="26"/>
        <v>0.25510542280547677</v>
      </c>
      <c r="AW67" t="str">
        <f t="shared" si="18"/>
        <v>ICM</v>
      </c>
      <c r="AX67" s="179">
        <f t="shared" si="27"/>
        <v>2</v>
      </c>
    </row>
    <row r="68" spans="1:50" x14ac:dyDescent="0.2">
      <c r="A68" s="60" t="s">
        <v>86</v>
      </c>
      <c r="B68" s="107">
        <f t="shared" si="28"/>
        <v>0.25</v>
      </c>
      <c r="C68" s="297">
        <v>2009</v>
      </c>
      <c r="D68" s="103">
        <f>+LFM*VLOOKUP(+A68,'HUC11 data'!$E$6:$K$156,7,FALSE)</f>
        <v>0.82879999999999998</v>
      </c>
      <c r="E68" s="103">
        <f t="shared" si="29"/>
        <v>-1.7209789614781614</v>
      </c>
      <c r="F68" s="113" t="str">
        <f t="shared" si="30"/>
        <v>Net Gain</v>
      </c>
      <c r="G68" s="103">
        <f t="shared" si="31"/>
        <v>2.5497789614781614</v>
      </c>
      <c r="H68" s="104" t="str">
        <f t="shared" si="10"/>
        <v>Non-Ag Irr</v>
      </c>
      <c r="I68" s="76">
        <v>0</v>
      </c>
      <c r="J68" s="76">
        <v>0</v>
      </c>
      <c r="K68" s="77">
        <v>0.24224081887623078</v>
      </c>
      <c r="L68" s="78">
        <v>2.5385284208238233E-2</v>
      </c>
      <c r="M68" s="79">
        <v>2.5758069775024452E-2</v>
      </c>
      <c r="N68" s="76">
        <v>1.0868383871318334E-2</v>
      </c>
      <c r="O68" s="76">
        <v>0</v>
      </c>
      <c r="P68" s="78">
        <v>1.319240662246857E-2</v>
      </c>
      <c r="Q68" s="79">
        <v>4.4516030866210192E-2</v>
      </c>
      <c r="R68" s="76">
        <v>0</v>
      </c>
      <c r="S68" s="76">
        <v>0</v>
      </c>
      <c r="T68" s="112">
        <f t="shared" si="32"/>
        <v>0.26251820422043032</v>
      </c>
      <c r="U68" s="109">
        <f t="shared" si="33"/>
        <v>7.0274100641234641E-2</v>
      </c>
      <c r="V68" s="108">
        <f>VLOOKUP(+A68,'HUC11 data'!$E$6:$L$156,8,FALSE)</f>
        <v>0</v>
      </c>
      <c r="W68" s="108">
        <f t="shared" si="34"/>
        <v>0.33279230486166494</v>
      </c>
      <c r="X68" s="283">
        <v>1.1402021519400065</v>
      </c>
      <c r="Y68" s="257">
        <v>0</v>
      </c>
      <c r="Z68" s="257">
        <v>1.8213237691555264</v>
      </c>
      <c r="AA68" s="257">
        <v>0</v>
      </c>
      <c r="AB68" s="80">
        <v>0.17986765279078173</v>
      </c>
      <c r="AC68" s="81">
        <v>2.2539897863380141E-2</v>
      </c>
      <c r="AD68" s="82">
        <v>2.3182262759139493E-2</v>
      </c>
      <c r="AE68" s="257">
        <v>1.0868386462542974E-3</v>
      </c>
      <c r="AF68" s="257">
        <v>0</v>
      </c>
      <c r="AG68" s="81">
        <v>1.3192409767783413E-3</v>
      </c>
      <c r="AH68" s="82">
        <v>4.4516041479659022E-3</v>
      </c>
      <c r="AI68" s="257">
        <v>0</v>
      </c>
      <c r="AJ68" s="257">
        <v>0</v>
      </c>
      <c r="AK68" s="111">
        <f t="shared" si="35"/>
        <v>0.20481363027719454</v>
      </c>
      <c r="AL68" s="110">
        <f t="shared" si="36"/>
        <v>1.8489576360626319</v>
      </c>
      <c r="AM68" s="110">
        <f t="shared" si="37"/>
        <v>2.0537712663398264</v>
      </c>
      <c r="AN68" s="74"/>
      <c r="AO68" s="60" t="s">
        <v>86</v>
      </c>
      <c r="AP68" s="74">
        <f t="shared" si="20"/>
        <v>-1.7589506030700772</v>
      </c>
      <c r="AQ68" s="74">
        <f t="shared" si="21"/>
        <v>5.4211933607430512E-3</v>
      </c>
      <c r="AR68" s="74">
        <f t="shared" si="22"/>
        <v>9.781545225064036E-3</v>
      </c>
      <c r="AS68" s="74">
        <f t="shared" si="23"/>
        <v>5.1937592363934519E-2</v>
      </c>
      <c r="AT68" s="74">
        <f t="shared" si="24"/>
        <v>0</v>
      </c>
      <c r="AU68" s="286">
        <f t="shared" si="25"/>
        <v>0</v>
      </c>
      <c r="AV68" s="74">
        <f t="shared" si="26"/>
        <v>5.1937592363934519E-2</v>
      </c>
      <c r="AW68" t="str">
        <f t="shared" si="18"/>
        <v>Non-Ag Irr</v>
      </c>
      <c r="AX68" s="179">
        <f t="shared" si="27"/>
        <v>4</v>
      </c>
    </row>
    <row r="69" spans="1:50" x14ac:dyDescent="0.2">
      <c r="A69" s="60" t="s">
        <v>88</v>
      </c>
      <c r="B69" s="107">
        <f t="shared" si="28"/>
        <v>0.25</v>
      </c>
      <c r="C69" s="297">
        <v>2005</v>
      </c>
      <c r="D69" s="103">
        <f>+LFM*VLOOKUP(+A69,'HUC11 data'!$E$6:$K$156,7,FALSE)</f>
        <v>2.338975</v>
      </c>
      <c r="E69" s="103">
        <f t="shared" si="29"/>
        <v>0.85580914145817388</v>
      </c>
      <c r="F69" s="113">
        <f t="shared" si="30"/>
        <v>0.36589067495726713</v>
      </c>
      <c r="G69" s="103">
        <f t="shared" si="31"/>
        <v>1.4831658585418261</v>
      </c>
      <c r="H69" s="104" t="str">
        <f t="shared" si="10"/>
        <v>Potable</v>
      </c>
      <c r="I69" s="76">
        <v>1.3299858711009669</v>
      </c>
      <c r="J69" s="76">
        <v>0</v>
      </c>
      <c r="K69" s="77">
        <v>0.73877399740630334</v>
      </c>
      <c r="L69" s="78">
        <v>0.48799043582219315</v>
      </c>
      <c r="M69" s="79">
        <v>0</v>
      </c>
      <c r="N69" s="76">
        <v>0.28225192913813713</v>
      </c>
      <c r="O69" s="76">
        <v>0</v>
      </c>
      <c r="P69" s="78">
        <v>0</v>
      </c>
      <c r="Q69" s="79">
        <v>8.4773394196283013E-3</v>
      </c>
      <c r="R69" s="76">
        <v>0</v>
      </c>
      <c r="S69" s="76">
        <v>0</v>
      </c>
      <c r="T69" s="112">
        <f t="shared" si="32"/>
        <v>2.5551020101208404</v>
      </c>
      <c r="U69" s="109">
        <f t="shared" si="33"/>
        <v>8.4773394196283013E-3</v>
      </c>
      <c r="V69" s="108">
        <f>VLOOKUP(+A69,'HUC11 data'!$E$6:$L$156,8,FALSE)</f>
        <v>0</v>
      </c>
      <c r="W69" s="108">
        <f t="shared" si="34"/>
        <v>2.5635793495404688</v>
      </c>
      <c r="X69" s="283">
        <v>6.2238017606781861</v>
      </c>
      <c r="Y69" s="257">
        <v>4.2178024127812186E-3</v>
      </c>
      <c r="Z69" s="257">
        <v>0.68666449298989229</v>
      </c>
      <c r="AA69" s="257">
        <v>0</v>
      </c>
      <c r="AB69" s="80">
        <v>0.54862358737950745</v>
      </c>
      <c r="AC69" s="81">
        <v>0.4391913915128115</v>
      </c>
      <c r="AD69" s="82">
        <v>0</v>
      </c>
      <c r="AE69" s="257">
        <v>2.8225199643224098E-2</v>
      </c>
      <c r="AF69" s="257">
        <v>0</v>
      </c>
      <c r="AG69" s="81">
        <v>0</v>
      </c>
      <c r="AH69" s="82">
        <v>8.4773414407835206E-4</v>
      </c>
      <c r="AI69" s="257">
        <v>0</v>
      </c>
      <c r="AJ69" s="257">
        <v>0</v>
      </c>
      <c r="AK69" s="111">
        <f t="shared" si="35"/>
        <v>1.0202579809483243</v>
      </c>
      <c r="AL69" s="110">
        <f t="shared" si="36"/>
        <v>0.68751222713397064</v>
      </c>
      <c r="AM69" s="110">
        <f t="shared" si="37"/>
        <v>1.707770208082295</v>
      </c>
      <c r="AN69" s="74"/>
      <c r="AO69" s="60" t="s">
        <v>88</v>
      </c>
      <c r="AP69" s="74">
        <f t="shared" si="20"/>
        <v>0.82925398572508913</v>
      </c>
      <c r="AQ69" s="74">
        <f t="shared" si="21"/>
        <v>4.8799044309381645E-2</v>
      </c>
      <c r="AR69" s="74">
        <f t="shared" si="22"/>
        <v>0.25402672949491301</v>
      </c>
      <c r="AS69" s="74">
        <f t="shared" si="23"/>
        <v>7.6296052755499494E-3</v>
      </c>
      <c r="AT69" s="74">
        <f t="shared" si="24"/>
        <v>0</v>
      </c>
      <c r="AU69" s="286">
        <f t="shared" si="25"/>
        <v>0</v>
      </c>
      <c r="AV69" s="74">
        <f t="shared" si="26"/>
        <v>0.82925398572508913</v>
      </c>
      <c r="AW69" t="str">
        <f t="shared" si="18"/>
        <v>Potable</v>
      </c>
      <c r="AX69" s="179">
        <f t="shared" si="27"/>
        <v>1</v>
      </c>
    </row>
    <row r="70" spans="1:50" x14ac:dyDescent="0.2">
      <c r="A70" s="60" t="s">
        <v>90</v>
      </c>
      <c r="B70" s="107">
        <f t="shared" ref="B70:B101" si="38">+LFM</f>
        <v>0.25</v>
      </c>
      <c r="C70" s="297">
        <v>2005</v>
      </c>
      <c r="D70" s="103">
        <f>+LFM*VLOOKUP(+A70,'HUC11 data'!$E$6:$K$156,7,FALSE)</f>
        <v>2.612025</v>
      </c>
      <c r="E70" s="103">
        <f t="shared" ref="E70:E101" si="39">+W70-AM70</f>
        <v>3.258676242190921</v>
      </c>
      <c r="F70" s="113">
        <f t="shared" ref="F70:F101" si="40">IF(E70&gt;0,+E70/D70,"Net Gain")</f>
        <v>1.2475670187654868</v>
      </c>
      <c r="G70" s="103">
        <f t="shared" ref="G70:G101" si="41">MAX(0,D70-E70)</f>
        <v>0</v>
      </c>
      <c r="H70" s="104" t="str">
        <f t="shared" si="10"/>
        <v>Potable</v>
      </c>
      <c r="I70" s="76">
        <v>4.9953592000869484</v>
      </c>
      <c r="J70" s="76">
        <v>0</v>
      </c>
      <c r="K70" s="77">
        <v>2.7395869330100595</v>
      </c>
      <c r="L70" s="78">
        <v>4.0539071840017392E-2</v>
      </c>
      <c r="M70" s="79">
        <v>9.0968373002934463E-2</v>
      </c>
      <c r="N70" s="76">
        <v>0</v>
      </c>
      <c r="O70" s="76">
        <v>6.5210303227910009E-4</v>
      </c>
      <c r="P70" s="78">
        <v>7.1731333550700993E-2</v>
      </c>
      <c r="Q70" s="79">
        <v>0</v>
      </c>
      <c r="R70" s="76">
        <v>0</v>
      </c>
      <c r="S70" s="76">
        <v>0</v>
      </c>
      <c r="T70" s="112">
        <f t="shared" ref="T70:T101" si="42">SUM(I70,K70,L70,N70,P70,R70)*0.9</f>
        <v>7.0624948846389533</v>
      </c>
      <c r="U70" s="109">
        <f t="shared" ref="U70:U101" si="43">SUM(J70,M70,O70,Q70,S70)</f>
        <v>9.1620476035213561E-2</v>
      </c>
      <c r="V70" s="108">
        <f>VLOOKUP(+A70,'HUC11 data'!$E$6:$L$156,8,FALSE)</f>
        <v>0</v>
      </c>
      <c r="W70" s="108">
        <f t="shared" ref="W70:W101" si="44">SUM(T70:V70)</f>
        <v>7.154115360674167</v>
      </c>
      <c r="X70" s="283">
        <v>4.747310074991848</v>
      </c>
      <c r="Y70" s="257">
        <v>3.5741444408216493E-2</v>
      </c>
      <c r="Z70" s="257">
        <v>1.7004649494620148</v>
      </c>
      <c r="AA70" s="257">
        <v>0</v>
      </c>
      <c r="AB70" s="80">
        <v>2.0344484603339237</v>
      </c>
      <c r="AC70" s="81">
        <v>3.5674383327949567E-2</v>
      </c>
      <c r="AD70" s="82">
        <v>8.1871535567087567E-2</v>
      </c>
      <c r="AE70" s="257">
        <v>0</v>
      </c>
      <c r="AF70" s="257">
        <v>6.5210318775257853E-5</v>
      </c>
      <c r="AG70" s="81">
        <v>7.1731350652783623E-3</v>
      </c>
      <c r="AH70" s="82">
        <v>0</v>
      </c>
      <c r="AI70" s="257">
        <v>0</v>
      </c>
      <c r="AJ70" s="257">
        <v>0</v>
      </c>
      <c r="AK70" s="111">
        <f t="shared" ref="AK70:AK101" si="45">SUM(Y70,AB70,AC70,AE70,AG70,AI70)</f>
        <v>2.1130374231353684</v>
      </c>
      <c r="AL70" s="110">
        <f t="shared" ref="AL70:AL101" si="46">SUM(Z70,AA70,AD70,AF70,AH70,AJ70)</f>
        <v>1.7824016953478776</v>
      </c>
      <c r="AM70" s="110">
        <f t="shared" ref="AM70:AM101" si="47">SUM(AK70:AL70)</f>
        <v>3.895439118483246</v>
      </c>
      <c r="AN70" s="74"/>
      <c r="AO70" s="60" t="s">
        <v>90</v>
      </c>
      <c r="AP70" s="74">
        <f t="shared" si="20"/>
        <v>3.964291278892853</v>
      </c>
      <c r="AQ70" s="74">
        <f t="shared" si="21"/>
        <v>1.3961525947914721E-2</v>
      </c>
      <c r="AR70" s="74">
        <f t="shared" si="22"/>
        <v>5.8689271350384226E-4</v>
      </c>
      <c r="AS70" s="74">
        <f t="shared" si="23"/>
        <v>6.455819848542263E-2</v>
      </c>
      <c r="AT70" s="74">
        <f t="shared" si="24"/>
        <v>0</v>
      </c>
      <c r="AU70" s="286">
        <f t="shared" si="25"/>
        <v>0</v>
      </c>
      <c r="AV70" s="74">
        <f t="shared" si="26"/>
        <v>3.964291278892853</v>
      </c>
      <c r="AW70" t="str">
        <f t="shared" si="18"/>
        <v>Potable</v>
      </c>
      <c r="AX70" s="179">
        <f t="shared" si="27"/>
        <v>1</v>
      </c>
    </row>
    <row r="71" spans="1:50" x14ac:dyDescent="0.2">
      <c r="A71" s="60" t="s">
        <v>92</v>
      </c>
      <c r="B71" s="107">
        <f t="shared" si="38"/>
        <v>0.25</v>
      </c>
      <c r="C71" s="297">
        <v>2006</v>
      </c>
      <c r="D71" s="103">
        <f>+LFM*VLOOKUP(+A71,'HUC11 data'!$E$6:$K$156,7,FALSE)</f>
        <v>3.5043500000000001</v>
      </c>
      <c r="E71" s="103">
        <f t="shared" si="39"/>
        <v>0.17813833977120597</v>
      </c>
      <c r="F71" s="113">
        <f t="shared" si="40"/>
        <v>5.0833489740238838E-2</v>
      </c>
      <c r="G71" s="103">
        <f t="shared" si="41"/>
        <v>3.3262116602287941</v>
      </c>
      <c r="H71" s="104" t="str">
        <f t="shared" ref="H71:H134" si="48">+AW71</f>
        <v>Potable</v>
      </c>
      <c r="I71" s="76">
        <v>2.2817085099445711</v>
      </c>
      <c r="J71" s="76">
        <v>1.9563090968373002E-2</v>
      </c>
      <c r="K71" s="77">
        <v>1.2407552452674624</v>
      </c>
      <c r="L71" s="78">
        <v>0.48244756004782086</v>
      </c>
      <c r="M71" s="79">
        <v>1.7117704597326376E-3</v>
      </c>
      <c r="N71" s="76">
        <v>1.7389414194109336E-3</v>
      </c>
      <c r="O71" s="76">
        <v>0</v>
      </c>
      <c r="P71" s="78">
        <v>9.9663080099989129E-2</v>
      </c>
      <c r="Q71" s="79">
        <v>1.7280730355396151E-2</v>
      </c>
      <c r="R71" s="76">
        <v>0</v>
      </c>
      <c r="S71" s="76">
        <v>2.9018584936419952E-2</v>
      </c>
      <c r="T71" s="112">
        <f t="shared" si="42"/>
        <v>3.69568200310133</v>
      </c>
      <c r="U71" s="109">
        <f t="shared" si="43"/>
        <v>6.7574176719921747E-2</v>
      </c>
      <c r="V71" s="108">
        <f>VLOOKUP(+A71,'HUC11 data'!$E$6:$L$156,8,FALSE)</f>
        <v>0</v>
      </c>
      <c r="W71" s="108">
        <f t="shared" si="44"/>
        <v>3.7632561798212518</v>
      </c>
      <c r="X71" s="283">
        <v>0</v>
      </c>
      <c r="Y71" s="257">
        <v>4.8243560482556236E-2</v>
      </c>
      <c r="Z71" s="257">
        <v>2.1392239973915879</v>
      </c>
      <c r="AA71" s="257">
        <v>0</v>
      </c>
      <c r="AB71" s="80">
        <v>0.92139661197338685</v>
      </c>
      <c r="AC71" s="81">
        <v>0.43420280332413586</v>
      </c>
      <c r="AD71" s="82">
        <v>1.16400392486173E-3</v>
      </c>
      <c r="AE71" s="257">
        <v>1.7389418340068758E-4</v>
      </c>
      <c r="AF71" s="257">
        <v>0</v>
      </c>
      <c r="AG71" s="81">
        <v>9.9663103861519064E-3</v>
      </c>
      <c r="AH71" s="82">
        <v>1.7280734475443329E-3</v>
      </c>
      <c r="AI71" s="257">
        <v>0</v>
      </c>
      <c r="AJ71" s="257">
        <v>2.9018584936419952E-2</v>
      </c>
      <c r="AK71" s="111">
        <f t="shared" si="45"/>
        <v>1.4139831803496314</v>
      </c>
      <c r="AL71" s="110">
        <f t="shared" si="46"/>
        <v>2.1711346597004142</v>
      </c>
      <c r="AM71" s="110">
        <f t="shared" si="47"/>
        <v>3.5851178400500459</v>
      </c>
      <c r="AN71" s="74"/>
      <c r="AO71" s="60" t="s">
        <v>92</v>
      </c>
      <c r="AP71" s="74">
        <f t="shared" si="20"/>
        <v>0.43316267633287575</v>
      </c>
      <c r="AQ71" s="74">
        <f t="shared" si="21"/>
        <v>4.8792523258555931E-2</v>
      </c>
      <c r="AR71" s="74">
        <f t="shared" si="22"/>
        <v>1.565047236010246E-3</v>
      </c>
      <c r="AS71" s="74">
        <f t="shared" si="23"/>
        <v>0.10524942662168904</v>
      </c>
      <c r="AT71" s="74">
        <f t="shared" si="24"/>
        <v>0</v>
      </c>
      <c r="AU71" s="286">
        <f t="shared" si="25"/>
        <v>0</v>
      </c>
      <c r="AV71" s="74">
        <f t="shared" si="26"/>
        <v>0.43316267633287575</v>
      </c>
      <c r="AW71" t="str">
        <f t="shared" ref="AW71:AW134" si="49">VLOOKUP(+AX71,$AZ$6:$BA$11,2,FALSE)</f>
        <v>Potable</v>
      </c>
      <c r="AX71" s="179">
        <f t="shared" si="27"/>
        <v>1</v>
      </c>
    </row>
    <row r="72" spans="1:50" x14ac:dyDescent="0.2">
      <c r="A72" s="60" t="s">
        <v>175</v>
      </c>
      <c r="B72" s="107">
        <f t="shared" si="38"/>
        <v>0.25</v>
      </c>
      <c r="C72" s="297">
        <v>2005</v>
      </c>
      <c r="D72" s="103">
        <f>+LFM*VLOOKUP(+A72,'HUC11 data'!$E$6:$K$156,7,FALSE)</f>
        <v>2.1794500000000001</v>
      </c>
      <c r="E72" s="103">
        <f t="shared" si="39"/>
        <v>0.88124673462441017</v>
      </c>
      <c r="F72" s="113">
        <f t="shared" si="40"/>
        <v>0.40434363468967405</v>
      </c>
      <c r="G72" s="103">
        <f t="shared" si="41"/>
        <v>1.2982032653755899</v>
      </c>
      <c r="H72" s="104" t="str">
        <f t="shared" si="48"/>
        <v>Ag Irr</v>
      </c>
      <c r="I72" s="76">
        <v>0.43093142049777194</v>
      </c>
      <c r="J72" s="76">
        <v>0</v>
      </c>
      <c r="K72" s="77">
        <v>1.0455232702353523</v>
      </c>
      <c r="L72" s="78">
        <v>0.18669709814150634</v>
      </c>
      <c r="M72" s="79">
        <v>0</v>
      </c>
      <c r="N72" s="76">
        <v>1.9019671774807081E-2</v>
      </c>
      <c r="O72" s="76">
        <v>0.56080860776002606</v>
      </c>
      <c r="P72" s="78">
        <v>0.11390066297141614</v>
      </c>
      <c r="Q72" s="79">
        <v>6.3253994131072702E-2</v>
      </c>
      <c r="R72" s="76">
        <v>0</v>
      </c>
      <c r="S72" s="76">
        <v>0</v>
      </c>
      <c r="T72" s="112">
        <f t="shared" si="42"/>
        <v>1.6164649112587683</v>
      </c>
      <c r="U72" s="109">
        <f t="shared" si="43"/>
        <v>0.62406260189109874</v>
      </c>
      <c r="V72" s="108">
        <f>VLOOKUP(+A72,'HUC11 data'!$E$6:$L$156,8,FALSE)</f>
        <v>0</v>
      </c>
      <c r="W72" s="108">
        <f t="shared" si="44"/>
        <v>2.2405275131498672</v>
      </c>
      <c r="X72" s="283">
        <v>38.597326377567654</v>
      </c>
      <c r="Y72" s="257">
        <v>0</v>
      </c>
      <c r="Z72" s="257">
        <v>0.33813139876100429</v>
      </c>
      <c r="AA72" s="257">
        <v>0</v>
      </c>
      <c r="AB72" s="80">
        <v>0.7764259623494314</v>
      </c>
      <c r="AC72" s="81">
        <v>0.16902510570340953</v>
      </c>
      <c r="AD72" s="82">
        <v>0</v>
      </c>
      <c r="AE72" s="257">
        <v>1.9019676309450207E-3</v>
      </c>
      <c r="AF72" s="257">
        <v>5.6080874146721749E-2</v>
      </c>
      <c r="AG72" s="81">
        <v>1.1390069012745037E-2</v>
      </c>
      <c r="AH72" s="82">
        <v>6.3254009212000105E-3</v>
      </c>
      <c r="AI72" s="257">
        <v>0</v>
      </c>
      <c r="AJ72" s="257">
        <v>0</v>
      </c>
      <c r="AK72" s="111">
        <f t="shared" si="45"/>
        <v>0.95874310469653101</v>
      </c>
      <c r="AL72" s="110">
        <f t="shared" si="46"/>
        <v>0.40053767382892602</v>
      </c>
      <c r="AM72" s="110">
        <f t="shared" si="47"/>
        <v>1.359280778525457</v>
      </c>
      <c r="AN72" s="74"/>
      <c r="AO72" s="60" t="s">
        <v>175</v>
      </c>
      <c r="AP72" s="74">
        <f t="shared" si="20"/>
        <v>0.36189732962268839</v>
      </c>
      <c r="AQ72" s="74">
        <f t="shared" si="21"/>
        <v>1.7671992438096806E-2</v>
      </c>
      <c r="AR72" s="74">
        <f t="shared" si="22"/>
        <v>0.52184543775716641</v>
      </c>
      <c r="AS72" s="74">
        <f t="shared" si="23"/>
        <v>0.1594391871685438</v>
      </c>
      <c r="AT72" s="74">
        <f t="shared" si="24"/>
        <v>0</v>
      </c>
      <c r="AU72" s="286">
        <f t="shared" si="25"/>
        <v>0</v>
      </c>
      <c r="AV72" s="74">
        <f t="shared" si="26"/>
        <v>0.52184543775716641</v>
      </c>
      <c r="AW72" t="str">
        <f t="shared" si="49"/>
        <v>Ag Irr</v>
      </c>
      <c r="AX72" s="179">
        <f t="shared" si="27"/>
        <v>3</v>
      </c>
    </row>
    <row r="73" spans="1:50" x14ac:dyDescent="0.2">
      <c r="A73" s="60" t="s">
        <v>177</v>
      </c>
      <c r="B73" s="107">
        <f t="shared" si="38"/>
        <v>0.25</v>
      </c>
      <c r="C73" s="297">
        <v>2008</v>
      </c>
      <c r="D73" s="103">
        <f>+LFM*VLOOKUP(+A73,'HUC11 data'!$E$6:$K$156,7,FALSE)</f>
        <v>0.68500000000000005</v>
      </c>
      <c r="E73" s="103">
        <f t="shared" si="39"/>
        <v>0.50698518372080714</v>
      </c>
      <c r="F73" s="113">
        <f t="shared" si="40"/>
        <v>0.74012435579679869</v>
      </c>
      <c r="G73" s="103">
        <f t="shared" si="41"/>
        <v>0.17801481627919291</v>
      </c>
      <c r="H73" s="104" t="str">
        <f t="shared" si="48"/>
        <v>Potable</v>
      </c>
      <c r="I73" s="76">
        <v>0.15097272035648299</v>
      </c>
      <c r="J73" s="76">
        <v>0</v>
      </c>
      <c r="K73" s="77">
        <v>0.89924764090656106</v>
      </c>
      <c r="L73" s="78">
        <v>3.8082817085099439E-2</v>
      </c>
      <c r="M73" s="79">
        <v>2.8301271600912944E-2</v>
      </c>
      <c r="N73" s="76">
        <v>0.30869739158787085</v>
      </c>
      <c r="O73" s="76">
        <v>0</v>
      </c>
      <c r="P73" s="78">
        <v>0</v>
      </c>
      <c r="Q73" s="79">
        <v>0</v>
      </c>
      <c r="R73" s="76">
        <v>0</v>
      </c>
      <c r="S73" s="76">
        <v>0</v>
      </c>
      <c r="T73" s="112">
        <f t="shared" si="42"/>
        <v>1.2573005129424131</v>
      </c>
      <c r="U73" s="109">
        <f t="shared" si="43"/>
        <v>2.8301271600912944E-2</v>
      </c>
      <c r="V73" s="108">
        <f>VLOOKUP(+A73,'HUC11 data'!$E$6:$L$156,8,FALSE)</f>
        <v>0</v>
      </c>
      <c r="W73" s="108">
        <f t="shared" si="44"/>
        <v>1.2856017845433261</v>
      </c>
      <c r="X73" s="283">
        <v>1077.2735833029021</v>
      </c>
      <c r="Y73" s="257">
        <v>0</v>
      </c>
      <c r="Z73" s="257">
        <v>2.020867297032931E-2</v>
      </c>
      <c r="AA73" s="257">
        <v>0</v>
      </c>
      <c r="AB73" s="80">
        <v>0.66779250161499204</v>
      </c>
      <c r="AC73" s="81">
        <v>3.4274535319841676E-2</v>
      </c>
      <c r="AD73" s="82">
        <v>2.5471144398649465E-2</v>
      </c>
      <c r="AE73" s="257">
        <v>3.0869746518706432E-2</v>
      </c>
      <c r="AF73" s="257">
        <v>0</v>
      </c>
      <c r="AG73" s="81">
        <v>0</v>
      </c>
      <c r="AH73" s="82">
        <v>0</v>
      </c>
      <c r="AI73" s="257">
        <v>0</v>
      </c>
      <c r="AJ73" s="257">
        <v>0</v>
      </c>
      <c r="AK73" s="111">
        <f t="shared" si="45"/>
        <v>0.73293678345354019</v>
      </c>
      <c r="AL73" s="110">
        <f t="shared" si="46"/>
        <v>4.5679817368978776E-2</v>
      </c>
      <c r="AM73" s="110">
        <f t="shared" si="47"/>
        <v>0.77861660082251893</v>
      </c>
      <c r="AN73" s="74"/>
      <c r="AO73" s="60" t="s">
        <v>177</v>
      </c>
      <c r="AP73" s="74">
        <f t="shared" si="20"/>
        <v>0.36221918667772268</v>
      </c>
      <c r="AQ73" s="74">
        <f t="shared" si="21"/>
        <v>6.6384089675212421E-3</v>
      </c>
      <c r="AR73" s="74">
        <f t="shared" si="22"/>
        <v>0.27782764506916441</v>
      </c>
      <c r="AS73" s="74">
        <f t="shared" si="23"/>
        <v>0</v>
      </c>
      <c r="AT73" s="74">
        <f t="shared" si="24"/>
        <v>0</v>
      </c>
      <c r="AU73" s="286">
        <f t="shared" si="25"/>
        <v>0</v>
      </c>
      <c r="AV73" s="74">
        <f t="shared" si="26"/>
        <v>0.36221918667772268</v>
      </c>
      <c r="AW73" t="str">
        <f t="shared" si="49"/>
        <v>Potable</v>
      </c>
      <c r="AX73" s="179">
        <f t="shared" si="27"/>
        <v>1</v>
      </c>
    </row>
    <row r="74" spans="1:50" x14ac:dyDescent="0.2">
      <c r="A74" s="60" t="s">
        <v>179</v>
      </c>
      <c r="B74" s="107">
        <f t="shared" si="38"/>
        <v>0.25</v>
      </c>
      <c r="C74" s="297">
        <v>2007</v>
      </c>
      <c r="D74" s="103">
        <f>+LFM*VLOOKUP(+A74,'HUC11 data'!$E$6:$K$156,7,FALSE)</f>
        <v>0.72499999999999998</v>
      </c>
      <c r="E74" s="103">
        <f t="shared" si="39"/>
        <v>0.22419351146940225</v>
      </c>
      <c r="F74" s="113">
        <f t="shared" si="40"/>
        <v>0.30923242961296865</v>
      </c>
      <c r="G74" s="103">
        <f t="shared" si="41"/>
        <v>0.50080648853059773</v>
      </c>
      <c r="H74" s="104" t="str">
        <f t="shared" si="48"/>
        <v>Potable</v>
      </c>
      <c r="I74" s="76">
        <v>0.23638734920117377</v>
      </c>
      <c r="J74" s="76">
        <v>0.42093250733615911</v>
      </c>
      <c r="K74" s="77">
        <v>1.3359287632190586</v>
      </c>
      <c r="L74" s="78">
        <v>5.8254537550266265E-2</v>
      </c>
      <c r="M74" s="79">
        <v>0</v>
      </c>
      <c r="N74" s="76">
        <v>0</v>
      </c>
      <c r="O74" s="76">
        <v>0</v>
      </c>
      <c r="P74" s="78">
        <v>8.6947070970546682E-4</v>
      </c>
      <c r="Q74" s="79">
        <v>0.15650472774698401</v>
      </c>
      <c r="R74" s="76">
        <v>0</v>
      </c>
      <c r="S74" s="76">
        <v>0</v>
      </c>
      <c r="T74" s="112">
        <f t="shared" si="42"/>
        <v>1.468296108612184</v>
      </c>
      <c r="U74" s="109">
        <f t="shared" si="43"/>
        <v>0.57743723508314315</v>
      </c>
      <c r="V74" s="108">
        <f>VLOOKUP(+A74,'HUC11 data'!$E$6:$L$156,8,FALSE)</f>
        <v>0</v>
      </c>
      <c r="W74" s="108">
        <f t="shared" si="44"/>
        <v>2.0457333436953271</v>
      </c>
      <c r="X74" s="283">
        <v>313.56309096837299</v>
      </c>
      <c r="Y74" s="257">
        <v>0</v>
      </c>
      <c r="Z74" s="257">
        <v>0.74535376589501134</v>
      </c>
      <c r="AA74" s="257">
        <v>0</v>
      </c>
      <c r="AB74" s="80">
        <v>0.99207563991189163</v>
      </c>
      <c r="AC74" s="81">
        <v>6.8373002821259507E-2</v>
      </c>
      <c r="AD74" s="82">
        <v>0</v>
      </c>
      <c r="AE74" s="257">
        <v>0</v>
      </c>
      <c r="AF74" s="257">
        <v>0</v>
      </c>
      <c r="AG74" s="81">
        <v>8.694709170034379E-5</v>
      </c>
      <c r="AH74" s="82">
        <v>1.5650476506061883E-2</v>
      </c>
      <c r="AI74" s="257">
        <v>0</v>
      </c>
      <c r="AJ74" s="257">
        <v>0</v>
      </c>
      <c r="AK74" s="111">
        <f t="shared" si="45"/>
        <v>1.0605355898248516</v>
      </c>
      <c r="AL74" s="110">
        <f t="shared" si="46"/>
        <v>0.76100424240107323</v>
      </c>
      <c r="AM74" s="110">
        <f t="shared" si="47"/>
        <v>1.8215398322259249</v>
      </c>
      <c r="AN74" s="74"/>
      <c r="AO74" s="60" t="s">
        <v>179</v>
      </c>
      <c r="AP74" s="74">
        <f t="shared" si="20"/>
        <v>0.25581921394948859</v>
      </c>
      <c r="AQ74" s="74">
        <f t="shared" si="21"/>
        <v>-1.0118465270993242E-2</v>
      </c>
      <c r="AR74" s="74">
        <f t="shared" si="22"/>
        <v>0</v>
      </c>
      <c r="AS74" s="74">
        <f t="shared" si="23"/>
        <v>0.14163677485892726</v>
      </c>
      <c r="AT74" s="74">
        <f t="shared" si="24"/>
        <v>0</v>
      </c>
      <c r="AU74" s="286">
        <f t="shared" si="25"/>
        <v>0</v>
      </c>
      <c r="AV74" s="74">
        <f t="shared" si="26"/>
        <v>0.25581921394948859</v>
      </c>
      <c r="AW74" t="str">
        <f t="shared" si="49"/>
        <v>Potable</v>
      </c>
      <c r="AX74" s="179">
        <f t="shared" si="27"/>
        <v>1</v>
      </c>
    </row>
    <row r="75" spans="1:50" x14ac:dyDescent="0.2">
      <c r="A75" s="60" t="s">
        <v>181</v>
      </c>
      <c r="B75" s="107">
        <f t="shared" si="38"/>
        <v>0.25</v>
      </c>
      <c r="C75" s="297">
        <v>2005</v>
      </c>
      <c r="D75" s="103">
        <f>+LFM*VLOOKUP(+A75,'HUC11 data'!$E$6:$K$156,7,FALSE)</f>
        <v>2.52</v>
      </c>
      <c r="E75" s="103">
        <f t="shared" si="39"/>
        <v>1.2067400947877869</v>
      </c>
      <c r="F75" s="113">
        <f t="shared" si="40"/>
        <v>0.47886511697928053</v>
      </c>
      <c r="G75" s="103">
        <f t="shared" si="41"/>
        <v>1.3132599052122131</v>
      </c>
      <c r="H75" s="104" t="str">
        <f t="shared" si="48"/>
        <v>Leakage</v>
      </c>
      <c r="I75" s="76">
        <v>0.16606890555374415</v>
      </c>
      <c r="J75" s="76">
        <v>0</v>
      </c>
      <c r="K75" s="77">
        <v>0.64020973556558258</v>
      </c>
      <c r="L75" s="78">
        <v>0</v>
      </c>
      <c r="M75" s="79">
        <v>0</v>
      </c>
      <c r="N75" s="76">
        <v>3.97782849690251E-2</v>
      </c>
      <c r="O75" s="76">
        <v>0.16302575806977501</v>
      </c>
      <c r="P75" s="78">
        <v>3.2605151613955004E-4</v>
      </c>
      <c r="Q75" s="79">
        <v>0.32539941310727094</v>
      </c>
      <c r="R75" s="76">
        <v>0</v>
      </c>
      <c r="S75" s="76">
        <v>0</v>
      </c>
      <c r="T75" s="112">
        <f t="shared" si="42"/>
        <v>0.76174467984404226</v>
      </c>
      <c r="U75" s="109">
        <f t="shared" si="43"/>
        <v>0.48842517117704598</v>
      </c>
      <c r="V75" s="108">
        <f>VLOOKUP(+A75,'HUC11 data'!$E$6:$L$156,8,FALSE)</f>
        <v>0.56783399999999995</v>
      </c>
      <c r="W75" s="108">
        <f t="shared" si="44"/>
        <v>1.8180038510210883</v>
      </c>
      <c r="X75" s="283">
        <v>0</v>
      </c>
      <c r="Y75" s="257">
        <v>0</v>
      </c>
      <c r="Z75" s="257">
        <v>6.06455820019563E-2</v>
      </c>
      <c r="AA75" s="257">
        <v>0</v>
      </c>
      <c r="AB75" s="80">
        <v>0.49776521086399877</v>
      </c>
      <c r="AC75" s="81">
        <v>0</v>
      </c>
      <c r="AD75" s="82">
        <v>0</v>
      </c>
      <c r="AE75" s="257">
        <v>3.9778294452907283E-3</v>
      </c>
      <c r="AF75" s="257">
        <v>1.6302579693814462E-2</v>
      </c>
      <c r="AG75" s="81">
        <v>3.2605159387628926E-5</v>
      </c>
      <c r="AH75" s="82">
        <v>3.2539949068853664E-2</v>
      </c>
      <c r="AI75" s="257">
        <v>0</v>
      </c>
      <c r="AJ75" s="257">
        <v>0</v>
      </c>
      <c r="AK75" s="111">
        <f t="shared" si="45"/>
        <v>0.50177564546867715</v>
      </c>
      <c r="AL75" s="110">
        <f t="shared" si="46"/>
        <v>0.10948811076462442</v>
      </c>
      <c r="AM75" s="110">
        <f t="shared" si="47"/>
        <v>0.61126375623330154</v>
      </c>
      <c r="AN75" s="74"/>
      <c r="AO75" s="60" t="s">
        <v>181</v>
      </c>
      <c r="AP75" s="74">
        <f t="shared" si="20"/>
        <v>0.24786784825337171</v>
      </c>
      <c r="AQ75" s="74">
        <f t="shared" si="21"/>
        <v>0</v>
      </c>
      <c r="AR75" s="74">
        <f t="shared" si="22"/>
        <v>0.18252363389969492</v>
      </c>
      <c r="AS75" s="74">
        <f t="shared" si="23"/>
        <v>0.29315291039516922</v>
      </c>
      <c r="AT75" s="74">
        <f t="shared" si="24"/>
        <v>0</v>
      </c>
      <c r="AU75" s="286">
        <f t="shared" si="25"/>
        <v>0.56783399999999995</v>
      </c>
      <c r="AV75" s="74">
        <f t="shared" si="26"/>
        <v>0.56783399999999995</v>
      </c>
      <c r="AW75" t="str">
        <f t="shared" si="49"/>
        <v>Leakage</v>
      </c>
      <c r="AX75" s="179">
        <f t="shared" si="27"/>
        <v>6</v>
      </c>
    </row>
    <row r="76" spans="1:50" x14ac:dyDescent="0.2">
      <c r="A76" s="60" t="s">
        <v>183</v>
      </c>
      <c r="B76" s="107">
        <f t="shared" si="38"/>
        <v>0.25</v>
      </c>
      <c r="C76" s="297">
        <v>2007</v>
      </c>
      <c r="D76" s="103">
        <f>+LFM*VLOOKUP(+A76,'HUC11 data'!$E$6:$K$156,7,FALSE)</f>
        <v>2.2025000000000001</v>
      </c>
      <c r="E76" s="103">
        <f t="shared" si="39"/>
        <v>-1.7266478737329081</v>
      </c>
      <c r="F76" s="113" t="str">
        <f t="shared" si="40"/>
        <v>Net Gain</v>
      </c>
      <c r="G76" s="103">
        <f t="shared" si="41"/>
        <v>3.9291478737329082</v>
      </c>
      <c r="H76" s="104" t="str">
        <f t="shared" si="48"/>
        <v>Leakage</v>
      </c>
      <c r="I76" s="76">
        <v>5.3068144766873164</v>
      </c>
      <c r="J76" s="76">
        <v>0</v>
      </c>
      <c r="K76" s="77">
        <v>0.60152004172255413</v>
      </c>
      <c r="L76" s="78">
        <v>0</v>
      </c>
      <c r="M76" s="79">
        <v>0</v>
      </c>
      <c r="N76" s="76">
        <v>0.14302793174654929</v>
      </c>
      <c r="O76" s="76">
        <v>0</v>
      </c>
      <c r="P76" s="78">
        <v>8.8577328551244408E-2</v>
      </c>
      <c r="Q76" s="79">
        <v>8.0208672970329312E-2</v>
      </c>
      <c r="R76" s="76">
        <v>0</v>
      </c>
      <c r="S76" s="76">
        <v>0</v>
      </c>
      <c r="T76" s="112">
        <f t="shared" si="42"/>
        <v>5.5259458008368982</v>
      </c>
      <c r="U76" s="109">
        <f t="shared" si="43"/>
        <v>8.0208672970329312E-2</v>
      </c>
      <c r="V76" s="108">
        <f>VLOOKUP(+A76,'HUC11 data'!$E$6:$L$156,8,FALSE)</f>
        <v>0.48514600000000008</v>
      </c>
      <c r="W76" s="108">
        <f t="shared" si="44"/>
        <v>6.0913004738072276</v>
      </c>
      <c r="X76" s="283">
        <v>0</v>
      </c>
      <c r="Y76" s="257">
        <v>0</v>
      </c>
      <c r="Z76" s="257">
        <v>7.3400717313335493</v>
      </c>
      <c r="AA76" s="257">
        <v>0</v>
      </c>
      <c r="AB76" s="80">
        <v>0.44669521544555008</v>
      </c>
      <c r="AC76" s="81">
        <v>0</v>
      </c>
      <c r="AD76" s="82">
        <v>0</v>
      </c>
      <c r="AE76" s="257">
        <v>1.4302796584706557E-2</v>
      </c>
      <c r="AF76" s="257">
        <v>0</v>
      </c>
      <c r="AG76" s="81">
        <v>8.8577349669725237E-3</v>
      </c>
      <c r="AH76" s="82">
        <v>8.0208692093567159E-3</v>
      </c>
      <c r="AI76" s="257">
        <v>0</v>
      </c>
      <c r="AJ76" s="257">
        <v>0</v>
      </c>
      <c r="AK76" s="111">
        <f t="shared" si="45"/>
        <v>0.46985574699722915</v>
      </c>
      <c r="AL76" s="110">
        <f t="shared" si="46"/>
        <v>7.3480926005429064</v>
      </c>
      <c r="AM76" s="110">
        <f t="shared" si="47"/>
        <v>7.8179483475401357</v>
      </c>
      <c r="AN76" s="74"/>
      <c r="AO76" s="60" t="s">
        <v>183</v>
      </c>
      <c r="AP76" s="74">
        <f t="shared" si="20"/>
        <v>-1.8784324283692291</v>
      </c>
      <c r="AQ76" s="74">
        <f t="shared" si="21"/>
        <v>0</v>
      </c>
      <c r="AR76" s="74">
        <f t="shared" si="22"/>
        <v>0.12872513516184272</v>
      </c>
      <c r="AS76" s="74">
        <f t="shared" si="23"/>
        <v>0.15190739734524447</v>
      </c>
      <c r="AT76" s="74">
        <f t="shared" si="24"/>
        <v>0</v>
      </c>
      <c r="AU76" s="286">
        <f t="shared" si="25"/>
        <v>0.48514600000000008</v>
      </c>
      <c r="AV76" s="74">
        <f t="shared" si="26"/>
        <v>0.48514600000000008</v>
      </c>
      <c r="AW76" t="str">
        <f t="shared" si="49"/>
        <v>Leakage</v>
      </c>
      <c r="AX76" s="179">
        <f t="shared" si="27"/>
        <v>6</v>
      </c>
    </row>
    <row r="77" spans="1:50" x14ac:dyDescent="0.2">
      <c r="A77" s="60" t="s">
        <v>344</v>
      </c>
      <c r="B77" s="107">
        <f t="shared" si="38"/>
        <v>0.25</v>
      </c>
      <c r="C77" s="297">
        <v>2007</v>
      </c>
      <c r="D77" s="103">
        <f>+LFM*VLOOKUP(+A77,'HUC11 data'!$E$6:$K$156,7,FALSE)</f>
        <v>4.4999999999999998E-2</v>
      </c>
      <c r="E77" s="103">
        <f t="shared" si="39"/>
        <v>-9.6541556994975473</v>
      </c>
      <c r="F77" s="113" t="str">
        <f t="shared" si="40"/>
        <v>Net Gain</v>
      </c>
      <c r="G77" s="103">
        <f t="shared" si="41"/>
        <v>9.6991556994975472</v>
      </c>
      <c r="H77" s="104" t="str">
        <f t="shared" si="48"/>
        <v>ICM</v>
      </c>
      <c r="I77" s="76">
        <v>0</v>
      </c>
      <c r="J77" s="76">
        <v>0</v>
      </c>
      <c r="K77" s="77">
        <v>1.4593631189258613E-3</v>
      </c>
      <c r="L77" s="78">
        <v>0</v>
      </c>
      <c r="M77" s="79">
        <v>0</v>
      </c>
      <c r="N77" s="76">
        <v>0</v>
      </c>
      <c r="O77" s="76">
        <v>0</v>
      </c>
      <c r="P77" s="78">
        <v>0</v>
      </c>
      <c r="Q77" s="79">
        <v>0</v>
      </c>
      <c r="R77" s="76">
        <v>0</v>
      </c>
      <c r="S77" s="76">
        <v>0</v>
      </c>
      <c r="T77" s="112">
        <f t="shared" si="42"/>
        <v>1.3134268070332752E-3</v>
      </c>
      <c r="U77" s="109">
        <f t="shared" si="43"/>
        <v>0</v>
      </c>
      <c r="V77" s="108">
        <f>VLOOKUP(+A77,'HUC11 data'!$E$6:$L$156,8,FALSE)</f>
        <v>0</v>
      </c>
      <c r="W77" s="108">
        <f t="shared" si="44"/>
        <v>1.3134268070332752E-3</v>
      </c>
      <c r="X77" s="283">
        <v>7091.219432670362</v>
      </c>
      <c r="Y77" s="257">
        <v>0</v>
      </c>
      <c r="Z77" s="257">
        <v>9.6543853928920758</v>
      </c>
      <c r="AA77" s="257">
        <v>0</v>
      </c>
      <c r="AB77" s="80">
        <v>1.083733412504741E-3</v>
      </c>
      <c r="AC77" s="81">
        <v>0</v>
      </c>
      <c r="AD77" s="82">
        <v>0</v>
      </c>
      <c r="AE77" s="257">
        <v>0</v>
      </c>
      <c r="AF77" s="257">
        <v>0</v>
      </c>
      <c r="AG77" s="81">
        <v>0</v>
      </c>
      <c r="AH77" s="82">
        <v>0</v>
      </c>
      <c r="AI77" s="257">
        <v>0</v>
      </c>
      <c r="AJ77" s="257">
        <v>0</v>
      </c>
      <c r="AK77" s="111">
        <f t="shared" si="45"/>
        <v>1.083733412504741E-3</v>
      </c>
      <c r="AL77" s="110">
        <f t="shared" si="46"/>
        <v>9.6543853928920758</v>
      </c>
      <c r="AM77" s="110">
        <f t="shared" si="47"/>
        <v>9.6554691263045811</v>
      </c>
      <c r="AN77" s="74"/>
      <c r="AO77" s="60" t="s">
        <v>344</v>
      </c>
      <c r="AP77" s="74">
        <f t="shared" si="20"/>
        <v>-9.6540097631856554</v>
      </c>
      <c r="AQ77" s="74">
        <f t="shared" si="21"/>
        <v>0</v>
      </c>
      <c r="AR77" s="74">
        <f t="shared" si="22"/>
        <v>0</v>
      </c>
      <c r="AS77" s="74">
        <f t="shared" si="23"/>
        <v>0</v>
      </c>
      <c r="AT77" s="74">
        <f t="shared" si="24"/>
        <v>0</v>
      </c>
      <c r="AU77" s="286">
        <f t="shared" si="25"/>
        <v>0</v>
      </c>
      <c r="AV77" s="74">
        <f t="shared" si="26"/>
        <v>0</v>
      </c>
      <c r="AW77" t="str">
        <f t="shared" si="49"/>
        <v>ICM</v>
      </c>
      <c r="AX77" s="179">
        <f t="shared" si="27"/>
        <v>2</v>
      </c>
    </row>
    <row r="78" spans="1:50" x14ac:dyDescent="0.2">
      <c r="A78" s="60" t="s">
        <v>346</v>
      </c>
      <c r="B78" s="107">
        <f t="shared" si="38"/>
        <v>0.25</v>
      </c>
      <c r="C78" s="297">
        <v>2002</v>
      </c>
      <c r="D78" s="103">
        <f>+LFM*VLOOKUP(+A78,'HUC11 data'!$E$6:$K$156,7,FALSE)</f>
        <v>2.4175</v>
      </c>
      <c r="E78" s="103">
        <f t="shared" si="39"/>
        <v>1.5423526726024726</v>
      </c>
      <c r="F78" s="113">
        <f t="shared" si="40"/>
        <v>0.63799490076627619</v>
      </c>
      <c r="G78" s="103">
        <f t="shared" si="41"/>
        <v>0.87514732739752743</v>
      </c>
      <c r="H78" s="104" t="str">
        <f t="shared" si="48"/>
        <v>Leakage</v>
      </c>
      <c r="I78" s="76">
        <v>8.1512879034887509E-3</v>
      </c>
      <c r="J78" s="76">
        <v>0</v>
      </c>
      <c r="K78" s="77">
        <v>0.59467795207718077</v>
      </c>
      <c r="L78" s="78">
        <v>0</v>
      </c>
      <c r="M78" s="79">
        <v>0</v>
      </c>
      <c r="N78" s="76">
        <v>1.4128899032713835E-3</v>
      </c>
      <c r="O78" s="76">
        <v>0.80785784153896312</v>
      </c>
      <c r="P78" s="78">
        <v>0</v>
      </c>
      <c r="Q78" s="79">
        <v>0</v>
      </c>
      <c r="R78" s="76">
        <v>0</v>
      </c>
      <c r="S78" s="76">
        <v>0</v>
      </c>
      <c r="T78" s="112">
        <f t="shared" si="42"/>
        <v>0.54381791689554682</v>
      </c>
      <c r="U78" s="109">
        <f t="shared" si="43"/>
        <v>0.80785784153896312</v>
      </c>
      <c r="V78" s="108">
        <f>VLOOKUP(+A78,'HUC11 data'!$E$6:$L$156,8,FALSE)</f>
        <v>0.84303000000000061</v>
      </c>
      <c r="W78" s="108">
        <f t="shared" si="44"/>
        <v>2.1947057584345107</v>
      </c>
      <c r="X78" s="283">
        <v>0</v>
      </c>
      <c r="Y78" s="257">
        <v>5.194000652103032E-3</v>
      </c>
      <c r="Z78" s="257">
        <v>0.10270622758395824</v>
      </c>
      <c r="AA78" s="257">
        <v>0</v>
      </c>
      <c r="AB78" s="80">
        <v>0.44161510330893505</v>
      </c>
      <c r="AC78" s="81">
        <v>2.1910661848300615E-2</v>
      </c>
      <c r="AD78" s="82">
        <v>0</v>
      </c>
      <c r="AE78" s="257">
        <v>1.4128902401305867E-4</v>
      </c>
      <c r="AF78" s="257">
        <v>8.0785803414728186E-2</v>
      </c>
      <c r="AG78" s="81">
        <v>0</v>
      </c>
      <c r="AH78" s="82">
        <v>0</v>
      </c>
      <c r="AI78" s="257">
        <v>0</v>
      </c>
      <c r="AJ78" s="257">
        <v>0</v>
      </c>
      <c r="AK78" s="111">
        <f t="shared" si="45"/>
        <v>0.46886105483335172</v>
      </c>
      <c r="AL78" s="110">
        <f t="shared" si="46"/>
        <v>0.18349203099868644</v>
      </c>
      <c r="AM78" s="110">
        <f t="shared" si="47"/>
        <v>0.6523530858320381</v>
      </c>
      <c r="AN78" s="74"/>
      <c r="AO78" s="60" t="s">
        <v>346</v>
      </c>
      <c r="AP78" s="74">
        <f t="shared" si="20"/>
        <v>5.3313908435673185E-2</v>
      </c>
      <c r="AQ78" s="74">
        <f t="shared" si="21"/>
        <v>-2.1910661848300615E-2</v>
      </c>
      <c r="AR78" s="74">
        <f t="shared" si="22"/>
        <v>0.72834363900349319</v>
      </c>
      <c r="AS78" s="74">
        <f t="shared" si="23"/>
        <v>0</v>
      </c>
      <c r="AT78" s="74">
        <f t="shared" si="24"/>
        <v>0</v>
      </c>
      <c r="AU78" s="286">
        <f t="shared" si="25"/>
        <v>0.84303000000000061</v>
      </c>
      <c r="AV78" s="74">
        <f t="shared" si="26"/>
        <v>0.84303000000000061</v>
      </c>
      <c r="AW78" t="str">
        <f t="shared" si="49"/>
        <v>Leakage</v>
      </c>
      <c r="AX78" s="179">
        <f t="shared" si="27"/>
        <v>6</v>
      </c>
    </row>
    <row r="79" spans="1:50" x14ac:dyDescent="0.2">
      <c r="A79" s="60" t="s">
        <v>348</v>
      </c>
      <c r="B79" s="107">
        <f t="shared" si="38"/>
        <v>0.25</v>
      </c>
      <c r="C79" s="297">
        <v>2005</v>
      </c>
      <c r="D79" s="103">
        <f>+LFM*VLOOKUP(+A79,'HUC11 data'!$E$6:$K$156,7,FALSE)</f>
        <v>2.9750000000000001</v>
      </c>
      <c r="E79" s="103">
        <f t="shared" si="39"/>
        <v>2.1517555493342271</v>
      </c>
      <c r="F79" s="113">
        <f t="shared" si="40"/>
        <v>0.72327917624679905</v>
      </c>
      <c r="G79" s="103">
        <f t="shared" si="41"/>
        <v>0.82324445066577301</v>
      </c>
      <c r="H79" s="104" t="str">
        <f t="shared" si="48"/>
        <v>Ag Irr</v>
      </c>
      <c r="I79" s="76">
        <v>0</v>
      </c>
      <c r="J79" s="76">
        <v>0</v>
      </c>
      <c r="K79" s="77">
        <v>0.97054943111455394</v>
      </c>
      <c r="L79" s="78">
        <v>0</v>
      </c>
      <c r="M79" s="79">
        <v>0</v>
      </c>
      <c r="N79" s="76">
        <v>8.2088903380067385E-2</v>
      </c>
      <c r="O79" s="76">
        <v>1.6064558200195629</v>
      </c>
      <c r="P79" s="78">
        <v>0</v>
      </c>
      <c r="Q79" s="79">
        <v>3.97782849690251E-2</v>
      </c>
      <c r="R79" s="76">
        <v>0</v>
      </c>
      <c r="S79" s="76">
        <v>0</v>
      </c>
      <c r="T79" s="112">
        <f t="shared" si="42"/>
        <v>0.94737450104515919</v>
      </c>
      <c r="U79" s="109">
        <f t="shared" si="43"/>
        <v>1.646234104988588</v>
      </c>
      <c r="V79" s="108">
        <f>VLOOKUP(+A79,'HUC11 data'!$E$6:$L$156,8,FALSE)</f>
        <v>1.0484580000000001</v>
      </c>
      <c r="W79" s="108">
        <f t="shared" si="44"/>
        <v>3.6420666060337474</v>
      </c>
      <c r="X79" s="283">
        <v>0</v>
      </c>
      <c r="Y79" s="257">
        <v>6.8885555917835017E-2</v>
      </c>
      <c r="Z79" s="257">
        <v>0.49435930877078577</v>
      </c>
      <c r="AA79" s="257">
        <v>0</v>
      </c>
      <c r="AB79" s="80">
        <v>0.72074835127650749</v>
      </c>
      <c r="AC79" s="81">
        <v>0</v>
      </c>
      <c r="AD79" s="82">
        <v>0</v>
      </c>
      <c r="AE79" s="257">
        <v>9.6109141488267512E-3</v>
      </c>
      <c r="AF79" s="257">
        <v>0.16064562030284771</v>
      </c>
      <c r="AG79" s="81">
        <v>3.2083476837426864E-2</v>
      </c>
      <c r="AH79" s="82">
        <v>3.9778294452907283E-3</v>
      </c>
      <c r="AI79" s="257">
        <v>0</v>
      </c>
      <c r="AJ79" s="257">
        <v>0</v>
      </c>
      <c r="AK79" s="111">
        <f t="shared" si="45"/>
        <v>0.83132829818059617</v>
      </c>
      <c r="AL79" s="110">
        <f t="shared" si="46"/>
        <v>0.65898275851892418</v>
      </c>
      <c r="AM79" s="110">
        <f t="shared" si="47"/>
        <v>1.4903110566995204</v>
      </c>
      <c r="AN79" s="74"/>
      <c r="AO79" s="60" t="s">
        <v>348</v>
      </c>
      <c r="AP79" s="74">
        <f t="shared" si="20"/>
        <v>-0.31344378485057423</v>
      </c>
      <c r="AQ79" s="74">
        <f t="shared" si="21"/>
        <v>0</v>
      </c>
      <c r="AR79" s="74">
        <f t="shared" si="22"/>
        <v>1.5182881889479558</v>
      </c>
      <c r="AS79" s="74">
        <f t="shared" si="23"/>
        <v>3.7169786863075066E-3</v>
      </c>
      <c r="AT79" s="74">
        <f t="shared" si="24"/>
        <v>0</v>
      </c>
      <c r="AU79" s="286">
        <f t="shared" si="25"/>
        <v>1.0484580000000001</v>
      </c>
      <c r="AV79" s="74">
        <f t="shared" si="26"/>
        <v>1.5182881889479558</v>
      </c>
      <c r="AW79" t="str">
        <f t="shared" si="49"/>
        <v>Ag Irr</v>
      </c>
      <c r="AX79" s="179">
        <f t="shared" si="27"/>
        <v>3</v>
      </c>
    </row>
    <row r="80" spans="1:50" x14ac:dyDescent="0.2">
      <c r="A80" s="60" t="s">
        <v>350</v>
      </c>
      <c r="B80" s="107">
        <f t="shared" si="38"/>
        <v>0.25</v>
      </c>
      <c r="C80" s="297">
        <v>2002</v>
      </c>
      <c r="D80" s="103">
        <f>+LFM*VLOOKUP(+A80,'HUC11 data'!$E$6:$K$156,7,FALSE)</f>
        <v>1.2775000000000001</v>
      </c>
      <c r="E80" s="103">
        <f t="shared" si="39"/>
        <v>1.9293562759379104</v>
      </c>
      <c r="F80" s="113">
        <f t="shared" si="40"/>
        <v>1.5102593158026694</v>
      </c>
      <c r="G80" s="103">
        <f t="shared" si="41"/>
        <v>0</v>
      </c>
      <c r="H80" s="104" t="str">
        <f t="shared" si="48"/>
        <v>Ag Irr</v>
      </c>
      <c r="I80" s="76">
        <v>0</v>
      </c>
      <c r="J80" s="76">
        <v>0</v>
      </c>
      <c r="K80" s="77">
        <v>0.303709524515417</v>
      </c>
      <c r="L80" s="78">
        <v>0</v>
      </c>
      <c r="M80" s="79">
        <v>0</v>
      </c>
      <c r="N80" s="76">
        <v>0.22823606129768503</v>
      </c>
      <c r="O80" s="76">
        <v>1.6276491685686336</v>
      </c>
      <c r="P80" s="78">
        <v>0</v>
      </c>
      <c r="Q80" s="79">
        <v>0</v>
      </c>
      <c r="R80" s="76">
        <v>0</v>
      </c>
      <c r="S80" s="76">
        <v>0</v>
      </c>
      <c r="T80" s="112">
        <f t="shared" si="42"/>
        <v>0.47875102723179186</v>
      </c>
      <c r="U80" s="109">
        <f t="shared" si="43"/>
        <v>1.6276491685686336</v>
      </c>
      <c r="V80" s="108">
        <f>VLOOKUP(+A80,'HUC11 data'!$E$6:$L$156,8,FALSE)</f>
        <v>0.42183800000000005</v>
      </c>
      <c r="W80" s="108">
        <f t="shared" si="44"/>
        <v>2.5282381958004256</v>
      </c>
      <c r="X80" s="283">
        <v>0</v>
      </c>
      <c r="Y80" s="257">
        <v>7.8252363873492002E-4</v>
      </c>
      <c r="Z80" s="257">
        <v>0.16139550048907728</v>
      </c>
      <c r="AA80" s="257">
        <v>0</v>
      </c>
      <c r="AB80" s="80">
        <v>0.22659624864082223</v>
      </c>
      <c r="AC80" s="81">
        <v>0</v>
      </c>
      <c r="AD80" s="82">
        <v>0</v>
      </c>
      <c r="AE80" s="257">
        <v>4.7342691430837192E-2</v>
      </c>
      <c r="AF80" s="257">
        <v>0.16276495566304358</v>
      </c>
      <c r="AG80" s="81">
        <v>0</v>
      </c>
      <c r="AH80" s="82">
        <v>0</v>
      </c>
      <c r="AI80" s="257">
        <v>0</v>
      </c>
      <c r="AJ80" s="257">
        <v>0</v>
      </c>
      <c r="AK80" s="111">
        <f t="shared" si="45"/>
        <v>0.27472146371039435</v>
      </c>
      <c r="AL80" s="110">
        <f t="shared" si="46"/>
        <v>0.32416045615212086</v>
      </c>
      <c r="AM80" s="110">
        <f t="shared" si="47"/>
        <v>0.59888191986251527</v>
      </c>
      <c r="AN80" s="74"/>
      <c r="AO80" s="60" t="s">
        <v>350</v>
      </c>
      <c r="AP80" s="74">
        <f t="shared" si="20"/>
        <v>-8.5064748253217415E-2</v>
      </c>
      <c r="AQ80" s="74">
        <f t="shared" si="21"/>
        <v>0</v>
      </c>
      <c r="AR80" s="74">
        <f t="shared" si="22"/>
        <v>1.6457775827724379</v>
      </c>
      <c r="AS80" s="74">
        <f t="shared" si="23"/>
        <v>0</v>
      </c>
      <c r="AT80" s="74">
        <f t="shared" si="24"/>
        <v>0</v>
      </c>
      <c r="AU80" s="286">
        <f t="shared" si="25"/>
        <v>0.42183800000000005</v>
      </c>
      <c r="AV80" s="74">
        <f t="shared" si="26"/>
        <v>1.6457775827724379</v>
      </c>
      <c r="AW80" t="str">
        <f t="shared" si="49"/>
        <v>Ag Irr</v>
      </c>
      <c r="AX80" s="179">
        <f t="shared" si="27"/>
        <v>3</v>
      </c>
    </row>
    <row r="81" spans="1:50" x14ac:dyDescent="0.2">
      <c r="A81" s="60" t="s">
        <v>352</v>
      </c>
      <c r="B81" s="107">
        <f t="shared" si="38"/>
        <v>0.25</v>
      </c>
      <c r="C81" s="297">
        <v>2007</v>
      </c>
      <c r="D81" s="103">
        <f>+LFM*VLOOKUP(+A81,'HUC11 data'!$E$6:$K$156,7,FALSE)</f>
        <v>0.58750000000000002</v>
      </c>
      <c r="E81" s="103">
        <f t="shared" si="39"/>
        <v>-5.409402609890412</v>
      </c>
      <c r="F81" s="113" t="str">
        <f t="shared" si="40"/>
        <v>Net Gain</v>
      </c>
      <c r="G81" s="103">
        <f t="shared" si="41"/>
        <v>5.9969026098904124</v>
      </c>
      <c r="H81" s="104" t="str">
        <f t="shared" si="48"/>
        <v>Leakage</v>
      </c>
      <c r="I81" s="76">
        <v>2.3646342788827304</v>
      </c>
      <c r="J81" s="76">
        <v>0</v>
      </c>
      <c r="K81" s="77">
        <v>4.7505161927241878E-2</v>
      </c>
      <c r="L81" s="78">
        <v>0</v>
      </c>
      <c r="M81" s="79">
        <v>0</v>
      </c>
      <c r="N81" s="76">
        <v>0</v>
      </c>
      <c r="O81" s="76">
        <v>0</v>
      </c>
      <c r="P81" s="78">
        <v>0</v>
      </c>
      <c r="Q81" s="79">
        <v>0</v>
      </c>
      <c r="R81" s="76">
        <v>0</v>
      </c>
      <c r="S81" s="76">
        <v>0</v>
      </c>
      <c r="T81" s="112">
        <f t="shared" si="42"/>
        <v>2.1709254967289753</v>
      </c>
      <c r="U81" s="109">
        <f t="shared" si="43"/>
        <v>0</v>
      </c>
      <c r="V81" s="108">
        <f>VLOOKUP(+A81,'HUC11 data'!$E$6:$L$156,8,FALSE)</f>
        <v>0.36821999999999999</v>
      </c>
      <c r="W81" s="108">
        <f t="shared" si="44"/>
        <v>2.5391454967289753</v>
      </c>
      <c r="X81" s="283">
        <v>0</v>
      </c>
      <c r="Y81" s="257">
        <v>0</v>
      </c>
      <c r="Z81" s="257">
        <v>7.9132702967068793</v>
      </c>
      <c r="AA81" s="257">
        <v>0</v>
      </c>
      <c r="AB81" s="80">
        <v>3.5277809912507452E-2</v>
      </c>
      <c r="AC81" s="81">
        <v>0</v>
      </c>
      <c r="AD81" s="82">
        <v>0</v>
      </c>
      <c r="AE81" s="257">
        <v>0</v>
      </c>
      <c r="AF81" s="257">
        <v>0</v>
      </c>
      <c r="AG81" s="81">
        <v>0</v>
      </c>
      <c r="AH81" s="82">
        <v>0</v>
      </c>
      <c r="AI81" s="257">
        <v>0</v>
      </c>
      <c r="AJ81" s="257">
        <v>0</v>
      </c>
      <c r="AK81" s="111">
        <f t="shared" si="45"/>
        <v>3.5277809912507452E-2</v>
      </c>
      <c r="AL81" s="110">
        <f t="shared" si="46"/>
        <v>7.9132702967068793</v>
      </c>
      <c r="AM81" s="110">
        <f t="shared" si="47"/>
        <v>7.9485481066193868</v>
      </c>
      <c r="AN81" s="74"/>
      <c r="AO81" s="60" t="s">
        <v>352</v>
      </c>
      <c r="AP81" s="74">
        <f t="shared" ref="AP81:AP144" si="50">+SUM(I81:K81)-SUM(Y81:AB81)</f>
        <v>-5.5364086658094145</v>
      </c>
      <c r="AQ81" s="74">
        <f t="shared" ref="AQ81:AQ144" si="51">+SUM(L81:M81)-SUM(AC81:AD81)</f>
        <v>0</v>
      </c>
      <c r="AR81" s="74">
        <f t="shared" ref="AR81:AR144" si="52">+SUM(N81:O81)-SUM(AE81:AF81)</f>
        <v>0</v>
      </c>
      <c r="AS81" s="74">
        <f t="shared" ref="AS81:AS144" si="53">+SUM(P81:Q81)-SUM(AG81:AH81)</f>
        <v>0</v>
      </c>
      <c r="AT81" s="74">
        <f t="shared" ref="AT81:AT144" si="54">+SUM(R81:S81)-SUM(AI81:AJ81)</f>
        <v>0</v>
      </c>
      <c r="AU81" s="286">
        <f t="shared" ref="AU81:AU144" si="55">+V81</f>
        <v>0.36821999999999999</v>
      </c>
      <c r="AV81" s="74">
        <f t="shared" ref="AV81:AV144" si="56">MAX(AP81:AU81)</f>
        <v>0.36821999999999999</v>
      </c>
      <c r="AW81" t="str">
        <f t="shared" si="49"/>
        <v>Leakage</v>
      </c>
      <c r="AX81" s="179">
        <f t="shared" ref="AX81:AX144" si="57">RANK(AV81,AP81:AU81)+MATCH(AV81,AP81:AU81,0)-1</f>
        <v>6</v>
      </c>
    </row>
    <row r="82" spans="1:50" x14ac:dyDescent="0.2">
      <c r="A82" s="60" t="s">
        <v>354</v>
      </c>
      <c r="B82" s="107">
        <f t="shared" si="38"/>
        <v>0.25</v>
      </c>
      <c r="C82" s="297">
        <v>2001</v>
      </c>
      <c r="D82" s="103">
        <f>+LFM*VLOOKUP(+A82,'HUC11 data'!$E$6:$K$156,7,FALSE)</f>
        <v>0.94</v>
      </c>
      <c r="E82" s="103">
        <f t="shared" si="39"/>
        <v>-7.9887105521484036E-2</v>
      </c>
      <c r="F82" s="113" t="str">
        <f t="shared" si="40"/>
        <v>Net Gain</v>
      </c>
      <c r="G82" s="103">
        <f t="shared" si="41"/>
        <v>1.019887105521484</v>
      </c>
      <c r="H82" s="104" t="str">
        <f t="shared" si="48"/>
        <v>Ag Irr</v>
      </c>
      <c r="I82" s="76">
        <v>0</v>
      </c>
      <c r="J82" s="76">
        <v>0</v>
      </c>
      <c r="K82" s="77">
        <v>0.36748307358200422</v>
      </c>
      <c r="L82" s="78">
        <v>0</v>
      </c>
      <c r="M82" s="79">
        <v>0</v>
      </c>
      <c r="N82" s="76">
        <v>6.3514835343984347E-2</v>
      </c>
      <c r="O82" s="76">
        <v>1.0191718291490055</v>
      </c>
      <c r="P82" s="78">
        <v>0</v>
      </c>
      <c r="Q82" s="79">
        <v>0</v>
      </c>
      <c r="R82" s="76">
        <v>0</v>
      </c>
      <c r="S82" s="76">
        <v>0</v>
      </c>
      <c r="T82" s="112">
        <f t="shared" si="42"/>
        <v>0.38789811803338969</v>
      </c>
      <c r="U82" s="109">
        <f t="shared" si="43"/>
        <v>1.0191718291490055</v>
      </c>
      <c r="V82" s="108">
        <f>VLOOKUP(+A82,'HUC11 data'!$E$6:$L$156,8,FALSE)</f>
        <v>0.18863200000000008</v>
      </c>
      <c r="W82" s="108">
        <f t="shared" si="44"/>
        <v>1.5957019471823952</v>
      </c>
      <c r="X82" s="283">
        <v>0</v>
      </c>
      <c r="Y82" s="257">
        <v>7.5955656993805007E-2</v>
      </c>
      <c r="Z82" s="257">
        <v>1.2155233126834037</v>
      </c>
      <c r="AA82" s="257">
        <v>0</v>
      </c>
      <c r="AB82" s="80">
        <v>0.27289605803276062</v>
      </c>
      <c r="AC82" s="81">
        <v>0</v>
      </c>
      <c r="AD82" s="82">
        <v>0</v>
      </c>
      <c r="AE82" s="257">
        <v>8.0686901097919046E-3</v>
      </c>
      <c r="AF82" s="257">
        <v>0.10191720721385047</v>
      </c>
      <c r="AG82" s="81">
        <v>1.2281276702673562E-3</v>
      </c>
      <c r="AH82" s="82">
        <v>0</v>
      </c>
      <c r="AI82" s="257">
        <v>0</v>
      </c>
      <c r="AJ82" s="257">
        <v>0</v>
      </c>
      <c r="AK82" s="111">
        <f t="shared" si="45"/>
        <v>0.3581485328066249</v>
      </c>
      <c r="AL82" s="110">
        <f t="shared" si="46"/>
        <v>1.3174405198972543</v>
      </c>
      <c r="AM82" s="110">
        <f t="shared" si="47"/>
        <v>1.6755890527038793</v>
      </c>
      <c r="AN82" s="74"/>
      <c r="AO82" s="60" t="s">
        <v>354</v>
      </c>
      <c r="AP82" s="74">
        <f t="shared" si="50"/>
        <v>-1.196891954127965</v>
      </c>
      <c r="AQ82" s="74">
        <f t="shared" si="51"/>
        <v>0</v>
      </c>
      <c r="AR82" s="74">
        <f t="shared" si="52"/>
        <v>0.97270076716934739</v>
      </c>
      <c r="AS82" s="74">
        <f t="shared" si="53"/>
        <v>-1.2281276702673562E-3</v>
      </c>
      <c r="AT82" s="74">
        <f t="shared" si="54"/>
        <v>0</v>
      </c>
      <c r="AU82" s="286">
        <f t="shared" si="55"/>
        <v>0.18863200000000008</v>
      </c>
      <c r="AV82" s="74">
        <f t="shared" si="56"/>
        <v>0.97270076716934739</v>
      </c>
      <c r="AW82" t="str">
        <f t="shared" si="49"/>
        <v>Ag Irr</v>
      </c>
      <c r="AX82" s="179">
        <f t="shared" si="57"/>
        <v>3</v>
      </c>
    </row>
    <row r="83" spans="1:50" x14ac:dyDescent="0.2">
      <c r="A83" s="60" t="s">
        <v>356</v>
      </c>
      <c r="B83" s="107">
        <f t="shared" si="38"/>
        <v>0.25</v>
      </c>
      <c r="C83" s="297">
        <v>2007</v>
      </c>
      <c r="D83" s="103">
        <f>+LFM*VLOOKUP(+A83,'HUC11 data'!$E$6:$K$156,7,FALSE)</f>
        <v>0.46</v>
      </c>
      <c r="E83" s="103">
        <f t="shared" si="39"/>
        <v>0.41853738570766374</v>
      </c>
      <c r="F83" s="113">
        <f t="shared" si="40"/>
        <v>0.90986388197318202</v>
      </c>
      <c r="G83" s="103">
        <f t="shared" si="41"/>
        <v>4.1462614292336275E-2</v>
      </c>
      <c r="H83" s="104" t="str">
        <f t="shared" si="48"/>
        <v>Leakage</v>
      </c>
      <c r="I83" s="76">
        <v>1.3392022606238454</v>
      </c>
      <c r="J83" s="76">
        <v>3.3257254646234101E-2</v>
      </c>
      <c r="K83" s="77">
        <v>0.402851739125137</v>
      </c>
      <c r="L83" s="78">
        <v>4.1843277904575586E-3</v>
      </c>
      <c r="M83" s="79">
        <v>0</v>
      </c>
      <c r="N83" s="76">
        <v>0</v>
      </c>
      <c r="O83" s="76">
        <v>5.41245516791653E-2</v>
      </c>
      <c r="P83" s="78">
        <v>0</v>
      </c>
      <c r="Q83" s="79">
        <v>0</v>
      </c>
      <c r="R83" s="76">
        <v>0</v>
      </c>
      <c r="S83" s="76">
        <v>0</v>
      </c>
      <c r="T83" s="112">
        <f t="shared" si="42"/>
        <v>1.571614494785496</v>
      </c>
      <c r="U83" s="109">
        <f t="shared" si="43"/>
        <v>8.7381806325399408E-2</v>
      </c>
      <c r="V83" s="108">
        <f>VLOOKUP(+A83,'HUC11 data'!$E$6:$L$156,8,FALSE)</f>
        <v>0.49031400000000003</v>
      </c>
      <c r="W83" s="108">
        <f t="shared" si="44"/>
        <v>2.1493103011108956</v>
      </c>
      <c r="X83" s="283">
        <v>16.400065210303229</v>
      </c>
      <c r="Y83" s="257">
        <v>0</v>
      </c>
      <c r="Z83" s="257">
        <v>1.1571568307792628</v>
      </c>
      <c r="AA83" s="257">
        <v>0</v>
      </c>
      <c r="AB83" s="80">
        <v>0.29916222006852067</v>
      </c>
      <c r="AC83" s="81">
        <v>0.26904140809710198</v>
      </c>
      <c r="AD83" s="82">
        <v>0</v>
      </c>
      <c r="AE83" s="257">
        <v>0</v>
      </c>
      <c r="AF83" s="257">
        <v>5.4124564583464011E-3</v>
      </c>
      <c r="AG83" s="81">
        <v>0</v>
      </c>
      <c r="AH83" s="82">
        <v>0</v>
      </c>
      <c r="AI83" s="257">
        <v>0</v>
      </c>
      <c r="AJ83" s="257">
        <v>0</v>
      </c>
      <c r="AK83" s="111">
        <f t="shared" si="45"/>
        <v>0.56820362816562264</v>
      </c>
      <c r="AL83" s="110">
        <f t="shared" si="46"/>
        <v>1.1625692872376092</v>
      </c>
      <c r="AM83" s="110">
        <f t="shared" si="47"/>
        <v>1.7307729154032319</v>
      </c>
      <c r="AN83" s="74"/>
      <c r="AO83" s="60" t="s">
        <v>356</v>
      </c>
      <c r="AP83" s="74">
        <f t="shared" si="50"/>
        <v>0.31899220354743307</v>
      </c>
      <c r="AQ83" s="74">
        <f t="shared" si="51"/>
        <v>-0.2648570803066444</v>
      </c>
      <c r="AR83" s="74">
        <f t="shared" si="52"/>
        <v>4.8712095220818902E-2</v>
      </c>
      <c r="AS83" s="74">
        <f t="shared" si="53"/>
        <v>0</v>
      </c>
      <c r="AT83" s="74">
        <f t="shared" si="54"/>
        <v>0</v>
      </c>
      <c r="AU83" s="286">
        <f t="shared" si="55"/>
        <v>0.49031400000000003</v>
      </c>
      <c r="AV83" s="74">
        <f t="shared" si="56"/>
        <v>0.49031400000000003</v>
      </c>
      <c r="AW83" t="str">
        <f t="shared" si="49"/>
        <v>Leakage</v>
      </c>
      <c r="AX83" s="179">
        <f t="shared" si="57"/>
        <v>6</v>
      </c>
    </row>
    <row r="84" spans="1:50" x14ac:dyDescent="0.2">
      <c r="A84" s="60" t="s">
        <v>358</v>
      </c>
      <c r="B84" s="107">
        <f t="shared" si="38"/>
        <v>0.25</v>
      </c>
      <c r="C84" s="297">
        <v>2002</v>
      </c>
      <c r="D84" s="103">
        <f>+LFM*VLOOKUP(+A84,'HUC11 data'!$E$6:$K$156,7,FALSE)</f>
        <v>0.9</v>
      </c>
      <c r="E84" s="103">
        <f t="shared" si="39"/>
        <v>1.4114717830615047</v>
      </c>
      <c r="F84" s="113">
        <f t="shared" si="40"/>
        <v>1.5683019811794496</v>
      </c>
      <c r="G84" s="103">
        <f t="shared" si="41"/>
        <v>0</v>
      </c>
      <c r="H84" s="104" t="str">
        <f t="shared" si="48"/>
        <v>Ag Irr</v>
      </c>
      <c r="I84" s="76">
        <v>0</v>
      </c>
      <c r="J84" s="76">
        <v>0</v>
      </c>
      <c r="K84" s="77">
        <v>0.52627714667574543</v>
      </c>
      <c r="L84" s="78">
        <v>0</v>
      </c>
      <c r="M84" s="79">
        <v>0</v>
      </c>
      <c r="N84" s="76">
        <v>0.35246168894685359</v>
      </c>
      <c r="O84" s="76">
        <v>0.53694163677861095</v>
      </c>
      <c r="P84" s="78">
        <v>0</v>
      </c>
      <c r="Q84" s="79">
        <v>0.14998369742419301</v>
      </c>
      <c r="R84" s="76">
        <v>0</v>
      </c>
      <c r="S84" s="76">
        <v>0</v>
      </c>
      <c r="T84" s="112">
        <f t="shared" si="42"/>
        <v>0.79086495206033913</v>
      </c>
      <c r="U84" s="109">
        <f t="shared" si="43"/>
        <v>0.68692533420280399</v>
      </c>
      <c r="V84" s="108">
        <f>VLOOKUP(+A84,'HUC11 data'!$E$6:$L$156,8,FALSE)</f>
        <v>0.52132200000000006</v>
      </c>
      <c r="W84" s="108">
        <f t="shared" si="44"/>
        <v>1.9991122862631432</v>
      </c>
      <c r="X84" s="283">
        <v>0</v>
      </c>
      <c r="Y84" s="257">
        <v>1.5357026410172807E-7</v>
      </c>
      <c r="Z84" s="257">
        <v>8.0013042060645564E-2</v>
      </c>
      <c r="AA84" s="257">
        <v>0</v>
      </c>
      <c r="AB84" s="80">
        <v>0.39082041090319442</v>
      </c>
      <c r="AC84" s="81">
        <v>0</v>
      </c>
      <c r="AD84" s="82">
        <v>0</v>
      </c>
      <c r="AE84" s="257">
        <v>3.5246177298026864E-2</v>
      </c>
      <c r="AF84" s="257">
        <v>5.3694176479547308E-2</v>
      </c>
      <c r="AG84" s="81">
        <v>1.2868169571650882E-2</v>
      </c>
      <c r="AH84" s="82">
        <v>1.4998373318309303E-2</v>
      </c>
      <c r="AI84" s="257">
        <v>0</v>
      </c>
      <c r="AJ84" s="257">
        <v>0</v>
      </c>
      <c r="AK84" s="111">
        <f t="shared" si="45"/>
        <v>0.43893491134313628</v>
      </c>
      <c r="AL84" s="110">
        <f t="shared" si="46"/>
        <v>0.14870559185850218</v>
      </c>
      <c r="AM84" s="110">
        <f t="shared" si="47"/>
        <v>0.58764050320163852</v>
      </c>
      <c r="AN84" s="74"/>
      <c r="AO84" s="60" t="s">
        <v>358</v>
      </c>
      <c r="AP84" s="74">
        <f t="shared" si="50"/>
        <v>5.5443540141641323E-2</v>
      </c>
      <c r="AQ84" s="74">
        <f t="shared" si="51"/>
        <v>0</v>
      </c>
      <c r="AR84" s="74">
        <f t="shared" si="52"/>
        <v>0.8004629719478904</v>
      </c>
      <c r="AS84" s="74">
        <f t="shared" si="53"/>
        <v>0.12211715453423283</v>
      </c>
      <c r="AT84" s="74">
        <f t="shared" si="54"/>
        <v>0</v>
      </c>
      <c r="AU84" s="286">
        <f t="shared" si="55"/>
        <v>0.52132200000000006</v>
      </c>
      <c r="AV84" s="74">
        <f t="shared" si="56"/>
        <v>0.8004629719478904</v>
      </c>
      <c r="AW84" t="str">
        <f t="shared" si="49"/>
        <v>Ag Irr</v>
      </c>
      <c r="AX84" s="179">
        <f t="shared" si="57"/>
        <v>3</v>
      </c>
    </row>
    <row r="85" spans="1:50" x14ac:dyDescent="0.2">
      <c r="A85" s="60" t="s">
        <v>360</v>
      </c>
      <c r="B85" s="107">
        <f t="shared" si="38"/>
        <v>0.25</v>
      </c>
      <c r="C85" s="297">
        <v>2000</v>
      </c>
      <c r="D85" s="103">
        <f>+LFM*VLOOKUP(+A85,'HUC11 data'!$E$6:$K$156,7,FALSE)</f>
        <v>0.19500000000000001</v>
      </c>
      <c r="E85" s="103">
        <f t="shared" si="39"/>
        <v>-1.8617842749554567</v>
      </c>
      <c r="F85" s="113" t="str">
        <f t="shared" si="40"/>
        <v>Net Gain</v>
      </c>
      <c r="G85" s="103">
        <f t="shared" si="41"/>
        <v>2.0567842749554566</v>
      </c>
      <c r="H85" s="104" t="str">
        <f t="shared" si="48"/>
        <v>Potable</v>
      </c>
      <c r="I85" s="76">
        <v>2.5011846538419733</v>
      </c>
      <c r="J85" s="76">
        <v>0</v>
      </c>
      <c r="K85" s="77">
        <v>4.7783935352481324E-4</v>
      </c>
      <c r="L85" s="78">
        <v>0</v>
      </c>
      <c r="M85" s="79">
        <v>0</v>
      </c>
      <c r="N85" s="76">
        <v>7.6078687099228345E-4</v>
      </c>
      <c r="O85" s="76">
        <v>0</v>
      </c>
      <c r="P85" s="78">
        <v>0</v>
      </c>
      <c r="Q85" s="79">
        <v>0</v>
      </c>
      <c r="R85" s="76">
        <v>0</v>
      </c>
      <c r="S85" s="76">
        <v>0</v>
      </c>
      <c r="T85" s="112">
        <f t="shared" si="42"/>
        <v>2.2521809520598417</v>
      </c>
      <c r="U85" s="109">
        <f t="shared" si="43"/>
        <v>0</v>
      </c>
      <c r="V85" s="108">
        <f>VLOOKUP(+A85,'HUC11 data'!$E$6:$L$156,8,FALSE)</f>
        <v>5.5555999999999939E-2</v>
      </c>
      <c r="W85" s="108">
        <f t="shared" si="44"/>
        <v>2.3077369520598419</v>
      </c>
      <c r="X85" s="283">
        <v>2.9322791000978161</v>
      </c>
      <c r="Y85" s="257">
        <v>0</v>
      </c>
      <c r="Z85" s="257">
        <v>1.783175741767199</v>
      </c>
      <c r="AA85" s="257">
        <v>0</v>
      </c>
      <c r="AB85" s="80">
        <v>3.5483599041278115E-4</v>
      </c>
      <c r="AC85" s="81">
        <v>2.3859145705524494</v>
      </c>
      <c r="AD85" s="82">
        <v>0</v>
      </c>
      <c r="AE85" s="257">
        <v>7.6078705237800828E-5</v>
      </c>
      <c r="AF85" s="257">
        <v>0</v>
      </c>
      <c r="AG85" s="81">
        <v>0</v>
      </c>
      <c r="AH85" s="82">
        <v>0</v>
      </c>
      <c r="AI85" s="257">
        <v>0</v>
      </c>
      <c r="AJ85" s="257">
        <v>0</v>
      </c>
      <c r="AK85" s="111">
        <f t="shared" si="45"/>
        <v>2.3863454852480999</v>
      </c>
      <c r="AL85" s="110">
        <f t="shared" si="46"/>
        <v>1.783175741767199</v>
      </c>
      <c r="AM85" s="110">
        <f t="shared" si="47"/>
        <v>4.1695212270152986</v>
      </c>
      <c r="AN85" s="74"/>
      <c r="AO85" s="60" t="s">
        <v>360</v>
      </c>
      <c r="AP85" s="74">
        <f t="shared" si="50"/>
        <v>0.71813191543788646</v>
      </c>
      <c r="AQ85" s="74">
        <f t="shared" si="51"/>
        <v>-2.3859145705524494</v>
      </c>
      <c r="AR85" s="74">
        <f t="shared" si="52"/>
        <v>6.8470816575448264E-4</v>
      </c>
      <c r="AS85" s="74">
        <f t="shared" si="53"/>
        <v>0</v>
      </c>
      <c r="AT85" s="74">
        <f t="shared" si="54"/>
        <v>0</v>
      </c>
      <c r="AU85" s="286">
        <f t="shared" si="55"/>
        <v>5.5555999999999939E-2</v>
      </c>
      <c r="AV85" s="74">
        <f t="shared" si="56"/>
        <v>0.71813191543788646</v>
      </c>
      <c r="AW85" t="str">
        <f t="shared" si="49"/>
        <v>Potable</v>
      </c>
      <c r="AX85" s="179">
        <f t="shared" si="57"/>
        <v>1</v>
      </c>
    </row>
    <row r="86" spans="1:50" x14ac:dyDescent="0.2">
      <c r="A86" s="60" t="s">
        <v>329</v>
      </c>
      <c r="B86" s="107">
        <f t="shared" si="38"/>
        <v>0.25</v>
      </c>
      <c r="C86" s="297">
        <v>2001</v>
      </c>
      <c r="D86" s="103">
        <f>+LFM*VLOOKUP(+A86,'HUC11 data'!$E$6:$K$156,7,FALSE)</f>
        <v>2.6575000000000002</v>
      </c>
      <c r="E86" s="103">
        <f t="shared" si="39"/>
        <v>2.757252582317459</v>
      </c>
      <c r="F86" s="113">
        <f t="shared" si="40"/>
        <v>1.0375362492257605</v>
      </c>
      <c r="G86" s="103">
        <f t="shared" si="41"/>
        <v>0</v>
      </c>
      <c r="H86" s="104" t="str">
        <f t="shared" si="48"/>
        <v>Potable</v>
      </c>
      <c r="I86" s="76">
        <v>0</v>
      </c>
      <c r="J86" s="76">
        <v>1.4619823932181284</v>
      </c>
      <c r="K86" s="77">
        <v>0.48622423251490071</v>
      </c>
      <c r="L86" s="78">
        <v>0</v>
      </c>
      <c r="M86" s="79">
        <v>0</v>
      </c>
      <c r="N86" s="76">
        <v>3.8474078904466899E-2</v>
      </c>
      <c r="O86" s="76">
        <v>1.0629279426149332</v>
      </c>
      <c r="P86" s="78">
        <v>0</v>
      </c>
      <c r="Q86" s="79">
        <v>0</v>
      </c>
      <c r="R86" s="76">
        <v>0</v>
      </c>
      <c r="S86" s="76">
        <v>0</v>
      </c>
      <c r="T86" s="112">
        <f t="shared" si="42"/>
        <v>0.47222848027743086</v>
      </c>
      <c r="U86" s="109">
        <f t="shared" si="43"/>
        <v>2.5249103358330616</v>
      </c>
      <c r="V86" s="108">
        <f>VLOOKUP(+A86,'HUC11 data'!$E$6:$L$156,8,FALSE)</f>
        <v>0.25710799999999989</v>
      </c>
      <c r="W86" s="108">
        <f t="shared" si="44"/>
        <v>3.2542468161104923</v>
      </c>
      <c r="X86" s="283">
        <v>0</v>
      </c>
      <c r="Y86" s="257">
        <v>0</v>
      </c>
      <c r="Z86" s="257">
        <v>0</v>
      </c>
      <c r="AA86" s="257">
        <v>0</v>
      </c>
      <c r="AB86" s="80">
        <v>0.36107637359344974</v>
      </c>
      <c r="AC86" s="81">
        <v>0</v>
      </c>
      <c r="AD86" s="82">
        <v>0</v>
      </c>
      <c r="AE86" s="257">
        <v>2.962504059591315E-2</v>
      </c>
      <c r="AF86" s="257">
        <v>0.10629281960367029</v>
      </c>
      <c r="AG86" s="81">
        <v>0</v>
      </c>
      <c r="AH86" s="82">
        <v>0</v>
      </c>
      <c r="AI86" s="257">
        <v>0</v>
      </c>
      <c r="AJ86" s="257">
        <v>0</v>
      </c>
      <c r="AK86" s="111">
        <f t="shared" si="45"/>
        <v>0.39070141418936288</v>
      </c>
      <c r="AL86" s="110">
        <f t="shared" si="46"/>
        <v>0.10629281960367029</v>
      </c>
      <c r="AM86" s="110">
        <f t="shared" si="47"/>
        <v>0.4969942337930332</v>
      </c>
      <c r="AN86" s="74"/>
      <c r="AO86" s="60" t="s">
        <v>329</v>
      </c>
      <c r="AP86" s="74">
        <f t="shared" si="50"/>
        <v>1.5871302521395794</v>
      </c>
      <c r="AQ86" s="74">
        <f t="shared" si="51"/>
        <v>0</v>
      </c>
      <c r="AR86" s="74">
        <f t="shared" si="52"/>
        <v>0.96548416131981663</v>
      </c>
      <c r="AS86" s="74">
        <f t="shared" si="53"/>
        <v>0</v>
      </c>
      <c r="AT86" s="74">
        <f t="shared" si="54"/>
        <v>0</v>
      </c>
      <c r="AU86" s="286">
        <f t="shared" si="55"/>
        <v>0.25710799999999989</v>
      </c>
      <c r="AV86" s="74">
        <f t="shared" si="56"/>
        <v>1.5871302521395794</v>
      </c>
      <c r="AW86" t="str">
        <f t="shared" si="49"/>
        <v>Potable</v>
      </c>
      <c r="AX86" s="179">
        <f t="shared" si="57"/>
        <v>1</v>
      </c>
    </row>
    <row r="87" spans="1:50" x14ac:dyDescent="0.2">
      <c r="A87" s="60" t="s">
        <v>331</v>
      </c>
      <c r="B87" s="107">
        <f t="shared" si="38"/>
        <v>0.25</v>
      </c>
      <c r="C87" s="297">
        <v>2004</v>
      </c>
      <c r="D87" s="103">
        <f>+LFM*VLOOKUP(+A87,'HUC11 data'!$E$6:$K$156,7,FALSE)</f>
        <v>4.4000000000000004</v>
      </c>
      <c r="E87" s="103">
        <f t="shared" si="39"/>
        <v>2.2415772178977207</v>
      </c>
      <c r="F87" s="113">
        <f t="shared" si="40"/>
        <v>0.50944936770402738</v>
      </c>
      <c r="G87" s="103">
        <f t="shared" si="41"/>
        <v>2.1584227821022797</v>
      </c>
      <c r="H87" s="104" t="str">
        <f t="shared" si="48"/>
        <v>Ag Irr</v>
      </c>
      <c r="I87" s="76">
        <v>0.1253015976524291</v>
      </c>
      <c r="J87" s="76">
        <v>0</v>
      </c>
      <c r="K87" s="77">
        <v>0.94322965643667245</v>
      </c>
      <c r="L87" s="78">
        <v>1.7498098032822519E-2</v>
      </c>
      <c r="M87" s="79">
        <v>5.9403325725464615</v>
      </c>
      <c r="N87" s="76">
        <v>2.2693185523312683E-2</v>
      </c>
      <c r="O87" s="76">
        <v>3.8447994783175741</v>
      </c>
      <c r="P87" s="78">
        <v>0</v>
      </c>
      <c r="Q87" s="79">
        <v>0</v>
      </c>
      <c r="R87" s="76">
        <v>0</v>
      </c>
      <c r="S87" s="76">
        <v>0</v>
      </c>
      <c r="T87" s="112">
        <f t="shared" si="42"/>
        <v>0.99785028388071306</v>
      </c>
      <c r="U87" s="109">
        <f t="shared" si="43"/>
        <v>9.7851320508640356</v>
      </c>
      <c r="V87" s="108">
        <f>VLOOKUP(+A87,'HUC11 data'!$E$6:$L$156,8,FALSE)</f>
        <v>1.3565999999997302E-2</v>
      </c>
      <c r="W87" s="108">
        <f t="shared" si="44"/>
        <v>10.796548334744745</v>
      </c>
      <c r="X87" s="283">
        <v>0</v>
      </c>
      <c r="Y87" s="257">
        <v>0</v>
      </c>
      <c r="Z87" s="257">
        <v>0</v>
      </c>
      <c r="AA87" s="257">
        <v>0</v>
      </c>
      <c r="AB87" s="80">
        <v>0.70045525070063808</v>
      </c>
      <c r="AC87" s="81">
        <v>1.574828820346607E-2</v>
      </c>
      <c r="AD87" s="82">
        <v>5.2274926797740999</v>
      </c>
      <c r="AE87" s="257">
        <v>0.20074730898722165</v>
      </c>
      <c r="AF87" s="257">
        <v>2.4105275891815992</v>
      </c>
      <c r="AG87" s="81">
        <v>0</v>
      </c>
      <c r="AH87" s="82">
        <v>0</v>
      </c>
      <c r="AI87" s="257">
        <v>0</v>
      </c>
      <c r="AJ87" s="257">
        <v>0</v>
      </c>
      <c r="AK87" s="111">
        <f t="shared" si="45"/>
        <v>0.91695084789132575</v>
      </c>
      <c r="AL87" s="110">
        <f t="shared" si="46"/>
        <v>7.6380202689556995</v>
      </c>
      <c r="AM87" s="110">
        <f t="shared" si="47"/>
        <v>8.5549711168470246</v>
      </c>
      <c r="AN87" s="74"/>
      <c r="AO87" s="60" t="s">
        <v>331</v>
      </c>
      <c r="AP87" s="74">
        <f t="shared" si="50"/>
        <v>0.36807600338846336</v>
      </c>
      <c r="AQ87" s="74">
        <f t="shared" si="51"/>
        <v>0.71458970260171828</v>
      </c>
      <c r="AR87" s="74">
        <f t="shared" si="52"/>
        <v>1.2562177656720657</v>
      </c>
      <c r="AS87" s="74">
        <f t="shared" si="53"/>
        <v>0</v>
      </c>
      <c r="AT87" s="74">
        <f t="shared" si="54"/>
        <v>0</v>
      </c>
      <c r="AU87" s="286">
        <f t="shared" si="55"/>
        <v>1.3565999999997302E-2</v>
      </c>
      <c r="AV87" s="74">
        <f t="shared" si="56"/>
        <v>1.2562177656720657</v>
      </c>
      <c r="AW87" t="str">
        <f t="shared" si="49"/>
        <v>Ag Irr</v>
      </c>
      <c r="AX87" s="179">
        <f t="shared" si="57"/>
        <v>3</v>
      </c>
    </row>
    <row r="88" spans="1:50" x14ac:dyDescent="0.2">
      <c r="A88" s="60" t="s">
        <v>333</v>
      </c>
      <c r="B88" s="107">
        <f t="shared" si="38"/>
        <v>0.25</v>
      </c>
      <c r="C88" s="297">
        <v>2005</v>
      </c>
      <c r="D88" s="103">
        <f>+LFM*VLOOKUP(+A88,'HUC11 data'!$E$6:$K$156,7,FALSE)</f>
        <v>2.5874999999999999</v>
      </c>
      <c r="E88" s="103">
        <f t="shared" si="39"/>
        <v>-2.8054379781096701</v>
      </c>
      <c r="F88" s="113" t="str">
        <f t="shared" si="40"/>
        <v>Net Gain</v>
      </c>
      <c r="G88" s="103">
        <f t="shared" si="41"/>
        <v>5.3929379781096696</v>
      </c>
      <c r="H88" s="104" t="str">
        <f t="shared" si="48"/>
        <v>Ag Irr</v>
      </c>
      <c r="I88" s="76">
        <v>1.5215737419845669E-3</v>
      </c>
      <c r="J88" s="76">
        <v>0</v>
      </c>
      <c r="K88" s="77">
        <v>0.61269276617888946</v>
      </c>
      <c r="L88" s="78">
        <v>0</v>
      </c>
      <c r="M88" s="79">
        <v>0</v>
      </c>
      <c r="N88" s="76">
        <v>0.20867297032931204</v>
      </c>
      <c r="O88" s="76">
        <v>1.8258884903814803</v>
      </c>
      <c r="P88" s="78">
        <v>0</v>
      </c>
      <c r="Q88" s="79">
        <v>0</v>
      </c>
      <c r="R88" s="76">
        <v>0</v>
      </c>
      <c r="S88" s="76">
        <v>0</v>
      </c>
      <c r="T88" s="112">
        <f t="shared" si="42"/>
        <v>0.74059857922516759</v>
      </c>
      <c r="U88" s="109">
        <f t="shared" si="43"/>
        <v>1.8258884903814803</v>
      </c>
      <c r="V88" s="108">
        <f>VLOOKUP(+A88,'HUC11 data'!$E$6:$L$156,8,FALSE)</f>
        <v>0.93476199999999998</v>
      </c>
      <c r="W88" s="108">
        <f t="shared" si="44"/>
        <v>3.5012490696066481</v>
      </c>
      <c r="X88" s="283">
        <v>0</v>
      </c>
      <c r="Y88" s="257">
        <v>0</v>
      </c>
      <c r="Z88" s="257">
        <v>4.8959178350179329</v>
      </c>
      <c r="AA88" s="257">
        <v>0</v>
      </c>
      <c r="AB88" s="80">
        <v>0.45504066166611618</v>
      </c>
      <c r="AC88" s="81">
        <v>0.60273883173762688</v>
      </c>
      <c r="AD88" s="82">
        <v>0</v>
      </c>
      <c r="AE88" s="257">
        <v>0.1243809388043336</v>
      </c>
      <c r="AF88" s="257">
        <v>0.22860878049030828</v>
      </c>
      <c r="AG88" s="81">
        <v>0</v>
      </c>
      <c r="AH88" s="82">
        <v>0</v>
      </c>
      <c r="AI88" s="257">
        <v>0</v>
      </c>
      <c r="AJ88" s="257">
        <v>0</v>
      </c>
      <c r="AK88" s="111">
        <f t="shared" si="45"/>
        <v>1.1821604322080765</v>
      </c>
      <c r="AL88" s="110">
        <f t="shared" si="46"/>
        <v>5.1245266155082412</v>
      </c>
      <c r="AM88" s="110">
        <f t="shared" si="47"/>
        <v>6.3066870477163182</v>
      </c>
      <c r="AN88" s="74"/>
      <c r="AO88" s="60" t="s">
        <v>333</v>
      </c>
      <c r="AP88" s="74">
        <f t="shared" si="50"/>
        <v>-4.7367441567631747</v>
      </c>
      <c r="AQ88" s="74">
        <f t="shared" si="51"/>
        <v>-0.60273883173762688</v>
      </c>
      <c r="AR88" s="74">
        <f t="shared" si="52"/>
        <v>1.6815717414161504</v>
      </c>
      <c r="AS88" s="74">
        <f t="shared" si="53"/>
        <v>0</v>
      </c>
      <c r="AT88" s="74">
        <f t="shared" si="54"/>
        <v>0</v>
      </c>
      <c r="AU88" s="286">
        <f t="shared" si="55"/>
        <v>0.93476199999999998</v>
      </c>
      <c r="AV88" s="74">
        <f t="shared" si="56"/>
        <v>1.6815717414161504</v>
      </c>
      <c r="AW88" t="str">
        <f t="shared" si="49"/>
        <v>Ag Irr</v>
      </c>
      <c r="AX88" s="179">
        <f t="shared" si="57"/>
        <v>3</v>
      </c>
    </row>
    <row r="89" spans="1:50" x14ac:dyDescent="0.2">
      <c r="A89" s="60" t="s">
        <v>335</v>
      </c>
      <c r="B89" s="107">
        <f t="shared" si="38"/>
        <v>0.25</v>
      </c>
      <c r="C89" s="297">
        <v>2009</v>
      </c>
      <c r="D89" s="103">
        <f>+LFM*VLOOKUP(+A89,'HUC11 data'!$E$6:$K$156,7,FALSE)</f>
        <v>3.6025</v>
      </c>
      <c r="E89" s="103">
        <f t="shared" si="39"/>
        <v>5.8612955121696508</v>
      </c>
      <c r="F89" s="113">
        <f t="shared" si="40"/>
        <v>1.6270077757584041</v>
      </c>
      <c r="G89" s="103">
        <f t="shared" si="41"/>
        <v>0</v>
      </c>
      <c r="H89" s="104" t="str">
        <f t="shared" si="48"/>
        <v>Ag Irr</v>
      </c>
      <c r="I89" s="76">
        <v>0.16692859471796542</v>
      </c>
      <c r="J89" s="76">
        <v>0</v>
      </c>
      <c r="K89" s="77">
        <v>0.94103193197840052</v>
      </c>
      <c r="L89" s="78">
        <v>0</v>
      </c>
      <c r="M89" s="79">
        <v>0.14998369742419301</v>
      </c>
      <c r="N89" s="76">
        <v>0.44152084918305984</v>
      </c>
      <c r="O89" s="76">
        <v>6.8207296308372269</v>
      </c>
      <c r="P89" s="78">
        <v>0</v>
      </c>
      <c r="Q89" s="79">
        <v>0</v>
      </c>
      <c r="R89" s="76">
        <v>0</v>
      </c>
      <c r="S89" s="76">
        <v>0</v>
      </c>
      <c r="T89" s="112">
        <f t="shared" si="42"/>
        <v>1.3945332382914832</v>
      </c>
      <c r="U89" s="109">
        <f t="shared" si="43"/>
        <v>6.9707133282614198</v>
      </c>
      <c r="V89" s="108">
        <f>VLOOKUP(+A89,'HUC11 data'!$E$6:$L$156,8,FALSE)</f>
        <v>0.4450940000000001</v>
      </c>
      <c r="W89" s="108">
        <f t="shared" si="44"/>
        <v>8.8103405665529024</v>
      </c>
      <c r="X89" s="283">
        <v>0</v>
      </c>
      <c r="Y89" s="257">
        <v>8.0906097163351801E-2</v>
      </c>
      <c r="Z89" s="257">
        <v>0.29833713726768829</v>
      </c>
      <c r="AA89" s="257">
        <v>0</v>
      </c>
      <c r="AB89" s="80">
        <v>0.69881808640123566</v>
      </c>
      <c r="AC89" s="81">
        <v>0</v>
      </c>
      <c r="AD89" s="82">
        <v>0.1349853274582806</v>
      </c>
      <c r="AE89" s="257">
        <v>0.25142702254254251</v>
      </c>
      <c r="AF89" s="257">
        <v>1.4845713835501522</v>
      </c>
      <c r="AG89" s="81">
        <v>0</v>
      </c>
      <c r="AH89" s="82">
        <v>0</v>
      </c>
      <c r="AI89" s="257">
        <v>0</v>
      </c>
      <c r="AJ89" s="257">
        <v>0</v>
      </c>
      <c r="AK89" s="111">
        <f t="shared" si="45"/>
        <v>1.03115120610713</v>
      </c>
      <c r="AL89" s="110">
        <f t="shared" si="46"/>
        <v>1.9178938482761212</v>
      </c>
      <c r="AM89" s="110">
        <f t="shared" si="47"/>
        <v>2.9490450543832512</v>
      </c>
      <c r="AN89" s="74"/>
      <c r="AO89" s="60" t="s">
        <v>335</v>
      </c>
      <c r="AP89" s="74">
        <f t="shared" si="50"/>
        <v>2.9899205864090117E-2</v>
      </c>
      <c r="AQ89" s="74">
        <f t="shared" si="51"/>
        <v>1.4998369965912417E-2</v>
      </c>
      <c r="AR89" s="74">
        <f t="shared" si="52"/>
        <v>5.5262520739275915</v>
      </c>
      <c r="AS89" s="74">
        <f t="shared" si="53"/>
        <v>0</v>
      </c>
      <c r="AT89" s="74">
        <f t="shared" si="54"/>
        <v>0</v>
      </c>
      <c r="AU89" s="286">
        <f t="shared" si="55"/>
        <v>0.4450940000000001</v>
      </c>
      <c r="AV89" s="74">
        <f t="shared" si="56"/>
        <v>5.5262520739275915</v>
      </c>
      <c r="AW89" t="str">
        <f t="shared" si="49"/>
        <v>Ag Irr</v>
      </c>
      <c r="AX89" s="179">
        <f t="shared" si="57"/>
        <v>3</v>
      </c>
    </row>
    <row r="90" spans="1:50" x14ac:dyDescent="0.2">
      <c r="A90" s="60" t="s">
        <v>337</v>
      </c>
      <c r="B90" s="107">
        <f t="shared" si="38"/>
        <v>0.25</v>
      </c>
      <c r="C90" s="297">
        <v>2001</v>
      </c>
      <c r="D90" s="103">
        <f>+LFM*VLOOKUP(+A90,'HUC11 data'!$E$6:$K$156,7,FALSE)</f>
        <v>3.4775</v>
      </c>
      <c r="E90" s="103">
        <f t="shared" si="39"/>
        <v>2.1559840194750048</v>
      </c>
      <c r="F90" s="113">
        <f t="shared" si="40"/>
        <v>0.61998102644859954</v>
      </c>
      <c r="G90" s="103">
        <f t="shared" si="41"/>
        <v>1.3215159805249952</v>
      </c>
      <c r="H90" s="104" t="str">
        <f t="shared" si="48"/>
        <v>Leakage</v>
      </c>
      <c r="I90" s="76">
        <v>1.3223019237039451</v>
      </c>
      <c r="J90" s="76">
        <v>5.7939354417998037E-2</v>
      </c>
      <c r="K90" s="77">
        <v>1.8915099896122247</v>
      </c>
      <c r="L90" s="78">
        <v>0</v>
      </c>
      <c r="M90" s="79">
        <v>0</v>
      </c>
      <c r="N90" s="76">
        <v>1.1027931746549287</v>
      </c>
      <c r="O90" s="76">
        <v>1.204238669709814</v>
      </c>
      <c r="P90" s="78">
        <v>0</v>
      </c>
      <c r="Q90" s="79">
        <v>0.48076296054776657</v>
      </c>
      <c r="R90" s="76">
        <v>0</v>
      </c>
      <c r="S90" s="76">
        <v>0</v>
      </c>
      <c r="T90" s="112">
        <f t="shared" si="42"/>
        <v>3.8849445791739892</v>
      </c>
      <c r="U90" s="109">
        <f t="shared" si="43"/>
        <v>1.7429409846755786</v>
      </c>
      <c r="V90" s="108">
        <f>VLOOKUP(+A90,'HUC11 data'!$E$6:$L$156,8,FALSE)</f>
        <v>2.1143580000000002</v>
      </c>
      <c r="W90" s="108">
        <f t="shared" si="44"/>
        <v>7.7422435638495681</v>
      </c>
      <c r="X90" s="283">
        <v>0</v>
      </c>
      <c r="Y90" s="257">
        <v>0.43136615585262472</v>
      </c>
      <c r="Z90" s="257">
        <v>3.1990544506031955</v>
      </c>
      <c r="AA90" s="257">
        <v>0</v>
      </c>
      <c r="AB90" s="80">
        <v>1.4046574777340872</v>
      </c>
      <c r="AC90" s="81">
        <v>3.4778828258657439E-4</v>
      </c>
      <c r="AD90" s="82">
        <v>0</v>
      </c>
      <c r="AE90" s="257">
        <v>0.11027934375813106</v>
      </c>
      <c r="AF90" s="257">
        <v>0.36371374901511344</v>
      </c>
      <c r="AG90" s="81">
        <v>2.8764271611766232E-2</v>
      </c>
      <c r="AH90" s="82">
        <v>4.8076307517058846E-2</v>
      </c>
      <c r="AI90" s="257">
        <v>0</v>
      </c>
      <c r="AJ90" s="257">
        <v>0</v>
      </c>
      <c r="AK90" s="111">
        <f t="shared" si="45"/>
        <v>1.9754150372391959</v>
      </c>
      <c r="AL90" s="110">
        <f t="shared" si="46"/>
        <v>3.6108445071353676</v>
      </c>
      <c r="AM90" s="110">
        <f t="shared" si="47"/>
        <v>5.5862595443745633</v>
      </c>
      <c r="AN90" s="74"/>
      <c r="AO90" s="60" t="s">
        <v>337</v>
      </c>
      <c r="AP90" s="74">
        <f t="shared" si="50"/>
        <v>-1.7633268164557392</v>
      </c>
      <c r="AQ90" s="74">
        <f t="shared" si="51"/>
        <v>-3.4778828258657439E-4</v>
      </c>
      <c r="AR90" s="74">
        <f t="shared" si="52"/>
        <v>1.8330387515914983</v>
      </c>
      <c r="AS90" s="74">
        <f t="shared" si="53"/>
        <v>0.40392238141894149</v>
      </c>
      <c r="AT90" s="74">
        <f t="shared" si="54"/>
        <v>0</v>
      </c>
      <c r="AU90" s="286">
        <f t="shared" si="55"/>
        <v>2.1143580000000002</v>
      </c>
      <c r="AV90" s="74">
        <f t="shared" si="56"/>
        <v>2.1143580000000002</v>
      </c>
      <c r="AW90" t="str">
        <f t="shared" si="49"/>
        <v>Leakage</v>
      </c>
      <c r="AX90" s="179">
        <f t="shared" si="57"/>
        <v>6</v>
      </c>
    </row>
    <row r="91" spans="1:50" x14ac:dyDescent="0.2">
      <c r="A91" s="60" t="s">
        <v>339</v>
      </c>
      <c r="B91" s="107">
        <f t="shared" si="38"/>
        <v>0.25</v>
      </c>
      <c r="C91" s="297">
        <v>2001</v>
      </c>
      <c r="D91" s="103">
        <f>+LFM*VLOOKUP(+A91,'HUC11 data'!$E$6:$K$156,7,FALSE)</f>
        <v>0.74</v>
      </c>
      <c r="E91" s="103">
        <f t="shared" si="39"/>
        <v>0.70490966434970559</v>
      </c>
      <c r="F91" s="113">
        <f t="shared" si="40"/>
        <v>0.95258062749960215</v>
      </c>
      <c r="G91" s="103">
        <f t="shared" si="41"/>
        <v>3.5090335650294402E-2</v>
      </c>
      <c r="H91" s="104" t="str">
        <f t="shared" si="48"/>
        <v>Leakage</v>
      </c>
      <c r="I91" s="76">
        <v>6.6297141615041851E-3</v>
      </c>
      <c r="J91" s="76">
        <v>0</v>
      </c>
      <c r="K91" s="77">
        <v>0.27306642931032832</v>
      </c>
      <c r="L91" s="78">
        <v>0</v>
      </c>
      <c r="M91" s="79">
        <v>0</v>
      </c>
      <c r="N91" s="76">
        <v>4.8907727420932502E-2</v>
      </c>
      <c r="O91" s="76">
        <v>0.117378545810238</v>
      </c>
      <c r="P91" s="78">
        <v>0</v>
      </c>
      <c r="Q91" s="79">
        <v>0</v>
      </c>
      <c r="R91" s="76">
        <v>0</v>
      </c>
      <c r="S91" s="76">
        <v>0</v>
      </c>
      <c r="T91" s="112">
        <f t="shared" si="42"/>
        <v>0.29574348380348853</v>
      </c>
      <c r="U91" s="109">
        <f t="shared" si="43"/>
        <v>0.117378545810238</v>
      </c>
      <c r="V91" s="108">
        <f>VLOOKUP(+A91,'HUC11 data'!$E$6:$L$156,8,FALSE)</f>
        <v>0.56201999999999996</v>
      </c>
      <c r="W91" s="108">
        <f t="shared" si="44"/>
        <v>0.97514202961372654</v>
      </c>
      <c r="X91" s="283">
        <v>0</v>
      </c>
      <c r="Y91" s="257">
        <v>0</v>
      </c>
      <c r="Z91" s="257">
        <v>0</v>
      </c>
      <c r="AA91" s="257">
        <v>0</v>
      </c>
      <c r="AB91" s="80">
        <v>0.20278207586420935</v>
      </c>
      <c r="AC91" s="81">
        <v>1.5934137567357905E-2</v>
      </c>
      <c r="AD91" s="82">
        <v>0</v>
      </c>
      <c r="AE91" s="257">
        <v>3.977829445290728E-2</v>
      </c>
      <c r="AF91" s="257">
        <v>1.1737857379546411E-2</v>
      </c>
      <c r="AG91" s="81">
        <v>0</v>
      </c>
      <c r="AH91" s="82">
        <v>0</v>
      </c>
      <c r="AI91" s="257">
        <v>0</v>
      </c>
      <c r="AJ91" s="257">
        <v>0</v>
      </c>
      <c r="AK91" s="111">
        <f t="shared" si="45"/>
        <v>0.25849450788447453</v>
      </c>
      <c r="AL91" s="110">
        <f t="shared" si="46"/>
        <v>1.1737857379546411E-2</v>
      </c>
      <c r="AM91" s="110">
        <f t="shared" si="47"/>
        <v>0.27023236526402095</v>
      </c>
      <c r="AN91" s="74"/>
      <c r="AO91" s="60" t="s">
        <v>339</v>
      </c>
      <c r="AP91" s="74">
        <f t="shared" si="50"/>
        <v>7.6914067607623177E-2</v>
      </c>
      <c r="AQ91" s="74">
        <f t="shared" si="51"/>
        <v>-1.5934137567357905E-2</v>
      </c>
      <c r="AR91" s="74">
        <f t="shared" si="52"/>
        <v>0.11477012139871681</v>
      </c>
      <c r="AS91" s="74">
        <f t="shared" si="53"/>
        <v>0</v>
      </c>
      <c r="AT91" s="74">
        <f t="shared" si="54"/>
        <v>0</v>
      </c>
      <c r="AU91" s="286">
        <f t="shared" si="55"/>
        <v>0.56201999999999996</v>
      </c>
      <c r="AV91" s="74">
        <f t="shared" si="56"/>
        <v>0.56201999999999996</v>
      </c>
      <c r="AW91" t="str">
        <f t="shared" si="49"/>
        <v>Leakage</v>
      </c>
      <c r="AX91" s="179">
        <f t="shared" si="57"/>
        <v>6</v>
      </c>
    </row>
    <row r="92" spans="1:50" x14ac:dyDescent="0.2">
      <c r="A92" s="60" t="s">
        <v>341</v>
      </c>
      <c r="B92" s="107">
        <f t="shared" si="38"/>
        <v>0.25</v>
      </c>
      <c r="C92" s="297">
        <v>2007</v>
      </c>
      <c r="D92" s="103">
        <f>+LFM*VLOOKUP(+A92,'HUC11 data'!$E$6:$K$156,7,FALSE)</f>
        <v>1.03</v>
      </c>
      <c r="E92" s="103">
        <f t="shared" si="39"/>
        <v>-7.4768933639777204</v>
      </c>
      <c r="F92" s="113" t="str">
        <f t="shared" si="40"/>
        <v>Net Gain</v>
      </c>
      <c r="G92" s="103">
        <f t="shared" si="41"/>
        <v>8.5068933639777207</v>
      </c>
      <c r="H92" s="104" t="str">
        <f t="shared" si="48"/>
        <v>Leakage</v>
      </c>
      <c r="I92" s="76">
        <v>0</v>
      </c>
      <c r="J92" s="76">
        <v>0</v>
      </c>
      <c r="K92" s="77">
        <v>0.13642902008790525</v>
      </c>
      <c r="L92" s="78">
        <v>1.8802304097380717E-2</v>
      </c>
      <c r="M92" s="79">
        <v>0</v>
      </c>
      <c r="N92" s="76">
        <v>0.29855450494511465</v>
      </c>
      <c r="O92" s="76">
        <v>0</v>
      </c>
      <c r="P92" s="78">
        <v>3.8474078904466899E-2</v>
      </c>
      <c r="Q92" s="79">
        <v>0.26899250081512877</v>
      </c>
      <c r="R92" s="76">
        <v>0</v>
      </c>
      <c r="S92" s="76">
        <v>0</v>
      </c>
      <c r="T92" s="112">
        <f t="shared" si="42"/>
        <v>0.4430339172313808</v>
      </c>
      <c r="U92" s="109">
        <f t="shared" si="43"/>
        <v>0.26899250081512877</v>
      </c>
      <c r="V92" s="108">
        <f>VLOOKUP(+A92,'HUC11 data'!$E$6:$L$156,8,FALSE)</f>
        <v>1.3159019999999999</v>
      </c>
      <c r="W92" s="108">
        <f t="shared" si="44"/>
        <v>2.0279284180465096</v>
      </c>
      <c r="X92" s="283">
        <v>0</v>
      </c>
      <c r="Y92" s="257">
        <v>0</v>
      </c>
      <c r="Z92" s="257">
        <v>9.2709488099119639</v>
      </c>
      <c r="AA92" s="257">
        <v>0</v>
      </c>
      <c r="AB92" s="80">
        <v>0.11908651653103772</v>
      </c>
      <c r="AC92" s="81">
        <v>3.3501793227870363E-2</v>
      </c>
      <c r="AD92" s="82">
        <v>0</v>
      </c>
      <c r="AE92" s="257">
        <v>2.9855457612605548E-2</v>
      </c>
      <c r="AF92" s="257">
        <v>0</v>
      </c>
      <c r="AG92" s="81">
        <v>2.4529948245959488E-2</v>
      </c>
      <c r="AH92" s="82">
        <v>2.6899256494793862E-2</v>
      </c>
      <c r="AI92" s="257">
        <v>0</v>
      </c>
      <c r="AJ92" s="257">
        <v>0</v>
      </c>
      <c r="AK92" s="111">
        <f t="shared" si="45"/>
        <v>0.20697371561747313</v>
      </c>
      <c r="AL92" s="110">
        <f t="shared" si="46"/>
        <v>9.2978480664067575</v>
      </c>
      <c r="AM92" s="110">
        <f t="shared" si="47"/>
        <v>9.50482178202423</v>
      </c>
      <c r="AN92" s="74"/>
      <c r="AO92" s="60" t="s">
        <v>341</v>
      </c>
      <c r="AP92" s="74">
        <f t="shared" si="50"/>
        <v>-9.2536063063550955</v>
      </c>
      <c r="AQ92" s="74">
        <f t="shared" si="51"/>
        <v>-1.4699489130489646E-2</v>
      </c>
      <c r="AR92" s="74">
        <f t="shared" si="52"/>
        <v>0.2686990473325091</v>
      </c>
      <c r="AS92" s="74">
        <f t="shared" si="53"/>
        <v>0.25603737497884232</v>
      </c>
      <c r="AT92" s="74">
        <f t="shared" si="54"/>
        <v>0</v>
      </c>
      <c r="AU92" s="286">
        <f t="shared" si="55"/>
        <v>1.3159019999999999</v>
      </c>
      <c r="AV92" s="74">
        <f t="shared" si="56"/>
        <v>1.3159019999999999</v>
      </c>
      <c r="AW92" t="str">
        <f t="shared" si="49"/>
        <v>Leakage</v>
      </c>
      <c r="AX92" s="179">
        <f t="shared" si="57"/>
        <v>6</v>
      </c>
    </row>
    <row r="93" spans="1:50" x14ac:dyDescent="0.2">
      <c r="A93" s="60" t="s">
        <v>313</v>
      </c>
      <c r="B93" s="107">
        <f t="shared" si="38"/>
        <v>0.25</v>
      </c>
      <c r="C93" s="297">
        <v>2007</v>
      </c>
      <c r="D93" s="103">
        <f>+LFM*VLOOKUP(+A93,'HUC11 data'!$E$6:$K$156,7,FALSE)</f>
        <v>0.58750000000000002</v>
      </c>
      <c r="E93" s="103">
        <f t="shared" si="39"/>
        <v>-0.24609331149101754</v>
      </c>
      <c r="F93" s="113" t="str">
        <f t="shared" si="40"/>
        <v>Net Gain</v>
      </c>
      <c r="G93" s="103">
        <f t="shared" si="41"/>
        <v>0.83359331149101756</v>
      </c>
      <c r="H93" s="104" t="str">
        <f t="shared" si="48"/>
        <v>Leakage</v>
      </c>
      <c r="I93" s="76">
        <v>0</v>
      </c>
      <c r="J93" s="76">
        <v>0</v>
      </c>
      <c r="K93" s="77">
        <v>2.4800673278599066E-3</v>
      </c>
      <c r="L93" s="78">
        <v>-6.6405825453755021E-2</v>
      </c>
      <c r="M93" s="79">
        <v>0</v>
      </c>
      <c r="N93" s="76">
        <v>0</v>
      </c>
      <c r="O93" s="76">
        <v>3.9126181936746003E-2</v>
      </c>
      <c r="P93" s="78">
        <v>0</v>
      </c>
      <c r="Q93" s="79">
        <v>8.8033909357678519E-2</v>
      </c>
      <c r="R93" s="76">
        <v>0</v>
      </c>
      <c r="S93" s="76">
        <v>0</v>
      </c>
      <c r="T93" s="112">
        <f t="shared" si="42"/>
        <v>-5.7533182313305606E-2</v>
      </c>
      <c r="U93" s="109">
        <f t="shared" si="43"/>
        <v>0.12716009129442452</v>
      </c>
      <c r="V93" s="108">
        <f>VLOOKUP(+A93,'HUC11 data'!$E$6:$L$156,8,FALSE)</f>
        <v>1.1757199999999999</v>
      </c>
      <c r="W93" s="108">
        <f t="shared" si="44"/>
        <v>1.2453469089811189</v>
      </c>
      <c r="X93" s="283">
        <v>297.47407890446698</v>
      </c>
      <c r="Y93" s="257">
        <v>0</v>
      </c>
      <c r="Z93" s="257">
        <v>1.4408216498206714</v>
      </c>
      <c r="AA93" s="257">
        <v>0</v>
      </c>
      <c r="AB93" s="80">
        <v>1.841798256988195E-3</v>
      </c>
      <c r="AC93" s="81">
        <v>1.0955330924150323E-2</v>
      </c>
      <c r="AD93" s="82">
        <v>0</v>
      </c>
      <c r="AE93" s="257">
        <v>3.5322256003264669E-3</v>
      </c>
      <c r="AF93" s="257">
        <v>3.9126191265154708E-3</v>
      </c>
      <c r="AG93" s="81">
        <v>2.1573203708824675E-2</v>
      </c>
      <c r="AH93" s="82">
        <v>8.8033930346598094E-3</v>
      </c>
      <c r="AI93" s="257">
        <v>0</v>
      </c>
      <c r="AJ93" s="257">
        <v>0</v>
      </c>
      <c r="AK93" s="111">
        <f t="shared" si="45"/>
        <v>3.7902558490289659E-2</v>
      </c>
      <c r="AL93" s="110">
        <f t="shared" si="46"/>
        <v>1.4535376619818468</v>
      </c>
      <c r="AM93" s="110">
        <f t="shared" si="47"/>
        <v>1.4914402204721364</v>
      </c>
      <c r="AN93" s="74"/>
      <c r="AO93" s="60" t="s">
        <v>313</v>
      </c>
      <c r="AP93" s="74">
        <f t="shared" si="50"/>
        <v>-1.4401833807497997</v>
      </c>
      <c r="AQ93" s="74">
        <f t="shared" si="51"/>
        <v>-7.7361156377905346E-2</v>
      </c>
      <c r="AR93" s="74">
        <f t="shared" si="52"/>
        <v>3.1681337209904063E-2</v>
      </c>
      <c r="AS93" s="74">
        <f t="shared" si="53"/>
        <v>5.7657312614194031E-2</v>
      </c>
      <c r="AT93" s="74">
        <f t="shared" si="54"/>
        <v>0</v>
      </c>
      <c r="AU93" s="286">
        <f t="shared" si="55"/>
        <v>1.1757199999999999</v>
      </c>
      <c r="AV93" s="74">
        <f t="shared" si="56"/>
        <v>1.1757199999999999</v>
      </c>
      <c r="AW93" t="str">
        <f t="shared" si="49"/>
        <v>Leakage</v>
      </c>
      <c r="AX93" s="179">
        <f t="shared" si="57"/>
        <v>6</v>
      </c>
    </row>
    <row r="94" spans="1:50" x14ac:dyDescent="0.2">
      <c r="A94" s="60" t="s">
        <v>315</v>
      </c>
      <c r="B94" s="107">
        <f t="shared" si="38"/>
        <v>0.25</v>
      </c>
      <c r="C94" s="297">
        <v>2003</v>
      </c>
      <c r="D94" s="103">
        <f>+LFM*VLOOKUP(+A94,'HUC11 data'!$E$6:$K$156,7,FALSE)</f>
        <v>1.3474999999999999</v>
      </c>
      <c r="E94" s="103">
        <f t="shared" si="39"/>
        <v>1.949280379756253</v>
      </c>
      <c r="F94" s="113">
        <f t="shared" si="40"/>
        <v>1.4465902632699466</v>
      </c>
      <c r="G94" s="103">
        <f t="shared" si="41"/>
        <v>0</v>
      </c>
      <c r="H94" s="104" t="str">
        <f t="shared" si="48"/>
        <v>Leakage</v>
      </c>
      <c r="I94" s="76">
        <v>3.6043908270840124</v>
      </c>
      <c r="J94" s="76">
        <v>0</v>
      </c>
      <c r="K94" s="77">
        <v>0.18889320119905176</v>
      </c>
      <c r="L94" s="78">
        <v>0</v>
      </c>
      <c r="M94" s="79">
        <v>0</v>
      </c>
      <c r="N94" s="76">
        <v>0</v>
      </c>
      <c r="O94" s="76">
        <v>0</v>
      </c>
      <c r="P94" s="78">
        <v>0</v>
      </c>
      <c r="Q94" s="79">
        <v>3.9126181936746003E-2</v>
      </c>
      <c r="R94" s="76">
        <v>0</v>
      </c>
      <c r="S94" s="76">
        <v>0</v>
      </c>
      <c r="T94" s="112">
        <f t="shared" si="42"/>
        <v>3.4139556254547578</v>
      </c>
      <c r="U94" s="109">
        <f t="shared" si="43"/>
        <v>3.9126181936746003E-2</v>
      </c>
      <c r="V94" s="108">
        <f>VLOOKUP(+A94,'HUC11 data'!$E$6:$L$156,8,FALSE)</f>
        <v>4.0814280000000007</v>
      </c>
      <c r="W94" s="108">
        <f t="shared" si="44"/>
        <v>7.5345098073915047</v>
      </c>
      <c r="X94" s="283">
        <v>0</v>
      </c>
      <c r="Y94" s="257">
        <v>0</v>
      </c>
      <c r="Z94" s="257">
        <v>5.4365829801108578</v>
      </c>
      <c r="AA94" s="257">
        <v>0</v>
      </c>
      <c r="AB94" s="80">
        <v>0.14027413454758944</v>
      </c>
      <c r="AC94" s="81">
        <v>0</v>
      </c>
      <c r="AD94" s="82">
        <v>0</v>
      </c>
      <c r="AE94" s="257">
        <v>0</v>
      </c>
      <c r="AF94" s="257">
        <v>0</v>
      </c>
      <c r="AG94" s="81">
        <v>4.4596938502895218E-3</v>
      </c>
      <c r="AH94" s="82">
        <v>3.9126191265154708E-3</v>
      </c>
      <c r="AI94" s="257">
        <v>0</v>
      </c>
      <c r="AJ94" s="257">
        <v>0</v>
      </c>
      <c r="AK94" s="111">
        <f t="shared" si="45"/>
        <v>0.14473382839787896</v>
      </c>
      <c r="AL94" s="110">
        <f t="shared" si="46"/>
        <v>5.4404955992373729</v>
      </c>
      <c r="AM94" s="110">
        <f t="shared" si="47"/>
        <v>5.5852294276352517</v>
      </c>
      <c r="AN94" s="74"/>
      <c r="AO94" s="60" t="s">
        <v>315</v>
      </c>
      <c r="AP94" s="74">
        <f t="shared" si="50"/>
        <v>-1.7835730863753834</v>
      </c>
      <c r="AQ94" s="74">
        <f t="shared" si="51"/>
        <v>0</v>
      </c>
      <c r="AR94" s="74">
        <f t="shared" si="52"/>
        <v>0</v>
      </c>
      <c r="AS94" s="74">
        <f t="shared" si="53"/>
        <v>3.0753868959941012E-2</v>
      </c>
      <c r="AT94" s="74">
        <f t="shared" si="54"/>
        <v>0</v>
      </c>
      <c r="AU94" s="286">
        <f t="shared" si="55"/>
        <v>4.0814280000000007</v>
      </c>
      <c r="AV94" s="74">
        <f t="shared" si="56"/>
        <v>4.0814280000000007</v>
      </c>
      <c r="AW94" t="str">
        <f t="shared" si="49"/>
        <v>Leakage</v>
      </c>
      <c r="AX94" s="179">
        <f t="shared" si="57"/>
        <v>6</v>
      </c>
    </row>
    <row r="95" spans="1:50" x14ac:dyDescent="0.2">
      <c r="A95" s="60" t="s">
        <v>317</v>
      </c>
      <c r="B95" s="107">
        <f t="shared" si="38"/>
        <v>0.25</v>
      </c>
      <c r="C95" s="297">
        <v>2005</v>
      </c>
      <c r="D95" s="103">
        <f>+LFM*VLOOKUP(+A95,'HUC11 data'!$E$6:$K$156,7,FALSE)</f>
        <v>2.1949999999999998</v>
      </c>
      <c r="E95" s="103">
        <f t="shared" si="39"/>
        <v>13.998071457194925</v>
      </c>
      <c r="F95" s="113">
        <f t="shared" si="40"/>
        <v>6.3772535112505357</v>
      </c>
      <c r="G95" s="103">
        <f t="shared" si="41"/>
        <v>0</v>
      </c>
      <c r="H95" s="104" t="str">
        <f t="shared" si="48"/>
        <v>Potable</v>
      </c>
      <c r="I95" s="76">
        <v>11.194109335941743</v>
      </c>
      <c r="J95" s="76">
        <v>0</v>
      </c>
      <c r="K95" s="77">
        <v>0.12593755952527863</v>
      </c>
      <c r="L95" s="78">
        <v>0</v>
      </c>
      <c r="M95" s="79">
        <v>0.60645582001956311</v>
      </c>
      <c r="N95" s="76">
        <v>0</v>
      </c>
      <c r="O95" s="76">
        <v>3.2605151613955004E-2</v>
      </c>
      <c r="P95" s="78">
        <v>0.16873470274970109</v>
      </c>
      <c r="Q95" s="79">
        <v>3.8800130420606455E-2</v>
      </c>
      <c r="R95" s="76">
        <v>0</v>
      </c>
      <c r="S95" s="76">
        <v>0</v>
      </c>
      <c r="T95" s="112">
        <f t="shared" si="42"/>
        <v>10.33990343839505</v>
      </c>
      <c r="U95" s="109">
        <f t="shared" si="43"/>
        <v>0.67786110205412464</v>
      </c>
      <c r="V95" s="108">
        <f>VLOOKUP(+A95,'HUC11 data'!$E$6:$L$156,8,FALSE)</f>
        <v>3.6673419999999997</v>
      </c>
      <c r="W95" s="108">
        <f t="shared" si="44"/>
        <v>14.685106540449175</v>
      </c>
      <c r="X95" s="283">
        <v>2.9523964786436254</v>
      </c>
      <c r="Y95" s="257">
        <v>0</v>
      </c>
      <c r="Z95" s="257">
        <v>0</v>
      </c>
      <c r="AA95" s="257">
        <v>0</v>
      </c>
      <c r="AB95" s="80">
        <v>9.3522106990628198E-2</v>
      </c>
      <c r="AC95" s="81">
        <v>7.8252363743930775E-4</v>
      </c>
      <c r="AD95" s="82">
        <v>0.54581023711391718</v>
      </c>
      <c r="AE95" s="257">
        <v>0</v>
      </c>
      <c r="AF95" s="257">
        <v>3.2605159387628924E-3</v>
      </c>
      <c r="AG95" s="81">
        <v>3.9779685606374494E-2</v>
      </c>
      <c r="AH95" s="82">
        <v>3.8800139671278417E-3</v>
      </c>
      <c r="AI95" s="257">
        <v>0</v>
      </c>
      <c r="AJ95" s="257">
        <v>0</v>
      </c>
      <c r="AK95" s="111">
        <f t="shared" si="45"/>
        <v>0.134084316234442</v>
      </c>
      <c r="AL95" s="110">
        <f t="shared" si="46"/>
        <v>0.55295076701980794</v>
      </c>
      <c r="AM95" s="110">
        <f t="shared" si="47"/>
        <v>0.68703508325425</v>
      </c>
      <c r="AN95" s="74"/>
      <c r="AO95" s="60" t="s">
        <v>317</v>
      </c>
      <c r="AP95" s="74">
        <f t="shared" si="50"/>
        <v>11.226524788476393</v>
      </c>
      <c r="AQ95" s="74">
        <f t="shared" si="51"/>
        <v>5.9863059268206564E-2</v>
      </c>
      <c r="AR95" s="74">
        <f t="shared" si="52"/>
        <v>2.9344635675192111E-2</v>
      </c>
      <c r="AS95" s="74">
        <f t="shared" si="53"/>
        <v>0.16387513359680522</v>
      </c>
      <c r="AT95" s="74">
        <f t="shared" si="54"/>
        <v>0</v>
      </c>
      <c r="AU95" s="286">
        <f t="shared" si="55"/>
        <v>3.6673419999999997</v>
      </c>
      <c r="AV95" s="74">
        <f t="shared" si="56"/>
        <v>11.226524788476393</v>
      </c>
      <c r="AW95" t="str">
        <f t="shared" si="49"/>
        <v>Potable</v>
      </c>
      <c r="AX95" s="179">
        <f t="shared" si="57"/>
        <v>1</v>
      </c>
    </row>
    <row r="96" spans="1:50" x14ac:dyDescent="0.2">
      <c r="A96" s="60" t="s">
        <v>319</v>
      </c>
      <c r="B96" s="107">
        <f t="shared" si="38"/>
        <v>0.25</v>
      </c>
      <c r="C96" s="297">
        <v>2009</v>
      </c>
      <c r="D96" s="103">
        <f>+LFM*VLOOKUP(+A96,'HUC11 data'!$E$6:$K$156,7,FALSE)</f>
        <v>6.7675000000000001</v>
      </c>
      <c r="E96" s="103">
        <f t="shared" si="39"/>
        <v>-11.046192495520707</v>
      </c>
      <c r="F96" s="113" t="str">
        <f t="shared" si="40"/>
        <v>Net Gain</v>
      </c>
      <c r="G96" s="103">
        <f t="shared" si="41"/>
        <v>17.813692495520705</v>
      </c>
      <c r="H96" s="104" t="str">
        <f t="shared" si="48"/>
        <v>Leakage</v>
      </c>
      <c r="I96" s="76">
        <v>2.3025975437452444</v>
      </c>
      <c r="J96" s="76">
        <v>0</v>
      </c>
      <c r="K96" s="77">
        <v>0.26674867732775887</v>
      </c>
      <c r="L96" s="78">
        <v>0</v>
      </c>
      <c r="M96" s="79">
        <v>0</v>
      </c>
      <c r="N96" s="76">
        <v>2.6823171394413647E-2</v>
      </c>
      <c r="O96" s="76">
        <v>0</v>
      </c>
      <c r="P96" s="78">
        <v>0.1154733181175959</v>
      </c>
      <c r="Q96" s="79">
        <v>0.57142680143462665</v>
      </c>
      <c r="R96" s="76">
        <v>0</v>
      </c>
      <c r="S96" s="76">
        <v>0</v>
      </c>
      <c r="T96" s="112">
        <f t="shared" si="42"/>
        <v>2.4404784395265118</v>
      </c>
      <c r="U96" s="109">
        <f t="shared" si="43"/>
        <v>0.57142680143462665</v>
      </c>
      <c r="V96" s="108">
        <f>VLOOKUP(+A96,'HUC11 data'!$E$6:$L$156,8,FALSE)</f>
        <v>4.0155360000000009</v>
      </c>
      <c r="W96" s="108">
        <f t="shared" si="44"/>
        <v>7.0274412409611395</v>
      </c>
      <c r="X96" s="283">
        <v>223.9854907075318</v>
      </c>
      <c r="Y96" s="257">
        <v>0</v>
      </c>
      <c r="Z96" s="257">
        <v>16.589501141180307</v>
      </c>
      <c r="AA96" s="257">
        <v>0</v>
      </c>
      <c r="AB96" s="80">
        <v>0.198089410954054</v>
      </c>
      <c r="AC96" s="81">
        <v>1.1915298154383533</v>
      </c>
      <c r="AD96" s="82">
        <v>0</v>
      </c>
      <c r="AE96" s="257">
        <v>2.764808832206307E-3</v>
      </c>
      <c r="AF96" s="257">
        <v>0</v>
      </c>
      <c r="AG96" s="81">
        <v>3.460586630958614E-2</v>
      </c>
      <c r="AH96" s="82">
        <v>5.714269376733927E-2</v>
      </c>
      <c r="AI96" s="257">
        <v>0</v>
      </c>
      <c r="AJ96" s="257">
        <v>0</v>
      </c>
      <c r="AK96" s="111">
        <f t="shared" si="45"/>
        <v>1.4269899015341998</v>
      </c>
      <c r="AL96" s="110">
        <f t="shared" si="46"/>
        <v>16.646643834947646</v>
      </c>
      <c r="AM96" s="110">
        <f t="shared" si="47"/>
        <v>18.073633736481845</v>
      </c>
      <c r="AN96" s="74"/>
      <c r="AO96" s="60" t="s">
        <v>319</v>
      </c>
      <c r="AP96" s="74">
        <f t="shared" si="50"/>
        <v>-14.218244331061358</v>
      </c>
      <c r="AQ96" s="74">
        <f t="shared" si="51"/>
        <v>-1.1915298154383533</v>
      </c>
      <c r="AR96" s="74">
        <f t="shared" si="52"/>
        <v>2.405836256220734E-2</v>
      </c>
      <c r="AS96" s="74">
        <f t="shared" si="53"/>
        <v>0.59515155947529708</v>
      </c>
      <c r="AT96" s="74">
        <f t="shared" si="54"/>
        <v>0</v>
      </c>
      <c r="AU96" s="286">
        <f t="shared" si="55"/>
        <v>4.0155360000000009</v>
      </c>
      <c r="AV96" s="74">
        <f t="shared" si="56"/>
        <v>4.0155360000000009</v>
      </c>
      <c r="AW96" t="str">
        <f t="shared" si="49"/>
        <v>Leakage</v>
      </c>
      <c r="AX96" s="179">
        <f t="shared" si="57"/>
        <v>6</v>
      </c>
    </row>
    <row r="97" spans="1:50" x14ac:dyDescent="0.2">
      <c r="A97" s="60" t="s">
        <v>321</v>
      </c>
      <c r="B97" s="107">
        <f t="shared" si="38"/>
        <v>0.25</v>
      </c>
      <c r="C97" s="297">
        <v>2008</v>
      </c>
      <c r="D97" s="103">
        <f>+LFM*VLOOKUP(+A97,'HUC11 data'!$E$6:$K$156,7,FALSE)</f>
        <v>3.6724999999999999</v>
      </c>
      <c r="E97" s="103">
        <f t="shared" si="39"/>
        <v>3.7794549671000408</v>
      </c>
      <c r="F97" s="113">
        <f t="shared" si="40"/>
        <v>1.0291232041116518</v>
      </c>
      <c r="G97" s="103">
        <f t="shared" si="41"/>
        <v>0</v>
      </c>
      <c r="H97" s="104" t="str">
        <f t="shared" si="48"/>
        <v>Leakage</v>
      </c>
      <c r="I97" s="76">
        <v>1.40239104445169</v>
      </c>
      <c r="J97" s="76">
        <v>0</v>
      </c>
      <c r="K97" s="77">
        <v>0.65831937335035084</v>
      </c>
      <c r="L97" s="78">
        <v>0.14859254428866425</v>
      </c>
      <c r="M97" s="79">
        <v>0.1924682099771764</v>
      </c>
      <c r="N97" s="76">
        <v>0.37865449407673074</v>
      </c>
      <c r="O97" s="76">
        <v>0.34404955983045316</v>
      </c>
      <c r="P97" s="78">
        <v>9.7815454841865025E-3</v>
      </c>
      <c r="Q97" s="79">
        <v>8.8751222693185514E-2</v>
      </c>
      <c r="R97" s="76">
        <v>0</v>
      </c>
      <c r="S97" s="76">
        <v>0</v>
      </c>
      <c r="T97" s="112">
        <f t="shared" si="42"/>
        <v>2.3379651014864602</v>
      </c>
      <c r="U97" s="109">
        <f t="shared" si="43"/>
        <v>0.62526899250081502</v>
      </c>
      <c r="V97" s="108">
        <f>VLOOKUP(+A97,'HUC11 data'!$E$6:$L$156,8,FALSE)</f>
        <v>1.8540199999999993</v>
      </c>
      <c r="W97" s="108">
        <f t="shared" si="44"/>
        <v>4.817254093987275</v>
      </c>
      <c r="X97" s="283">
        <v>0</v>
      </c>
      <c r="Y97" s="257">
        <v>0</v>
      </c>
      <c r="Z97" s="257">
        <v>0</v>
      </c>
      <c r="AA97" s="257">
        <v>0</v>
      </c>
      <c r="AB97" s="80">
        <v>0.48887292131501614</v>
      </c>
      <c r="AC97" s="81">
        <v>0.26614978804251521</v>
      </c>
      <c r="AD97" s="82">
        <v>0.17322138869265877</v>
      </c>
      <c r="AE97" s="257">
        <v>5.7156844406513502E-2</v>
      </c>
      <c r="AF97" s="257">
        <v>3.4404964185826038E-2</v>
      </c>
      <c r="AG97" s="81">
        <v>9.1180958593919115E-3</v>
      </c>
      <c r="AH97" s="82">
        <v>8.8751243853125925E-3</v>
      </c>
      <c r="AI97" s="257">
        <v>0</v>
      </c>
      <c r="AJ97" s="257">
        <v>0</v>
      </c>
      <c r="AK97" s="111">
        <f t="shared" si="45"/>
        <v>0.82129764962343677</v>
      </c>
      <c r="AL97" s="110">
        <f t="shared" si="46"/>
        <v>0.2165014772637974</v>
      </c>
      <c r="AM97" s="110">
        <f t="shared" si="47"/>
        <v>1.0377991268872342</v>
      </c>
      <c r="AN97" s="74"/>
      <c r="AO97" s="60" t="s">
        <v>321</v>
      </c>
      <c r="AP97" s="74">
        <f t="shared" si="50"/>
        <v>1.5718374964870248</v>
      </c>
      <c r="AQ97" s="74">
        <f t="shared" si="51"/>
        <v>-9.8310422469333358E-2</v>
      </c>
      <c r="AR97" s="74">
        <f t="shared" si="52"/>
        <v>0.63114224531484431</v>
      </c>
      <c r="AS97" s="74">
        <f t="shared" si="53"/>
        <v>8.0539547932667516E-2</v>
      </c>
      <c r="AT97" s="74">
        <f t="shared" si="54"/>
        <v>0</v>
      </c>
      <c r="AU97" s="286">
        <f t="shared" si="55"/>
        <v>1.8540199999999993</v>
      </c>
      <c r="AV97" s="74">
        <f t="shared" si="56"/>
        <v>1.8540199999999993</v>
      </c>
      <c r="AW97" t="str">
        <f t="shared" si="49"/>
        <v>Leakage</v>
      </c>
      <c r="AX97" s="179">
        <f t="shared" si="57"/>
        <v>6</v>
      </c>
    </row>
    <row r="98" spans="1:50" x14ac:dyDescent="0.2">
      <c r="A98" s="60" t="s">
        <v>323</v>
      </c>
      <c r="B98" s="107">
        <f t="shared" si="38"/>
        <v>0.25</v>
      </c>
      <c r="C98" s="297">
        <v>2002</v>
      </c>
      <c r="D98" s="103">
        <f>+LFM*VLOOKUP(+A98,'HUC11 data'!$E$6:$K$156,7,FALSE)</f>
        <v>2.8925000000000001</v>
      </c>
      <c r="E98" s="103">
        <f t="shared" si="39"/>
        <v>2.5871696293052686</v>
      </c>
      <c r="F98" s="113">
        <f t="shared" si="40"/>
        <v>0.89444066700268576</v>
      </c>
      <c r="G98" s="103">
        <f t="shared" si="41"/>
        <v>0.30533037069473146</v>
      </c>
      <c r="H98" s="104" t="str">
        <f t="shared" si="48"/>
        <v>Ag Irr</v>
      </c>
      <c r="I98" s="76">
        <v>1.1512661667210087</v>
      </c>
      <c r="J98" s="76">
        <v>0</v>
      </c>
      <c r="K98" s="77">
        <v>0.23577003400013563</v>
      </c>
      <c r="L98" s="78">
        <v>0.32854037604608194</v>
      </c>
      <c r="M98" s="79">
        <v>0.5634170198891425</v>
      </c>
      <c r="N98" s="76">
        <v>1.6231931311813932</v>
      </c>
      <c r="O98" s="76">
        <v>1.7828496902510595</v>
      </c>
      <c r="P98" s="78">
        <v>0</v>
      </c>
      <c r="Q98" s="79">
        <v>0</v>
      </c>
      <c r="R98" s="76">
        <v>0</v>
      </c>
      <c r="S98" s="76">
        <v>0</v>
      </c>
      <c r="T98" s="112">
        <f t="shared" si="42"/>
        <v>3.0048927371537575</v>
      </c>
      <c r="U98" s="109">
        <f t="shared" si="43"/>
        <v>2.3462667101402022</v>
      </c>
      <c r="V98" s="108">
        <f>VLOOKUP(+A98,'HUC11 data'!$E$6:$L$156,8,FALSE)</f>
        <v>1.2745580000000003</v>
      </c>
      <c r="W98" s="108">
        <f t="shared" si="44"/>
        <v>6.6257174472939599</v>
      </c>
      <c r="X98" s="283">
        <v>44.011737854581028</v>
      </c>
      <c r="Y98" s="257">
        <v>0</v>
      </c>
      <c r="Z98" s="257">
        <v>0.45386371046625362</v>
      </c>
      <c r="AA98" s="257">
        <v>0</v>
      </c>
      <c r="AB98" s="80">
        <v>0.17508507196381831</v>
      </c>
      <c r="AC98" s="81">
        <v>2.5712455125344813</v>
      </c>
      <c r="AD98" s="82">
        <v>0.49580697901364762</v>
      </c>
      <c r="AE98" s="257">
        <v>0.1623193518180793</v>
      </c>
      <c r="AF98" s="257">
        <v>0.17828501153155493</v>
      </c>
      <c r="AG98" s="81">
        <v>1.9421806608564296E-3</v>
      </c>
      <c r="AH98" s="82">
        <v>0</v>
      </c>
      <c r="AI98" s="257">
        <v>0</v>
      </c>
      <c r="AJ98" s="257">
        <v>0</v>
      </c>
      <c r="AK98" s="111">
        <f t="shared" si="45"/>
        <v>2.9105921169772353</v>
      </c>
      <c r="AL98" s="110">
        <f t="shared" si="46"/>
        <v>1.127955701011456</v>
      </c>
      <c r="AM98" s="110">
        <f t="shared" si="47"/>
        <v>4.0385478179886913</v>
      </c>
      <c r="AN98" s="74"/>
      <c r="AO98" s="60" t="s">
        <v>323</v>
      </c>
      <c r="AP98" s="74">
        <f t="shared" si="50"/>
        <v>0.7580874182910724</v>
      </c>
      <c r="AQ98" s="74">
        <f t="shared" si="51"/>
        <v>-2.175095095612904</v>
      </c>
      <c r="AR98" s="74">
        <f t="shared" si="52"/>
        <v>3.0654384580828187</v>
      </c>
      <c r="AS98" s="74">
        <f t="shared" si="53"/>
        <v>-1.9421806608564296E-3</v>
      </c>
      <c r="AT98" s="74">
        <f t="shared" si="54"/>
        <v>0</v>
      </c>
      <c r="AU98" s="286">
        <f t="shared" si="55"/>
        <v>1.2745580000000003</v>
      </c>
      <c r="AV98" s="74">
        <f t="shared" si="56"/>
        <v>3.0654384580828187</v>
      </c>
      <c r="AW98" t="str">
        <f t="shared" si="49"/>
        <v>Ag Irr</v>
      </c>
      <c r="AX98" s="179">
        <f t="shared" si="57"/>
        <v>3</v>
      </c>
    </row>
    <row r="99" spans="1:50" x14ac:dyDescent="0.2">
      <c r="A99" s="60" t="s">
        <v>325</v>
      </c>
      <c r="B99" s="107">
        <f t="shared" si="38"/>
        <v>0.25</v>
      </c>
      <c r="C99" s="297">
        <v>2001</v>
      </c>
      <c r="D99" s="103">
        <f>+LFM*VLOOKUP(+A99,'HUC11 data'!$E$6:$K$156,7,FALSE)</f>
        <v>2.81</v>
      </c>
      <c r="E99" s="103">
        <f t="shared" si="39"/>
        <v>2.5963563452247103</v>
      </c>
      <c r="F99" s="113">
        <f t="shared" si="40"/>
        <v>0.92397022961733455</v>
      </c>
      <c r="G99" s="103">
        <f t="shared" si="41"/>
        <v>0.21364365477528979</v>
      </c>
      <c r="H99" s="104" t="str">
        <f t="shared" si="48"/>
        <v>Ag Irr</v>
      </c>
      <c r="I99" s="76">
        <v>0.88653407238343651</v>
      </c>
      <c r="J99" s="76">
        <v>0</v>
      </c>
      <c r="K99" s="77">
        <v>0.79204622759519461</v>
      </c>
      <c r="L99" s="78">
        <v>0</v>
      </c>
      <c r="M99" s="79">
        <v>0</v>
      </c>
      <c r="N99" s="76">
        <v>0.72655146179763064</v>
      </c>
      <c r="O99" s="76">
        <v>0.86367786110205413</v>
      </c>
      <c r="P99" s="78">
        <v>2.5105966742745352E-2</v>
      </c>
      <c r="Q99" s="79">
        <v>0</v>
      </c>
      <c r="R99" s="76">
        <v>0</v>
      </c>
      <c r="S99" s="76">
        <v>0</v>
      </c>
      <c r="T99" s="112">
        <f t="shared" si="42"/>
        <v>2.1872139556671062</v>
      </c>
      <c r="U99" s="109">
        <f t="shared" si="43"/>
        <v>0.86367786110205413</v>
      </c>
      <c r="V99" s="108">
        <f>VLOOKUP(+A99,'HUC11 data'!$E$6:$L$156,8,FALSE)</f>
        <v>1.3779180000000002</v>
      </c>
      <c r="W99" s="108">
        <f t="shared" si="44"/>
        <v>4.4288098167691601</v>
      </c>
      <c r="X99" s="283">
        <v>0</v>
      </c>
      <c r="Y99" s="257">
        <v>0</v>
      </c>
      <c r="Z99" s="257">
        <v>1.0240001086729702</v>
      </c>
      <c r="AA99" s="257">
        <v>0</v>
      </c>
      <c r="AB99" s="80">
        <v>0.58818051944666938</v>
      </c>
      <c r="AC99" s="81">
        <v>2.3069231577906683E-2</v>
      </c>
      <c r="AD99" s="82">
        <v>0</v>
      </c>
      <c r="AE99" s="257">
        <v>0.10832520787216585</v>
      </c>
      <c r="AF99" s="257">
        <v>8.6367806701890246E-2</v>
      </c>
      <c r="AG99" s="81">
        <v>2.5105972728474272E-3</v>
      </c>
      <c r="AH99" s="82">
        <v>0</v>
      </c>
      <c r="AI99" s="257">
        <v>0</v>
      </c>
      <c r="AJ99" s="257">
        <v>0</v>
      </c>
      <c r="AK99" s="111">
        <f t="shared" si="45"/>
        <v>0.72208555616958925</v>
      </c>
      <c r="AL99" s="110">
        <f t="shared" si="46"/>
        <v>1.1103679153748605</v>
      </c>
      <c r="AM99" s="110">
        <f t="shared" si="47"/>
        <v>1.8324534715444498</v>
      </c>
      <c r="AN99" s="74"/>
      <c r="AO99" s="60" t="s">
        <v>325</v>
      </c>
      <c r="AP99" s="74">
        <f t="shared" si="50"/>
        <v>6.6399671858991427E-2</v>
      </c>
      <c r="AQ99" s="74">
        <f t="shared" si="51"/>
        <v>-2.3069231577906683E-2</v>
      </c>
      <c r="AR99" s="74">
        <f t="shared" si="52"/>
        <v>1.3955363083256285</v>
      </c>
      <c r="AS99" s="74">
        <f t="shared" si="53"/>
        <v>2.2595369469897923E-2</v>
      </c>
      <c r="AT99" s="74">
        <f t="shared" si="54"/>
        <v>0</v>
      </c>
      <c r="AU99" s="286">
        <f t="shared" si="55"/>
        <v>1.3779180000000002</v>
      </c>
      <c r="AV99" s="74">
        <f t="shared" si="56"/>
        <v>1.3955363083256285</v>
      </c>
      <c r="AW99" t="str">
        <f t="shared" si="49"/>
        <v>Ag Irr</v>
      </c>
      <c r="AX99" s="179">
        <f t="shared" si="57"/>
        <v>3</v>
      </c>
    </row>
    <row r="100" spans="1:50" x14ac:dyDescent="0.2">
      <c r="A100" s="60" t="s">
        <v>327</v>
      </c>
      <c r="B100" s="107">
        <f t="shared" si="38"/>
        <v>0.25</v>
      </c>
      <c r="C100" s="297">
        <v>2006</v>
      </c>
      <c r="D100" s="103">
        <f>+LFM*VLOOKUP(+A100,'HUC11 data'!$E$6:$K$156,7,FALSE)</f>
        <v>2.3424999999999998</v>
      </c>
      <c r="E100" s="103">
        <f t="shared" si="39"/>
        <v>5.1502628241797348</v>
      </c>
      <c r="F100" s="113">
        <f t="shared" si="40"/>
        <v>2.1986180679529288</v>
      </c>
      <c r="G100" s="103">
        <f t="shared" si="41"/>
        <v>0</v>
      </c>
      <c r="H100" s="104" t="str">
        <f t="shared" si="48"/>
        <v>Ag Irr</v>
      </c>
      <c r="I100" s="76">
        <v>0</v>
      </c>
      <c r="J100" s="76">
        <v>0</v>
      </c>
      <c r="K100" s="77">
        <v>0.63731407899755288</v>
      </c>
      <c r="L100" s="78">
        <v>0</v>
      </c>
      <c r="M100" s="79">
        <v>0</v>
      </c>
      <c r="N100" s="76">
        <v>1.3038800130420607</v>
      </c>
      <c r="O100" s="76">
        <v>3.4567981741115097</v>
      </c>
      <c r="P100" s="78">
        <v>0</v>
      </c>
      <c r="Q100" s="79">
        <v>4.9559830453211606E-2</v>
      </c>
      <c r="R100" s="76">
        <v>0</v>
      </c>
      <c r="S100" s="76">
        <v>0</v>
      </c>
      <c r="T100" s="112">
        <f t="shared" si="42"/>
        <v>1.7470746828356523</v>
      </c>
      <c r="U100" s="109">
        <f t="shared" si="43"/>
        <v>3.5063580045647211</v>
      </c>
      <c r="V100" s="108">
        <f>VLOOKUP(+A100,'HUC11 data'!$E$6:$L$156,8,FALSE)</f>
        <v>0.8921260000000002</v>
      </c>
      <c r="W100" s="108">
        <f t="shared" si="44"/>
        <v>6.1455586874003734</v>
      </c>
      <c r="X100" s="283">
        <v>26.740789044669057</v>
      </c>
      <c r="Y100" s="257">
        <v>9.7032931203130078E-4</v>
      </c>
      <c r="Z100" s="257">
        <v>0</v>
      </c>
      <c r="AA100" s="257">
        <v>0</v>
      </c>
      <c r="AB100" s="80">
        <v>0.47328737157604434</v>
      </c>
      <c r="AC100" s="81">
        <v>4.4016954605961061E-3</v>
      </c>
      <c r="AD100" s="82">
        <v>0</v>
      </c>
      <c r="AE100" s="257">
        <v>0.16515600068480304</v>
      </c>
      <c r="AF100" s="257">
        <v>0.34567989982764197</v>
      </c>
      <c r="AG100" s="81">
        <v>9.1403130149986416E-5</v>
      </c>
      <c r="AH100" s="82">
        <v>4.955984226919596E-3</v>
      </c>
      <c r="AI100" s="257">
        <v>7.5317900245240967E-4</v>
      </c>
      <c r="AJ100" s="257">
        <v>0</v>
      </c>
      <c r="AK100" s="111">
        <f t="shared" si="45"/>
        <v>0.6446599791660772</v>
      </c>
      <c r="AL100" s="110">
        <f t="shared" si="46"/>
        <v>0.35063588405456159</v>
      </c>
      <c r="AM100" s="110">
        <f t="shared" si="47"/>
        <v>0.99529586322063879</v>
      </c>
      <c r="AN100" s="74"/>
      <c r="AO100" s="60" t="s">
        <v>327</v>
      </c>
      <c r="AP100" s="74">
        <f t="shared" si="50"/>
        <v>0.16305637810947726</v>
      </c>
      <c r="AQ100" s="74">
        <f t="shared" si="51"/>
        <v>-4.4016954605961061E-3</v>
      </c>
      <c r="AR100" s="74">
        <f t="shared" si="52"/>
        <v>4.2498422866411252</v>
      </c>
      <c r="AS100" s="74">
        <f t="shared" si="53"/>
        <v>4.4512443096142024E-2</v>
      </c>
      <c r="AT100" s="74">
        <f t="shared" si="54"/>
        <v>-7.5317900245240967E-4</v>
      </c>
      <c r="AU100" s="286">
        <f t="shared" si="55"/>
        <v>0.8921260000000002</v>
      </c>
      <c r="AV100" s="74">
        <f t="shared" si="56"/>
        <v>4.2498422866411252</v>
      </c>
      <c r="AW100" t="str">
        <f t="shared" si="49"/>
        <v>Ag Irr</v>
      </c>
      <c r="AX100" s="179">
        <f t="shared" si="57"/>
        <v>3</v>
      </c>
    </row>
    <row r="101" spans="1:50" x14ac:dyDescent="0.2">
      <c r="A101" s="60" t="s">
        <v>275</v>
      </c>
      <c r="B101" s="107">
        <f t="shared" si="38"/>
        <v>0.25</v>
      </c>
      <c r="C101" s="297">
        <v>2000</v>
      </c>
      <c r="D101" s="103">
        <f>+LFM*VLOOKUP(+A101,'HUC11 data'!$E$6:$K$156,7,FALSE)</f>
        <v>2.5000000000000001E-5</v>
      </c>
      <c r="E101" s="103">
        <f t="shared" si="39"/>
        <v>0</v>
      </c>
      <c r="F101" s="113" t="str">
        <f t="shared" si="40"/>
        <v>Net Gain</v>
      </c>
      <c r="G101" s="103">
        <f t="shared" si="41"/>
        <v>2.5000000000000001E-5</v>
      </c>
      <c r="H101" s="104" t="str">
        <f t="shared" si="48"/>
        <v>Potable</v>
      </c>
      <c r="I101" s="76">
        <v>0</v>
      </c>
      <c r="J101" s="76">
        <v>0</v>
      </c>
      <c r="K101" s="77">
        <v>0</v>
      </c>
      <c r="L101" s="78">
        <v>0</v>
      </c>
      <c r="M101" s="79">
        <v>0</v>
      </c>
      <c r="N101" s="76">
        <v>0</v>
      </c>
      <c r="O101" s="76">
        <v>0</v>
      </c>
      <c r="P101" s="78">
        <v>0</v>
      </c>
      <c r="Q101" s="79">
        <v>0</v>
      </c>
      <c r="R101" s="76">
        <v>0</v>
      </c>
      <c r="S101" s="76">
        <v>0</v>
      </c>
      <c r="T101" s="112">
        <f t="shared" si="42"/>
        <v>0</v>
      </c>
      <c r="U101" s="109">
        <f t="shared" si="43"/>
        <v>0</v>
      </c>
      <c r="V101" s="108">
        <f>VLOOKUP(+A101,'HUC11 data'!$E$6:$L$156,8,FALSE)</f>
        <v>0</v>
      </c>
      <c r="W101" s="108">
        <f t="shared" si="44"/>
        <v>0</v>
      </c>
      <c r="X101" s="283">
        <v>0</v>
      </c>
      <c r="Y101" s="257">
        <v>0</v>
      </c>
      <c r="Z101" s="257">
        <v>0</v>
      </c>
      <c r="AA101" s="257">
        <v>0</v>
      </c>
      <c r="AB101" s="80">
        <v>0</v>
      </c>
      <c r="AC101" s="81">
        <v>0</v>
      </c>
      <c r="AD101" s="82">
        <v>0</v>
      </c>
      <c r="AE101" s="257">
        <v>0</v>
      </c>
      <c r="AF101" s="257">
        <v>0</v>
      </c>
      <c r="AG101" s="81">
        <v>0</v>
      </c>
      <c r="AH101" s="82">
        <v>0</v>
      </c>
      <c r="AI101" s="257">
        <v>0</v>
      </c>
      <c r="AJ101" s="257">
        <v>0</v>
      </c>
      <c r="AK101" s="111">
        <f t="shared" si="45"/>
        <v>0</v>
      </c>
      <c r="AL101" s="110">
        <f t="shared" si="46"/>
        <v>0</v>
      </c>
      <c r="AM101" s="110">
        <f t="shared" si="47"/>
        <v>0</v>
      </c>
      <c r="AN101" s="74"/>
      <c r="AO101" s="60" t="s">
        <v>275</v>
      </c>
      <c r="AP101" s="74">
        <f t="shared" si="50"/>
        <v>0</v>
      </c>
      <c r="AQ101" s="74">
        <f t="shared" si="51"/>
        <v>0</v>
      </c>
      <c r="AR101" s="74">
        <f t="shared" si="52"/>
        <v>0</v>
      </c>
      <c r="AS101" s="74">
        <f t="shared" si="53"/>
        <v>0</v>
      </c>
      <c r="AT101" s="74">
        <f t="shared" si="54"/>
        <v>0</v>
      </c>
      <c r="AU101" s="286">
        <f t="shared" si="55"/>
        <v>0</v>
      </c>
      <c r="AV101" s="74">
        <f t="shared" si="56"/>
        <v>0</v>
      </c>
      <c r="AW101" t="str">
        <f t="shared" si="49"/>
        <v>Potable</v>
      </c>
      <c r="AX101" s="179">
        <f t="shared" si="57"/>
        <v>1</v>
      </c>
    </row>
    <row r="102" spans="1:50" x14ac:dyDescent="0.2">
      <c r="A102" s="60" t="s">
        <v>277</v>
      </c>
      <c r="B102" s="107">
        <f t="shared" ref="B102:B133" si="58">+LFM</f>
        <v>0.25</v>
      </c>
      <c r="C102" s="297">
        <v>2009</v>
      </c>
      <c r="D102" s="103">
        <f>+LFM*VLOOKUP(+A102,'HUC11 data'!$E$6:$K$156,7,FALSE)</f>
        <v>0.72499999999999998</v>
      </c>
      <c r="E102" s="103">
        <f t="shared" ref="E102:E133" si="59">+W102-AM102</f>
        <v>-1.5080945161858224</v>
      </c>
      <c r="F102" s="113" t="str">
        <f t="shared" ref="F102:F133" si="60">IF(E102&gt;0,+E102/D102,"Net Gain")</f>
        <v>Net Gain</v>
      </c>
      <c r="G102" s="103">
        <f t="shared" ref="G102:G133" si="61">MAX(0,D102-E102)</f>
        <v>2.2330945161858224</v>
      </c>
      <c r="H102" s="104" t="str">
        <f t="shared" si="48"/>
        <v>Leakage</v>
      </c>
      <c r="I102" s="76">
        <v>1.6173785458102379</v>
      </c>
      <c r="J102" s="76">
        <v>0</v>
      </c>
      <c r="K102" s="77">
        <v>7.5498491015016808E-2</v>
      </c>
      <c r="L102" s="78">
        <v>0</v>
      </c>
      <c r="M102" s="79">
        <v>0</v>
      </c>
      <c r="N102" s="76">
        <v>1.651994348440387E-2</v>
      </c>
      <c r="O102" s="76">
        <v>0</v>
      </c>
      <c r="P102" s="78">
        <v>0</v>
      </c>
      <c r="Q102" s="79">
        <v>0</v>
      </c>
      <c r="R102" s="76">
        <v>1.1945875448320833</v>
      </c>
      <c r="S102" s="76">
        <v>0</v>
      </c>
      <c r="T102" s="112">
        <f t="shared" ref="T102:T133" si="62">SUM(I102,K102,L102,N102,P102,R102)*0.9</f>
        <v>2.6135860726275677</v>
      </c>
      <c r="U102" s="109">
        <f t="shared" ref="U102:U133" si="63">SUM(J102,M102,O102,Q102,S102)</f>
        <v>0</v>
      </c>
      <c r="V102" s="108">
        <f>VLOOKUP(+A102,'HUC11 data'!$E$6:$L$156,8,FALSE)</f>
        <v>1.0258480000000003</v>
      </c>
      <c r="W102" s="108">
        <f t="shared" ref="W102:W133" si="64">SUM(T102:V102)</f>
        <v>3.639434072627568</v>
      </c>
      <c r="X102" s="283">
        <v>0</v>
      </c>
      <c r="Y102" s="257">
        <v>0</v>
      </c>
      <c r="Z102" s="257">
        <v>1.2582980110857513</v>
      </c>
      <c r="AA102" s="257">
        <v>1.6508314313661558</v>
      </c>
      <c r="AB102" s="80">
        <v>5.6065572459691085E-2</v>
      </c>
      <c r="AC102" s="81">
        <v>0.99455115745423595</v>
      </c>
      <c r="AD102" s="82">
        <v>0</v>
      </c>
      <c r="AE102" s="257">
        <v>1.6519947423065322E-3</v>
      </c>
      <c r="AF102" s="257">
        <v>0</v>
      </c>
      <c r="AG102" s="81">
        <v>3.4887520544762953E-3</v>
      </c>
      <c r="AH102" s="82">
        <v>0</v>
      </c>
      <c r="AI102" s="257">
        <v>1.1826416696507738</v>
      </c>
      <c r="AJ102" s="257">
        <v>0</v>
      </c>
      <c r="AK102" s="111">
        <f t="shared" ref="AK102:AK133" si="65">SUM(Y102,AB102,AC102,AE102,AG102,AI102)</f>
        <v>2.2383991463614836</v>
      </c>
      <c r="AL102" s="110">
        <f t="shared" ref="AL102:AL133" si="66">SUM(Z102,AA102,AD102,AF102,AH102,AJ102)</f>
        <v>2.9091294424519072</v>
      </c>
      <c r="AM102" s="110">
        <f t="shared" ref="AM102:AM133" si="67">SUM(AK102:AL102)</f>
        <v>5.1475285888133904</v>
      </c>
      <c r="AN102" s="74"/>
      <c r="AO102" s="60" t="s">
        <v>277</v>
      </c>
      <c r="AP102" s="74">
        <f t="shared" si="50"/>
        <v>-1.2723179780863436</v>
      </c>
      <c r="AQ102" s="74">
        <f t="shared" si="51"/>
        <v>-0.99455115745423595</v>
      </c>
      <c r="AR102" s="74">
        <f t="shared" si="52"/>
        <v>1.4867948742097337E-2</v>
      </c>
      <c r="AS102" s="74">
        <f t="shared" si="53"/>
        <v>-3.4887520544762953E-3</v>
      </c>
      <c r="AT102" s="74">
        <f t="shared" si="54"/>
        <v>1.1945875181309518E-2</v>
      </c>
      <c r="AU102" s="286">
        <f t="shared" si="55"/>
        <v>1.0258480000000003</v>
      </c>
      <c r="AV102" s="74">
        <f t="shared" si="56"/>
        <v>1.0258480000000003</v>
      </c>
      <c r="AW102" t="str">
        <f t="shared" si="49"/>
        <v>Leakage</v>
      </c>
      <c r="AX102" s="179">
        <f t="shared" si="57"/>
        <v>6</v>
      </c>
    </row>
    <row r="103" spans="1:50" x14ac:dyDescent="0.2">
      <c r="A103" s="60" t="s">
        <v>279</v>
      </c>
      <c r="B103" s="107">
        <f t="shared" si="58"/>
        <v>0.25</v>
      </c>
      <c r="C103" s="297">
        <v>2002</v>
      </c>
      <c r="D103" s="103">
        <f>+LFM*VLOOKUP(+A103,'HUC11 data'!$E$6:$K$156,7,FALSE)</f>
        <v>1.8625</v>
      </c>
      <c r="E103" s="103">
        <f t="shared" si="59"/>
        <v>6.3786001047512908</v>
      </c>
      <c r="F103" s="113">
        <f t="shared" si="60"/>
        <v>3.4247517340946527</v>
      </c>
      <c r="G103" s="103">
        <f t="shared" si="61"/>
        <v>0</v>
      </c>
      <c r="H103" s="104" t="str">
        <f t="shared" si="48"/>
        <v>Ag Irr</v>
      </c>
      <c r="I103" s="76">
        <v>0.48983806108031736</v>
      </c>
      <c r="J103" s="76">
        <v>0</v>
      </c>
      <c r="K103" s="77">
        <v>0.47361447056195161</v>
      </c>
      <c r="L103" s="78">
        <v>0</v>
      </c>
      <c r="M103" s="79">
        <v>8.5226605803716975</v>
      </c>
      <c r="N103" s="76">
        <v>0.297815454841865</v>
      </c>
      <c r="O103" s="76">
        <v>5.5500163025758065</v>
      </c>
      <c r="P103" s="78">
        <v>0</v>
      </c>
      <c r="Q103" s="79">
        <v>7.0753179002282354E-2</v>
      </c>
      <c r="R103" s="76">
        <v>0</v>
      </c>
      <c r="S103" s="76">
        <v>0</v>
      </c>
      <c r="T103" s="112">
        <f t="shared" si="62"/>
        <v>1.1351411878357207</v>
      </c>
      <c r="U103" s="109">
        <f t="shared" si="63"/>
        <v>14.143430061949788</v>
      </c>
      <c r="V103" s="108">
        <f>VLOOKUP(+A103,'HUC11 data'!$E$6:$L$156,8,FALSE)</f>
        <v>0.93799200000000038</v>
      </c>
      <c r="W103" s="108">
        <f t="shared" si="64"/>
        <v>16.216563249785509</v>
      </c>
      <c r="X103" s="283">
        <v>0</v>
      </c>
      <c r="Y103" s="257">
        <v>0</v>
      </c>
      <c r="Z103" s="257">
        <v>0.26948157808933809</v>
      </c>
      <c r="AA103" s="257">
        <v>0</v>
      </c>
      <c r="AB103" s="80">
        <v>0.35171260051090336</v>
      </c>
      <c r="AC103" s="81">
        <v>0.91232474579955292</v>
      </c>
      <c r="AD103" s="82">
        <v>7.6703945096347734</v>
      </c>
      <c r="AE103" s="257">
        <v>6.4995124723299491E-2</v>
      </c>
      <c r="AF103" s="257">
        <v>0.55500176258028067</v>
      </c>
      <c r="AG103" s="81">
        <v>6.9775041089525898E-3</v>
      </c>
      <c r="AH103" s="82">
        <v>7.0753195871154761E-3</v>
      </c>
      <c r="AI103" s="257">
        <v>0</v>
      </c>
      <c r="AJ103" s="257">
        <v>0</v>
      </c>
      <c r="AK103" s="111">
        <f t="shared" si="65"/>
        <v>1.3360099751427084</v>
      </c>
      <c r="AL103" s="110">
        <f t="shared" si="66"/>
        <v>8.5019531698915092</v>
      </c>
      <c r="AM103" s="110">
        <f t="shared" si="67"/>
        <v>9.8379631450342178</v>
      </c>
      <c r="AN103" s="74"/>
      <c r="AO103" s="60" t="s">
        <v>279</v>
      </c>
      <c r="AP103" s="74">
        <f t="shared" si="50"/>
        <v>0.34225835304202745</v>
      </c>
      <c r="AQ103" s="74">
        <f t="shared" si="51"/>
        <v>-6.0058675062629518E-2</v>
      </c>
      <c r="AR103" s="74">
        <f t="shared" si="52"/>
        <v>5.2278348701140906</v>
      </c>
      <c r="AS103" s="74">
        <f t="shared" si="53"/>
        <v>5.6700355306214284E-2</v>
      </c>
      <c r="AT103" s="74">
        <f t="shared" si="54"/>
        <v>0</v>
      </c>
      <c r="AU103" s="286">
        <f t="shared" si="55"/>
        <v>0.93799200000000038</v>
      </c>
      <c r="AV103" s="74">
        <f t="shared" si="56"/>
        <v>5.2278348701140906</v>
      </c>
      <c r="AW103" t="str">
        <f t="shared" si="49"/>
        <v>Ag Irr</v>
      </c>
      <c r="AX103" s="179">
        <f t="shared" si="57"/>
        <v>3</v>
      </c>
    </row>
    <row r="104" spans="1:50" x14ac:dyDescent="0.2">
      <c r="A104" s="60" t="s">
        <v>281</v>
      </c>
      <c r="B104" s="107">
        <f t="shared" si="58"/>
        <v>0.25</v>
      </c>
      <c r="C104" s="297">
        <v>2007</v>
      </c>
      <c r="D104" s="103">
        <f>+LFM*VLOOKUP(+A104,'HUC11 data'!$E$6:$K$156,7,FALSE)</f>
        <v>2.44</v>
      </c>
      <c r="E104" s="103">
        <f t="shared" si="59"/>
        <v>2.9262160476198522</v>
      </c>
      <c r="F104" s="113">
        <f t="shared" si="60"/>
        <v>1.1992688719753493</v>
      </c>
      <c r="G104" s="103">
        <f t="shared" si="61"/>
        <v>0</v>
      </c>
      <c r="H104" s="104" t="str">
        <f t="shared" si="48"/>
        <v>Ag Irr</v>
      </c>
      <c r="I104" s="76">
        <v>9.9119660906423226E-2</v>
      </c>
      <c r="J104" s="76">
        <v>0</v>
      </c>
      <c r="K104" s="77">
        <v>0.27229610058853165</v>
      </c>
      <c r="L104" s="78">
        <v>0</v>
      </c>
      <c r="M104" s="79">
        <v>0</v>
      </c>
      <c r="N104" s="76">
        <v>0.35039669601130308</v>
      </c>
      <c r="O104" s="76">
        <v>2.2885555917835014</v>
      </c>
      <c r="P104" s="78">
        <v>0</v>
      </c>
      <c r="Q104" s="79">
        <v>3.2605151613955006E-3</v>
      </c>
      <c r="R104" s="76">
        <v>0</v>
      </c>
      <c r="S104" s="76">
        <v>0</v>
      </c>
      <c r="T104" s="112">
        <f t="shared" si="62"/>
        <v>0.6496312117556321</v>
      </c>
      <c r="U104" s="109">
        <f t="shared" si="63"/>
        <v>2.2918161069448968</v>
      </c>
      <c r="V104" s="108">
        <f>VLOOKUP(+A104,'HUC11 data'!$E$6:$L$156,8,FALSE)</f>
        <v>0.89858600000000011</v>
      </c>
      <c r="W104" s="108">
        <f t="shared" si="64"/>
        <v>3.8400333187005291</v>
      </c>
      <c r="X104" s="283">
        <v>0</v>
      </c>
      <c r="Y104" s="257">
        <v>0</v>
      </c>
      <c r="Z104" s="257">
        <v>0</v>
      </c>
      <c r="AA104" s="257">
        <v>0.44603847407890446</v>
      </c>
      <c r="AB104" s="80">
        <v>0.20220977404784721</v>
      </c>
      <c r="AC104" s="81">
        <v>1.0759700014790481E-3</v>
      </c>
      <c r="AD104" s="82">
        <v>0</v>
      </c>
      <c r="AE104" s="257">
        <v>3.5039677955238546E-2</v>
      </c>
      <c r="AF104" s="257">
        <v>0.22885561374176744</v>
      </c>
      <c r="AG104" s="81">
        <v>2.7170966156357435E-4</v>
      </c>
      <c r="AH104" s="82">
        <v>3.2605159387628924E-4</v>
      </c>
      <c r="AI104" s="257">
        <v>0</v>
      </c>
      <c r="AJ104" s="257">
        <v>0</v>
      </c>
      <c r="AK104" s="111">
        <f t="shared" si="65"/>
        <v>0.23859713166612836</v>
      </c>
      <c r="AL104" s="110">
        <f t="shared" si="66"/>
        <v>0.67522013941454828</v>
      </c>
      <c r="AM104" s="110">
        <f t="shared" si="67"/>
        <v>0.91381727108067667</v>
      </c>
      <c r="AN104" s="74"/>
      <c r="AO104" s="60" t="s">
        <v>281</v>
      </c>
      <c r="AP104" s="74">
        <f t="shared" si="50"/>
        <v>-0.27683248663179677</v>
      </c>
      <c r="AQ104" s="74">
        <f t="shared" si="51"/>
        <v>-1.0759700014790481E-3</v>
      </c>
      <c r="AR104" s="74">
        <f t="shared" si="52"/>
        <v>2.3750569960977987</v>
      </c>
      <c r="AS104" s="74">
        <f t="shared" si="53"/>
        <v>2.6627539059556372E-3</v>
      </c>
      <c r="AT104" s="74">
        <f t="shared" si="54"/>
        <v>0</v>
      </c>
      <c r="AU104" s="286">
        <f t="shared" si="55"/>
        <v>0.89858600000000011</v>
      </c>
      <c r="AV104" s="74">
        <f t="shared" si="56"/>
        <v>2.3750569960977987</v>
      </c>
      <c r="AW104" t="str">
        <f t="shared" si="49"/>
        <v>Ag Irr</v>
      </c>
      <c r="AX104" s="179">
        <f t="shared" si="57"/>
        <v>3</v>
      </c>
    </row>
    <row r="105" spans="1:50" x14ac:dyDescent="0.2">
      <c r="A105" s="60" t="s">
        <v>283</v>
      </c>
      <c r="B105" s="107">
        <f t="shared" si="58"/>
        <v>0.25</v>
      </c>
      <c r="C105" s="297">
        <v>2007</v>
      </c>
      <c r="D105" s="103">
        <f>+LFM*VLOOKUP(+A105,'HUC11 data'!$E$6:$K$156,7,FALSE)</f>
        <v>4.2149999999999999</v>
      </c>
      <c r="E105" s="103">
        <f t="shared" si="59"/>
        <v>2.3156034367623395</v>
      </c>
      <c r="F105" s="113">
        <f t="shared" si="60"/>
        <v>0.54937210836591688</v>
      </c>
      <c r="G105" s="103">
        <f t="shared" si="61"/>
        <v>1.8993965632376604</v>
      </c>
      <c r="H105" s="104" t="str">
        <f t="shared" si="48"/>
        <v>Ag Irr</v>
      </c>
      <c r="I105" s="76">
        <v>0</v>
      </c>
      <c r="J105" s="76">
        <v>0.91000978154548418</v>
      </c>
      <c r="K105" s="77">
        <v>0.67637209964496259</v>
      </c>
      <c r="L105" s="78">
        <v>3.5865666775350497E-2</v>
      </c>
      <c r="M105" s="79">
        <v>0</v>
      </c>
      <c r="N105" s="76">
        <v>1.3094228888164328</v>
      </c>
      <c r="O105" s="76">
        <v>0.13009455493968045</v>
      </c>
      <c r="P105" s="78">
        <v>0</v>
      </c>
      <c r="Q105" s="79">
        <v>8.8033909357678505E-2</v>
      </c>
      <c r="R105" s="76">
        <v>0</v>
      </c>
      <c r="S105" s="76">
        <v>0</v>
      </c>
      <c r="T105" s="112">
        <f t="shared" si="62"/>
        <v>1.8194945897130714</v>
      </c>
      <c r="U105" s="109">
        <f t="shared" si="63"/>
        <v>1.1281382458428431</v>
      </c>
      <c r="V105" s="108">
        <f>VLOOKUP(+A105,'HUC11 data'!$E$6:$L$156,8,FALSE)</f>
        <v>0.11886400000000119</v>
      </c>
      <c r="W105" s="108">
        <f t="shared" si="64"/>
        <v>3.0664968355559159</v>
      </c>
      <c r="X105" s="283">
        <v>0</v>
      </c>
      <c r="Y105" s="257">
        <v>0</v>
      </c>
      <c r="Z105" s="257">
        <v>0</v>
      </c>
      <c r="AA105" s="257">
        <v>7.8252363873492006E-3</v>
      </c>
      <c r="AB105" s="80">
        <v>0.5022790814632635</v>
      </c>
      <c r="AC105" s="81">
        <v>8.8033909211922126E-2</v>
      </c>
      <c r="AD105" s="82">
        <v>0</v>
      </c>
      <c r="AE105" s="257">
        <v>0.13094232010071774</v>
      </c>
      <c r="AF105" s="257">
        <v>1.3009458595663938E-2</v>
      </c>
      <c r="AG105" s="81">
        <v>0</v>
      </c>
      <c r="AH105" s="82">
        <v>8.8033930346598094E-3</v>
      </c>
      <c r="AI105" s="257">
        <v>0</v>
      </c>
      <c r="AJ105" s="257">
        <v>0</v>
      </c>
      <c r="AK105" s="111">
        <f t="shared" si="65"/>
        <v>0.72125531077590332</v>
      </c>
      <c r="AL105" s="110">
        <f t="shared" si="66"/>
        <v>2.9638088017672946E-2</v>
      </c>
      <c r="AM105" s="110">
        <f t="shared" si="67"/>
        <v>0.75089339879357631</v>
      </c>
      <c r="AN105" s="74"/>
      <c r="AO105" s="60" t="s">
        <v>283</v>
      </c>
      <c r="AP105" s="74">
        <f t="shared" si="50"/>
        <v>1.076277563339834</v>
      </c>
      <c r="AQ105" s="74">
        <f t="shared" si="51"/>
        <v>-5.216824243657163E-2</v>
      </c>
      <c r="AR105" s="74">
        <f t="shared" si="52"/>
        <v>1.2955656650597314</v>
      </c>
      <c r="AS105" s="74">
        <f t="shared" si="53"/>
        <v>7.9230516323018696E-2</v>
      </c>
      <c r="AT105" s="74">
        <f t="shared" si="54"/>
        <v>0</v>
      </c>
      <c r="AU105" s="286">
        <f t="shared" si="55"/>
        <v>0.11886400000000119</v>
      </c>
      <c r="AV105" s="74">
        <f t="shared" si="56"/>
        <v>1.2955656650597314</v>
      </c>
      <c r="AW105" t="str">
        <f t="shared" si="49"/>
        <v>Ag Irr</v>
      </c>
      <c r="AX105" s="179">
        <f t="shared" si="57"/>
        <v>3</v>
      </c>
    </row>
    <row r="106" spans="1:50" x14ac:dyDescent="0.2">
      <c r="A106" s="60" t="s">
        <v>285</v>
      </c>
      <c r="B106" s="107">
        <f t="shared" si="58"/>
        <v>0.25</v>
      </c>
      <c r="C106" s="297">
        <v>2006</v>
      </c>
      <c r="D106" s="103">
        <f>+LFM*VLOOKUP(+A106,'HUC11 data'!$E$6:$K$156,7,FALSE)</f>
        <v>3.915</v>
      </c>
      <c r="E106" s="103">
        <f t="shared" si="59"/>
        <v>1.7511679449256479</v>
      </c>
      <c r="F106" s="113">
        <f t="shared" si="60"/>
        <v>0.44729704851229829</v>
      </c>
      <c r="G106" s="103">
        <f t="shared" si="61"/>
        <v>2.1638320550743524</v>
      </c>
      <c r="H106" s="104" t="str">
        <f t="shared" si="48"/>
        <v>Ag Irr</v>
      </c>
      <c r="I106" s="76">
        <v>0</v>
      </c>
      <c r="J106" s="76">
        <v>0</v>
      </c>
      <c r="K106" s="77">
        <v>0.38695138643546773</v>
      </c>
      <c r="L106" s="78">
        <v>0</v>
      </c>
      <c r="M106" s="79">
        <v>0</v>
      </c>
      <c r="N106" s="76">
        <v>0.80397782849690236</v>
      </c>
      <c r="O106" s="76">
        <v>1.1287903488751223</v>
      </c>
      <c r="P106" s="78">
        <v>0</v>
      </c>
      <c r="Q106" s="79">
        <v>0</v>
      </c>
      <c r="R106" s="76">
        <v>0</v>
      </c>
      <c r="S106" s="76">
        <v>0</v>
      </c>
      <c r="T106" s="112">
        <f t="shared" si="62"/>
        <v>1.071836293439133</v>
      </c>
      <c r="U106" s="109">
        <f t="shared" si="63"/>
        <v>1.1287903488751223</v>
      </c>
      <c r="V106" s="108">
        <f>VLOOKUP(+A106,'HUC11 data'!$E$6:$L$156,8,FALSE)</f>
        <v>4.780400000000018E-2</v>
      </c>
      <c r="W106" s="108">
        <f t="shared" si="64"/>
        <v>2.2484306423142555</v>
      </c>
      <c r="X106" s="283">
        <v>0</v>
      </c>
      <c r="Y106" s="257">
        <v>0</v>
      </c>
      <c r="Z106" s="257">
        <v>0</v>
      </c>
      <c r="AA106" s="257">
        <v>1.662862732311705E-2</v>
      </c>
      <c r="AB106" s="80">
        <v>0.28735720624750388</v>
      </c>
      <c r="AC106" s="81">
        <v>0</v>
      </c>
      <c r="AD106" s="82">
        <v>0</v>
      </c>
      <c r="AE106" s="257">
        <v>8.0397802018015413E-2</v>
      </c>
      <c r="AF106" s="257">
        <v>0.11287906179997131</v>
      </c>
      <c r="AG106" s="81">
        <v>0</v>
      </c>
      <c r="AH106" s="82">
        <v>0</v>
      </c>
      <c r="AI106" s="257">
        <v>0</v>
      </c>
      <c r="AJ106" s="257">
        <v>0</v>
      </c>
      <c r="AK106" s="111">
        <f t="shared" si="65"/>
        <v>0.36775500826551932</v>
      </c>
      <c r="AL106" s="110">
        <f t="shared" si="66"/>
        <v>0.12950768912308835</v>
      </c>
      <c r="AM106" s="110">
        <f t="shared" si="67"/>
        <v>0.49726269738860768</v>
      </c>
      <c r="AN106" s="74"/>
      <c r="AO106" s="60" t="s">
        <v>285</v>
      </c>
      <c r="AP106" s="74">
        <f t="shared" si="50"/>
        <v>8.2965552864846803E-2</v>
      </c>
      <c r="AQ106" s="74">
        <f t="shared" si="51"/>
        <v>0</v>
      </c>
      <c r="AR106" s="74">
        <f t="shared" si="52"/>
        <v>1.739491313554038</v>
      </c>
      <c r="AS106" s="74">
        <f t="shared" si="53"/>
        <v>0</v>
      </c>
      <c r="AT106" s="74">
        <f t="shared" si="54"/>
        <v>0</v>
      </c>
      <c r="AU106" s="286">
        <f t="shared" si="55"/>
        <v>4.780400000000018E-2</v>
      </c>
      <c r="AV106" s="74">
        <f t="shared" si="56"/>
        <v>1.739491313554038</v>
      </c>
      <c r="AW106" t="str">
        <f t="shared" si="49"/>
        <v>Ag Irr</v>
      </c>
      <c r="AX106" s="179">
        <f t="shared" si="57"/>
        <v>3</v>
      </c>
    </row>
    <row r="107" spans="1:50" x14ac:dyDescent="0.2">
      <c r="A107" s="60" t="s">
        <v>287</v>
      </c>
      <c r="B107" s="107">
        <f t="shared" si="58"/>
        <v>0.25</v>
      </c>
      <c r="C107" s="297">
        <v>2007</v>
      </c>
      <c r="D107" s="103">
        <f>+LFM*VLOOKUP(+A107,'HUC11 data'!$E$6:$K$156,7,FALSE)</f>
        <v>1.7725</v>
      </c>
      <c r="E107" s="103">
        <f t="shared" si="59"/>
        <v>19.183408229472061</v>
      </c>
      <c r="F107" s="113">
        <f t="shared" si="60"/>
        <v>10.822797308587905</v>
      </c>
      <c r="G107" s="103">
        <f t="shared" si="61"/>
        <v>0</v>
      </c>
      <c r="H107" s="104" t="str">
        <f t="shared" si="48"/>
        <v>Ag Irr</v>
      </c>
      <c r="I107" s="76">
        <v>0.71380284751657408</v>
      </c>
      <c r="J107" s="76">
        <v>0</v>
      </c>
      <c r="K107" s="77">
        <v>0.92405696372481072</v>
      </c>
      <c r="L107" s="78">
        <v>3.0427127486142806</v>
      </c>
      <c r="M107" s="79">
        <v>0</v>
      </c>
      <c r="N107" s="76">
        <v>20.896964416911199</v>
      </c>
      <c r="O107" s="76">
        <v>1.8051842191066187</v>
      </c>
      <c r="P107" s="78">
        <v>6.2927942614933161E-2</v>
      </c>
      <c r="Q107" s="79">
        <v>0</v>
      </c>
      <c r="R107" s="76">
        <v>0</v>
      </c>
      <c r="S107" s="76">
        <v>0</v>
      </c>
      <c r="T107" s="112">
        <f t="shared" si="62"/>
        <v>23.07641842744362</v>
      </c>
      <c r="U107" s="109">
        <f t="shared" si="63"/>
        <v>1.8051842191066187</v>
      </c>
      <c r="V107" s="108">
        <f>VLOOKUP(+A107,'HUC11 data'!$E$6:$L$156,8,FALSE)</f>
        <v>0</v>
      </c>
      <c r="W107" s="108">
        <f t="shared" si="64"/>
        <v>24.881602646550238</v>
      </c>
      <c r="X107" s="283">
        <v>0</v>
      </c>
      <c r="Y107" s="257">
        <v>0</v>
      </c>
      <c r="Z107" s="257">
        <v>0</v>
      </c>
      <c r="AA107" s="257">
        <v>0</v>
      </c>
      <c r="AB107" s="80">
        <v>0.68324474723432305</v>
      </c>
      <c r="AC107" s="81">
        <v>2.738441469218857</v>
      </c>
      <c r="AD107" s="82">
        <v>0</v>
      </c>
      <c r="AE107" s="257">
        <v>2.0896969399135776</v>
      </c>
      <c r="AF107" s="257">
        <v>0.18051846494960749</v>
      </c>
      <c r="AG107" s="81">
        <v>6.2927957618123826E-3</v>
      </c>
      <c r="AH107" s="82">
        <v>0</v>
      </c>
      <c r="AI107" s="257">
        <v>0</v>
      </c>
      <c r="AJ107" s="257">
        <v>0</v>
      </c>
      <c r="AK107" s="111">
        <f t="shared" si="65"/>
        <v>5.5176759521285703</v>
      </c>
      <c r="AL107" s="110">
        <f t="shared" si="66"/>
        <v>0.18051846494960749</v>
      </c>
      <c r="AM107" s="110">
        <f t="shared" si="67"/>
        <v>5.6981944170781782</v>
      </c>
      <c r="AN107" s="74"/>
      <c r="AO107" s="60" t="s">
        <v>287</v>
      </c>
      <c r="AP107" s="74">
        <f t="shared" si="50"/>
        <v>0.95461506400706186</v>
      </c>
      <c r="AQ107" s="74">
        <f t="shared" si="51"/>
        <v>0.30427127939542364</v>
      </c>
      <c r="AR107" s="74">
        <f t="shared" si="52"/>
        <v>20.43193323115463</v>
      </c>
      <c r="AS107" s="74">
        <f t="shared" si="53"/>
        <v>5.663514685312078E-2</v>
      </c>
      <c r="AT107" s="74">
        <f t="shared" si="54"/>
        <v>0</v>
      </c>
      <c r="AU107" s="286">
        <f t="shared" si="55"/>
        <v>0</v>
      </c>
      <c r="AV107" s="74">
        <f t="shared" si="56"/>
        <v>20.43193323115463</v>
      </c>
      <c r="AW107" t="str">
        <f t="shared" si="49"/>
        <v>Ag Irr</v>
      </c>
      <c r="AX107" s="179">
        <f t="shared" si="57"/>
        <v>3</v>
      </c>
    </row>
    <row r="108" spans="1:50" x14ac:dyDescent="0.2">
      <c r="A108" s="60" t="s">
        <v>289</v>
      </c>
      <c r="B108" s="107">
        <f t="shared" si="58"/>
        <v>0.25</v>
      </c>
      <c r="C108" s="297">
        <v>2007</v>
      </c>
      <c r="D108" s="103">
        <f>+LFM*VLOOKUP(+A108,'HUC11 data'!$E$6:$K$156,7,FALSE)</f>
        <v>4.0149999999999997</v>
      </c>
      <c r="E108" s="103">
        <f t="shared" si="59"/>
        <v>8.1050643565349407</v>
      </c>
      <c r="F108" s="113">
        <f t="shared" si="60"/>
        <v>2.0186959792116914</v>
      </c>
      <c r="G108" s="103">
        <f t="shared" si="61"/>
        <v>0</v>
      </c>
      <c r="H108" s="104" t="str">
        <f t="shared" si="48"/>
        <v>Ag Irr</v>
      </c>
      <c r="I108" s="76">
        <v>3.7101402021519401</v>
      </c>
      <c r="J108" s="76">
        <v>0</v>
      </c>
      <c r="K108" s="77">
        <v>0.99410134575947728</v>
      </c>
      <c r="L108" s="78">
        <v>0.71187914357135096</v>
      </c>
      <c r="M108" s="79">
        <v>0</v>
      </c>
      <c r="N108" s="76">
        <v>8.7686294967938245</v>
      </c>
      <c r="O108" s="76">
        <v>0.41832409520704256</v>
      </c>
      <c r="P108" s="78">
        <v>0.43267036191718289</v>
      </c>
      <c r="Q108" s="79">
        <v>0</v>
      </c>
      <c r="R108" s="76">
        <v>0</v>
      </c>
      <c r="S108" s="76">
        <v>0</v>
      </c>
      <c r="T108" s="112">
        <f t="shared" si="62"/>
        <v>13.155678495174397</v>
      </c>
      <c r="U108" s="109">
        <f t="shared" si="63"/>
        <v>0.41832409520704256</v>
      </c>
      <c r="V108" s="108">
        <f>VLOOKUP(+A108,'HUC11 data'!$E$6:$L$156,8,FALSE)</f>
        <v>3.4883999999999984E-2</v>
      </c>
      <c r="W108" s="108">
        <f t="shared" si="64"/>
        <v>13.60888659038144</v>
      </c>
      <c r="X108" s="283">
        <v>0</v>
      </c>
      <c r="Y108" s="257">
        <v>0</v>
      </c>
      <c r="Z108" s="257">
        <v>3.1786110205412452</v>
      </c>
      <c r="AA108" s="257">
        <v>0</v>
      </c>
      <c r="AB108" s="80">
        <v>0.73685580330197065</v>
      </c>
      <c r="AC108" s="81">
        <v>0.626392785261771</v>
      </c>
      <c r="AD108" s="82">
        <v>0</v>
      </c>
      <c r="AE108" s="257">
        <v>0.87686315873980103</v>
      </c>
      <c r="AF108" s="257">
        <v>4.1832419494327908E-2</v>
      </c>
      <c r="AG108" s="81">
        <v>4.3267046507383576E-2</v>
      </c>
      <c r="AH108" s="82">
        <v>0</v>
      </c>
      <c r="AI108" s="257">
        <v>0</v>
      </c>
      <c r="AJ108" s="257">
        <v>0</v>
      </c>
      <c r="AK108" s="111">
        <f t="shared" si="65"/>
        <v>2.2833787938109262</v>
      </c>
      <c r="AL108" s="110">
        <f t="shared" si="66"/>
        <v>3.2204434400355733</v>
      </c>
      <c r="AM108" s="110">
        <f t="shared" si="67"/>
        <v>5.503822233846499</v>
      </c>
      <c r="AN108" s="74"/>
      <c r="AO108" s="60" t="s">
        <v>289</v>
      </c>
      <c r="AP108" s="74">
        <f t="shared" si="50"/>
        <v>0.78877472406820148</v>
      </c>
      <c r="AQ108" s="74">
        <f t="shared" si="51"/>
        <v>8.5486358309579957E-2</v>
      </c>
      <c r="AR108" s="74">
        <f t="shared" si="52"/>
        <v>8.2682580137667383</v>
      </c>
      <c r="AS108" s="74">
        <f t="shared" si="53"/>
        <v>0.38940331540979933</v>
      </c>
      <c r="AT108" s="74">
        <f t="shared" si="54"/>
        <v>0</v>
      </c>
      <c r="AU108" s="286">
        <f t="shared" si="55"/>
        <v>3.4883999999999984E-2</v>
      </c>
      <c r="AV108" s="74">
        <f t="shared" si="56"/>
        <v>8.2682580137667383</v>
      </c>
      <c r="AW108" t="str">
        <f t="shared" si="49"/>
        <v>Ag Irr</v>
      </c>
      <c r="AX108" s="179">
        <f t="shared" si="57"/>
        <v>3</v>
      </c>
    </row>
    <row r="109" spans="1:50" x14ac:dyDescent="0.2">
      <c r="A109" s="60" t="s">
        <v>291</v>
      </c>
      <c r="B109" s="107">
        <f t="shared" si="58"/>
        <v>0.25</v>
      </c>
      <c r="C109" s="297">
        <v>2008</v>
      </c>
      <c r="D109" s="103">
        <f>+LFM*VLOOKUP(+A109,'HUC11 data'!$E$6:$K$156,7,FALSE)</f>
        <v>1.7150000000000001</v>
      </c>
      <c r="E109" s="103">
        <f t="shared" si="59"/>
        <v>4.3152426799868531</v>
      </c>
      <c r="F109" s="113">
        <f t="shared" si="60"/>
        <v>2.5161764897882524</v>
      </c>
      <c r="G109" s="103">
        <f t="shared" si="61"/>
        <v>0</v>
      </c>
      <c r="H109" s="104" t="str">
        <f t="shared" si="48"/>
        <v>Ag Irr</v>
      </c>
      <c r="I109" s="76">
        <v>7.4991848712096512E-3</v>
      </c>
      <c r="J109" s="76">
        <v>0</v>
      </c>
      <c r="K109" s="77">
        <v>0.53595570095736522</v>
      </c>
      <c r="L109" s="78">
        <v>3.9734811433539838E-2</v>
      </c>
      <c r="M109" s="79">
        <v>0</v>
      </c>
      <c r="N109" s="76">
        <v>4.9276419229793849</v>
      </c>
      <c r="O109" s="76">
        <v>0.16794913596348221</v>
      </c>
      <c r="P109" s="78">
        <v>0</v>
      </c>
      <c r="Q109" s="79">
        <v>0</v>
      </c>
      <c r="R109" s="76">
        <v>0</v>
      </c>
      <c r="S109" s="76">
        <v>0</v>
      </c>
      <c r="T109" s="112">
        <f t="shared" si="62"/>
        <v>4.9597484582173497</v>
      </c>
      <c r="U109" s="109">
        <f t="shared" si="63"/>
        <v>0.16794913596348221</v>
      </c>
      <c r="V109" s="108">
        <f>VLOOKUP(+A109,'HUC11 data'!$E$6:$L$156,8,FALSE)</f>
        <v>0.13178400000000012</v>
      </c>
      <c r="W109" s="108">
        <f t="shared" si="64"/>
        <v>5.2594815941808317</v>
      </c>
      <c r="X109" s="283">
        <v>0</v>
      </c>
      <c r="Y109" s="257">
        <v>8.8033909357678505E-4</v>
      </c>
      <c r="Z109" s="257">
        <v>0</v>
      </c>
      <c r="AA109" s="257">
        <v>0</v>
      </c>
      <c r="AB109" s="80">
        <v>0.39803801748678114</v>
      </c>
      <c r="AC109" s="81">
        <v>3.5761330230976371E-2</v>
      </c>
      <c r="AD109" s="82">
        <v>0</v>
      </c>
      <c r="AE109" s="257">
        <v>0.49276430978207714</v>
      </c>
      <c r="AF109" s="257">
        <v>1.6794917600567658E-2</v>
      </c>
      <c r="AG109" s="81">
        <v>0</v>
      </c>
      <c r="AH109" s="82">
        <v>0</v>
      </c>
      <c r="AI109" s="257">
        <v>0</v>
      </c>
      <c r="AJ109" s="257">
        <v>0</v>
      </c>
      <c r="AK109" s="111">
        <f t="shared" si="65"/>
        <v>0.92744399659341137</v>
      </c>
      <c r="AL109" s="110">
        <f t="shared" si="66"/>
        <v>1.6794917600567658E-2</v>
      </c>
      <c r="AM109" s="110">
        <f t="shared" si="67"/>
        <v>0.94423891419397898</v>
      </c>
      <c r="AN109" s="74"/>
      <c r="AO109" s="60" t="s">
        <v>291</v>
      </c>
      <c r="AP109" s="74">
        <f t="shared" si="50"/>
        <v>0.14453652924821692</v>
      </c>
      <c r="AQ109" s="74">
        <f t="shared" si="51"/>
        <v>3.9734812025634669E-3</v>
      </c>
      <c r="AR109" s="74">
        <f t="shared" si="52"/>
        <v>4.5860318315602226</v>
      </c>
      <c r="AS109" s="74">
        <f t="shared" si="53"/>
        <v>0</v>
      </c>
      <c r="AT109" s="74">
        <f t="shared" si="54"/>
        <v>0</v>
      </c>
      <c r="AU109" s="286">
        <f t="shared" si="55"/>
        <v>0.13178400000000012</v>
      </c>
      <c r="AV109" s="74">
        <f t="shared" si="56"/>
        <v>4.5860318315602226</v>
      </c>
      <c r="AW109" t="str">
        <f t="shared" si="49"/>
        <v>Ag Irr</v>
      </c>
      <c r="AX109" s="179">
        <f t="shared" si="57"/>
        <v>3</v>
      </c>
    </row>
    <row r="110" spans="1:50" x14ac:dyDescent="0.2">
      <c r="A110" s="60" t="s">
        <v>293</v>
      </c>
      <c r="B110" s="107">
        <f t="shared" si="58"/>
        <v>0.25</v>
      </c>
      <c r="C110" s="297">
        <v>2002</v>
      </c>
      <c r="D110" s="103">
        <f>+LFM*VLOOKUP(+A110,'HUC11 data'!$E$6:$K$156,7,FALSE)</f>
        <v>1.5825</v>
      </c>
      <c r="E110" s="103">
        <f t="shared" si="59"/>
        <v>14.514151017351111</v>
      </c>
      <c r="F110" s="113">
        <f t="shared" si="60"/>
        <v>9.1716594106484113</v>
      </c>
      <c r="G110" s="103">
        <f t="shared" si="61"/>
        <v>0</v>
      </c>
      <c r="H110" s="104" t="str">
        <f t="shared" si="48"/>
        <v>ICM</v>
      </c>
      <c r="I110" s="76">
        <v>4.5429844582110641E-2</v>
      </c>
      <c r="J110" s="76">
        <v>0</v>
      </c>
      <c r="K110" s="77">
        <v>0.41508259780113033</v>
      </c>
      <c r="L110" s="78">
        <v>2.3824258232800783</v>
      </c>
      <c r="M110" s="79">
        <v>119.66416693837625</v>
      </c>
      <c r="N110" s="76">
        <v>0</v>
      </c>
      <c r="O110" s="76">
        <v>6.5210303227910009E-4</v>
      </c>
      <c r="P110" s="78">
        <v>0</v>
      </c>
      <c r="Q110" s="79">
        <v>0</v>
      </c>
      <c r="R110" s="76">
        <v>0</v>
      </c>
      <c r="S110" s="76">
        <v>0</v>
      </c>
      <c r="T110" s="112">
        <f t="shared" si="62"/>
        <v>2.5586444390969874</v>
      </c>
      <c r="U110" s="109">
        <f t="shared" si="63"/>
        <v>119.66481904140853</v>
      </c>
      <c r="V110" s="108">
        <f>VLOOKUP(+A110,'HUC11 data'!$E$6:$L$156,8,FALSE)</f>
        <v>0</v>
      </c>
      <c r="W110" s="108">
        <f t="shared" si="64"/>
        <v>122.22346348050553</v>
      </c>
      <c r="X110" s="283">
        <v>0</v>
      </c>
      <c r="Y110" s="257">
        <v>0</v>
      </c>
      <c r="Z110" s="257">
        <v>0</v>
      </c>
      <c r="AA110" s="257">
        <v>0</v>
      </c>
      <c r="AB110" s="80">
        <v>0.30824529522359195</v>
      </c>
      <c r="AC110" s="81">
        <v>2.0965347308766331</v>
      </c>
      <c r="AD110" s="82">
        <v>105.30446722673541</v>
      </c>
      <c r="AE110" s="257">
        <v>0</v>
      </c>
      <c r="AF110" s="257">
        <v>6.5210318775257853E-5</v>
      </c>
      <c r="AG110" s="81">
        <v>0</v>
      </c>
      <c r="AH110" s="82">
        <v>0</v>
      </c>
      <c r="AI110" s="257">
        <v>0</v>
      </c>
      <c r="AJ110" s="257">
        <v>0</v>
      </c>
      <c r="AK110" s="111">
        <f t="shared" si="65"/>
        <v>2.4047800261002252</v>
      </c>
      <c r="AL110" s="110">
        <f t="shared" si="66"/>
        <v>105.30453243705419</v>
      </c>
      <c r="AM110" s="110">
        <f t="shared" si="67"/>
        <v>107.70931246315442</v>
      </c>
      <c r="AN110" s="74"/>
      <c r="AO110" s="60" t="s">
        <v>293</v>
      </c>
      <c r="AP110" s="74">
        <f t="shared" si="50"/>
        <v>0.15226714715964901</v>
      </c>
      <c r="AQ110" s="74">
        <f t="shared" si="51"/>
        <v>14.645590804044289</v>
      </c>
      <c r="AR110" s="74">
        <f t="shared" si="52"/>
        <v>5.8689271350384226E-4</v>
      </c>
      <c r="AS110" s="74">
        <f t="shared" si="53"/>
        <v>0</v>
      </c>
      <c r="AT110" s="74">
        <f t="shared" si="54"/>
        <v>0</v>
      </c>
      <c r="AU110" s="286">
        <f t="shared" si="55"/>
        <v>0</v>
      </c>
      <c r="AV110" s="74">
        <f t="shared" si="56"/>
        <v>14.645590804044289</v>
      </c>
      <c r="AW110" t="str">
        <f t="shared" si="49"/>
        <v>ICM</v>
      </c>
      <c r="AX110" s="179">
        <f t="shared" si="57"/>
        <v>2</v>
      </c>
    </row>
    <row r="111" spans="1:50" x14ac:dyDescent="0.2">
      <c r="A111" s="60" t="s">
        <v>295</v>
      </c>
      <c r="B111" s="107">
        <f t="shared" si="58"/>
        <v>0.25</v>
      </c>
      <c r="C111" s="297">
        <v>2007</v>
      </c>
      <c r="D111" s="103">
        <f>+LFM*VLOOKUP(+A111,'HUC11 data'!$E$6:$K$156,7,FALSE)</f>
        <v>2.3050000000000002</v>
      </c>
      <c r="E111" s="103">
        <f t="shared" si="59"/>
        <v>4.4789296042769955</v>
      </c>
      <c r="F111" s="113">
        <f t="shared" si="60"/>
        <v>1.9431364877557462</v>
      </c>
      <c r="G111" s="103">
        <f t="shared" si="61"/>
        <v>0</v>
      </c>
      <c r="H111" s="104" t="str">
        <f t="shared" si="48"/>
        <v>Ag Irr</v>
      </c>
      <c r="I111" s="76">
        <v>1.3776495163569176</v>
      </c>
      <c r="J111" s="76">
        <v>9.325073361591131E-2</v>
      </c>
      <c r="K111" s="77">
        <v>1.0232789178134902</v>
      </c>
      <c r="L111" s="78">
        <v>7.9121834583197471E-4</v>
      </c>
      <c r="M111" s="79">
        <v>0</v>
      </c>
      <c r="N111" s="76">
        <v>2.7932616019997831</v>
      </c>
      <c r="O111" s="76">
        <v>0.62112813824584279</v>
      </c>
      <c r="P111" s="78">
        <v>9.5768949027279657E-2</v>
      </c>
      <c r="Q111" s="79">
        <v>0</v>
      </c>
      <c r="R111" s="76">
        <v>0</v>
      </c>
      <c r="S111" s="76">
        <v>0</v>
      </c>
      <c r="T111" s="112">
        <f t="shared" si="62"/>
        <v>4.7616751831889719</v>
      </c>
      <c r="U111" s="109">
        <f t="shared" si="63"/>
        <v>0.71437887186175408</v>
      </c>
      <c r="V111" s="108">
        <f>VLOOKUP(+A111,'HUC11 data'!$E$6:$L$156,8,FALSE)</f>
        <v>0.15891599999999961</v>
      </c>
      <c r="W111" s="108">
        <f t="shared" si="64"/>
        <v>5.6349700550507258</v>
      </c>
      <c r="X111" s="283">
        <v>0</v>
      </c>
      <c r="Y111" s="257">
        <v>3.7939680469514174E-2</v>
      </c>
      <c r="Z111" s="257">
        <v>0</v>
      </c>
      <c r="AA111" s="257">
        <v>0</v>
      </c>
      <c r="AB111" s="80">
        <v>0.75989743435059542</v>
      </c>
      <c r="AC111" s="81">
        <v>7.6416693826224951E-4</v>
      </c>
      <c r="AD111" s="82">
        <v>0</v>
      </c>
      <c r="AE111" s="257">
        <v>0.28574944319588741</v>
      </c>
      <c r="AF111" s="257">
        <v>6.21128286334331E-2</v>
      </c>
      <c r="AG111" s="81">
        <v>9.5768971860376376E-3</v>
      </c>
      <c r="AH111" s="82">
        <v>0</v>
      </c>
      <c r="AI111" s="257">
        <v>0</v>
      </c>
      <c r="AJ111" s="257">
        <v>0</v>
      </c>
      <c r="AK111" s="111">
        <f t="shared" si="65"/>
        <v>1.0939276221402969</v>
      </c>
      <c r="AL111" s="110">
        <f t="shared" si="66"/>
        <v>6.21128286334331E-2</v>
      </c>
      <c r="AM111" s="110">
        <f t="shared" si="67"/>
        <v>1.1560404507737301</v>
      </c>
      <c r="AN111" s="74"/>
      <c r="AO111" s="60" t="s">
        <v>295</v>
      </c>
      <c r="AP111" s="74">
        <f t="shared" si="50"/>
        <v>1.6963420529662094</v>
      </c>
      <c r="AQ111" s="74">
        <f t="shared" si="51"/>
        <v>2.7051407569725198E-5</v>
      </c>
      <c r="AR111" s="74">
        <f t="shared" si="52"/>
        <v>3.0665274684163055</v>
      </c>
      <c r="AS111" s="74">
        <f t="shared" si="53"/>
        <v>8.6192051841242012E-2</v>
      </c>
      <c r="AT111" s="74">
        <f t="shared" si="54"/>
        <v>0</v>
      </c>
      <c r="AU111" s="286">
        <f t="shared" si="55"/>
        <v>0.15891599999999961</v>
      </c>
      <c r="AV111" s="74">
        <f t="shared" si="56"/>
        <v>3.0665274684163055</v>
      </c>
      <c r="AW111" t="str">
        <f t="shared" si="49"/>
        <v>Ag Irr</v>
      </c>
      <c r="AX111" s="179">
        <f t="shared" si="57"/>
        <v>3</v>
      </c>
    </row>
    <row r="112" spans="1:50" x14ac:dyDescent="0.2">
      <c r="A112" s="60" t="s">
        <v>297</v>
      </c>
      <c r="B112" s="107">
        <f t="shared" si="58"/>
        <v>0.25</v>
      </c>
      <c r="C112" s="297">
        <v>2001</v>
      </c>
      <c r="D112" s="103">
        <f>+LFM*VLOOKUP(+A112,'HUC11 data'!$E$6:$K$156,7,FALSE)</f>
        <v>1.835</v>
      </c>
      <c r="E112" s="103">
        <f t="shared" si="59"/>
        <v>3.14154503390523</v>
      </c>
      <c r="F112" s="113">
        <f t="shared" si="60"/>
        <v>1.7120136424551662</v>
      </c>
      <c r="G112" s="103">
        <f t="shared" si="61"/>
        <v>0</v>
      </c>
      <c r="H112" s="104" t="str">
        <f t="shared" si="48"/>
        <v>Potable</v>
      </c>
      <c r="I112" s="76">
        <v>2.9787414411477013</v>
      </c>
      <c r="J112" s="76">
        <v>0</v>
      </c>
      <c r="K112" s="77">
        <v>0.88968113589164766</v>
      </c>
      <c r="L112" s="78">
        <v>4.3147483969133787E-2</v>
      </c>
      <c r="M112" s="79">
        <v>0</v>
      </c>
      <c r="N112" s="76">
        <v>0.31192261710683616</v>
      </c>
      <c r="O112" s="76">
        <v>8.0404303880013031E-2</v>
      </c>
      <c r="P112" s="78">
        <v>1.0759700032605152E-2</v>
      </c>
      <c r="Q112" s="79">
        <v>0</v>
      </c>
      <c r="R112" s="76">
        <v>0</v>
      </c>
      <c r="S112" s="76">
        <v>0</v>
      </c>
      <c r="T112" s="112">
        <f t="shared" si="62"/>
        <v>3.810827140333132</v>
      </c>
      <c r="U112" s="109">
        <f t="shared" si="63"/>
        <v>8.0404303880013031E-2</v>
      </c>
      <c r="V112" s="108">
        <f>VLOOKUP(+A112,'HUC11 data'!$E$6:$L$156,8,FALSE)</f>
        <v>0</v>
      </c>
      <c r="W112" s="108">
        <f t="shared" si="64"/>
        <v>3.8912314442131448</v>
      </c>
      <c r="X112" s="283">
        <v>0</v>
      </c>
      <c r="Y112" s="257">
        <v>9.9008803390935752E-3</v>
      </c>
      <c r="Z112" s="257">
        <v>0</v>
      </c>
      <c r="AA112" s="257">
        <v>0</v>
      </c>
      <c r="AB112" s="80">
        <v>0.66068759628393958</v>
      </c>
      <c r="AC112" s="81">
        <v>3.8789261972602324E-2</v>
      </c>
      <c r="AD112" s="82">
        <v>0</v>
      </c>
      <c r="AE112" s="257">
        <v>3.1192269147498335E-2</v>
      </c>
      <c r="AF112" s="257">
        <v>8.0404323049892909E-3</v>
      </c>
      <c r="AG112" s="81">
        <v>1.0759702597917542E-3</v>
      </c>
      <c r="AH112" s="82">
        <v>0</v>
      </c>
      <c r="AI112" s="257">
        <v>0</v>
      </c>
      <c r="AJ112" s="257">
        <v>0</v>
      </c>
      <c r="AK112" s="111">
        <f t="shared" si="65"/>
        <v>0.74164597800292553</v>
      </c>
      <c r="AL112" s="110">
        <f t="shared" si="66"/>
        <v>8.0404323049892909E-3</v>
      </c>
      <c r="AM112" s="110">
        <f t="shared" si="67"/>
        <v>0.74968641030791483</v>
      </c>
      <c r="AN112" s="74"/>
      <c r="AO112" s="60" t="s">
        <v>297</v>
      </c>
      <c r="AP112" s="74">
        <f t="shared" si="50"/>
        <v>3.197834100416316</v>
      </c>
      <c r="AQ112" s="74">
        <f t="shared" si="51"/>
        <v>4.3582219965314639E-3</v>
      </c>
      <c r="AR112" s="74">
        <f t="shared" si="52"/>
        <v>0.35309421953436154</v>
      </c>
      <c r="AS112" s="74">
        <f t="shared" si="53"/>
        <v>9.6837297728133969E-3</v>
      </c>
      <c r="AT112" s="74">
        <f t="shared" si="54"/>
        <v>0</v>
      </c>
      <c r="AU112" s="286">
        <f t="shared" si="55"/>
        <v>0</v>
      </c>
      <c r="AV112" s="74">
        <f t="shared" si="56"/>
        <v>3.197834100416316</v>
      </c>
      <c r="AW112" t="str">
        <f t="shared" si="49"/>
        <v>Potable</v>
      </c>
      <c r="AX112" s="179">
        <f t="shared" si="57"/>
        <v>1</v>
      </c>
    </row>
    <row r="113" spans="1:50" x14ac:dyDescent="0.2">
      <c r="A113" s="60" t="s">
        <v>299</v>
      </c>
      <c r="B113" s="107">
        <f t="shared" si="58"/>
        <v>0.25</v>
      </c>
      <c r="C113" s="297">
        <v>2001</v>
      </c>
      <c r="D113" s="103">
        <f>+LFM*VLOOKUP(+A113,'HUC11 data'!$E$6:$K$156,7,FALSE)</f>
        <v>6.7675000000000001</v>
      </c>
      <c r="E113" s="103">
        <f t="shared" si="59"/>
        <v>9.3803666007477187</v>
      </c>
      <c r="F113" s="113">
        <f t="shared" si="60"/>
        <v>1.3860903732172469</v>
      </c>
      <c r="G113" s="103">
        <f t="shared" si="61"/>
        <v>0</v>
      </c>
      <c r="H113" s="104" t="str">
        <f t="shared" si="48"/>
        <v>Potable</v>
      </c>
      <c r="I113" s="76">
        <v>13.454494076730789</v>
      </c>
      <c r="J113" s="76">
        <v>0</v>
      </c>
      <c r="K113" s="77">
        <v>0.88923512194420529</v>
      </c>
      <c r="L113" s="78">
        <v>2.7827301380284744</v>
      </c>
      <c r="M113" s="79">
        <v>0</v>
      </c>
      <c r="N113" s="76">
        <v>3.4541680252146509</v>
      </c>
      <c r="O113" s="76">
        <v>2.4453863710466252E-3</v>
      </c>
      <c r="P113" s="78">
        <v>0</v>
      </c>
      <c r="Q113" s="79">
        <v>0</v>
      </c>
      <c r="R113" s="76">
        <v>0</v>
      </c>
      <c r="S113" s="76">
        <v>0</v>
      </c>
      <c r="T113" s="112">
        <f t="shared" si="62"/>
        <v>18.522564625726307</v>
      </c>
      <c r="U113" s="109">
        <f t="shared" si="63"/>
        <v>2.4453863710466252E-3</v>
      </c>
      <c r="V113" s="108">
        <f>VLOOKUP(+A113,'HUC11 data'!$E$6:$L$156,8,FALSE)</f>
        <v>0</v>
      </c>
      <c r="W113" s="108">
        <f t="shared" si="64"/>
        <v>18.525010012097354</v>
      </c>
      <c r="X113" s="283">
        <v>0</v>
      </c>
      <c r="Y113" s="257">
        <v>5.6341701988914243</v>
      </c>
      <c r="Z113" s="257">
        <v>0</v>
      </c>
      <c r="AA113" s="257">
        <v>0</v>
      </c>
      <c r="AB113" s="80">
        <v>0.66035466880851967</v>
      </c>
      <c r="AC113" s="81">
        <v>2.5044571200790355</v>
      </c>
      <c r="AD113" s="82">
        <v>0</v>
      </c>
      <c r="AE113" s="257">
        <v>0.3454168848752483</v>
      </c>
      <c r="AF113" s="257">
        <v>2.4453869540721693E-4</v>
      </c>
      <c r="AG113" s="81">
        <v>0</v>
      </c>
      <c r="AH113" s="82">
        <v>0</v>
      </c>
      <c r="AI113" s="257">
        <v>0</v>
      </c>
      <c r="AJ113" s="257">
        <v>0</v>
      </c>
      <c r="AK113" s="111">
        <f t="shared" si="65"/>
        <v>9.1443988726542287</v>
      </c>
      <c r="AL113" s="110">
        <f t="shared" si="66"/>
        <v>2.4453869540721693E-4</v>
      </c>
      <c r="AM113" s="110">
        <f t="shared" si="67"/>
        <v>9.1446434113496355</v>
      </c>
      <c r="AN113" s="74"/>
      <c r="AO113" s="60" t="s">
        <v>299</v>
      </c>
      <c r="AP113" s="74">
        <f t="shared" si="50"/>
        <v>8.0492043309750514</v>
      </c>
      <c r="AQ113" s="74">
        <f t="shared" si="51"/>
        <v>0.27827301794943882</v>
      </c>
      <c r="AR113" s="74">
        <f t="shared" si="52"/>
        <v>3.1109519880150418</v>
      </c>
      <c r="AS113" s="74">
        <f t="shared" si="53"/>
        <v>0</v>
      </c>
      <c r="AT113" s="74">
        <f t="shared" si="54"/>
        <v>0</v>
      </c>
      <c r="AU113" s="286">
        <f t="shared" si="55"/>
        <v>0</v>
      </c>
      <c r="AV113" s="74">
        <f t="shared" si="56"/>
        <v>8.0492043309750514</v>
      </c>
      <c r="AW113" t="str">
        <f t="shared" si="49"/>
        <v>Potable</v>
      </c>
      <c r="AX113" s="179">
        <f t="shared" si="57"/>
        <v>1</v>
      </c>
    </row>
    <row r="114" spans="1:50" x14ac:dyDescent="0.2">
      <c r="A114" s="60" t="s">
        <v>301</v>
      </c>
      <c r="B114" s="107">
        <f t="shared" si="58"/>
        <v>0.25</v>
      </c>
      <c r="C114" s="297">
        <v>2007</v>
      </c>
      <c r="D114" s="103">
        <f>+LFM*VLOOKUP(+A114,'HUC11 data'!$E$6:$K$156,7,FALSE)</f>
        <v>2.68</v>
      </c>
      <c r="E114" s="103">
        <f t="shared" si="59"/>
        <v>14.957455987242321</v>
      </c>
      <c r="F114" s="113">
        <f t="shared" si="60"/>
        <v>5.5811402937471346</v>
      </c>
      <c r="G114" s="103">
        <f t="shared" si="61"/>
        <v>0</v>
      </c>
      <c r="H114" s="104" t="str">
        <f t="shared" si="48"/>
        <v>Ag Irr</v>
      </c>
      <c r="I114" s="76">
        <v>0.15519182697532877</v>
      </c>
      <c r="J114" s="76">
        <v>0</v>
      </c>
      <c r="K114" s="77">
        <v>0.9125740041179341</v>
      </c>
      <c r="L114" s="78">
        <v>5.1407455711335724E-2</v>
      </c>
      <c r="M114" s="79">
        <v>0</v>
      </c>
      <c r="N114" s="76">
        <v>16.331398761004227</v>
      </c>
      <c r="O114" s="76">
        <v>0.87010107597000308</v>
      </c>
      <c r="P114" s="78">
        <v>0.21725899358765352</v>
      </c>
      <c r="Q114" s="79">
        <v>6.781871535702641E-2</v>
      </c>
      <c r="R114" s="76">
        <v>0</v>
      </c>
      <c r="S114" s="76">
        <v>0</v>
      </c>
      <c r="T114" s="112">
        <f t="shared" si="62"/>
        <v>15.901047937256831</v>
      </c>
      <c r="U114" s="109">
        <f t="shared" si="63"/>
        <v>0.93791979132702952</v>
      </c>
      <c r="V114" s="108">
        <f>VLOOKUP(+A114,'HUC11 data'!$E$6:$L$156,8,FALSE)</f>
        <v>0.6873440000000004</v>
      </c>
      <c r="W114" s="108">
        <f t="shared" si="64"/>
        <v>17.52631172858386</v>
      </c>
      <c r="X114" s="283">
        <v>0</v>
      </c>
      <c r="Y114" s="257">
        <v>9.153798500163024E-2</v>
      </c>
      <c r="Z114" s="257">
        <v>0</v>
      </c>
      <c r="AA114" s="257">
        <v>0</v>
      </c>
      <c r="AB114" s="80">
        <v>0.67768686374458587</v>
      </c>
      <c r="AC114" s="81">
        <v>4.7777415470945585E-2</v>
      </c>
      <c r="AD114" s="82">
        <v>0</v>
      </c>
      <c r="AE114" s="257">
        <v>1.6331402654713127</v>
      </c>
      <c r="AF114" s="257">
        <v>8.7010128341826531E-2</v>
      </c>
      <c r="AG114" s="81">
        <v>2.492121015861104E-2</v>
      </c>
      <c r="AH114" s="82">
        <v>6.7818731526268165E-3</v>
      </c>
      <c r="AI114" s="257">
        <v>0</v>
      </c>
      <c r="AJ114" s="257">
        <v>0</v>
      </c>
      <c r="AK114" s="111">
        <f t="shared" si="65"/>
        <v>2.4750637398470854</v>
      </c>
      <c r="AL114" s="110">
        <f t="shared" si="66"/>
        <v>9.3792001494453353E-2</v>
      </c>
      <c r="AM114" s="110">
        <f t="shared" si="67"/>
        <v>2.5688557413415389</v>
      </c>
      <c r="AN114" s="74"/>
      <c r="AO114" s="60" t="s">
        <v>301</v>
      </c>
      <c r="AP114" s="74">
        <f t="shared" si="50"/>
        <v>0.29854098234704685</v>
      </c>
      <c r="AQ114" s="74">
        <f t="shared" si="51"/>
        <v>3.6300402403901394E-3</v>
      </c>
      <c r="AR114" s="74">
        <f t="shared" si="52"/>
        <v>15.48134944316109</v>
      </c>
      <c r="AS114" s="74">
        <f t="shared" si="53"/>
        <v>0.2533746256334421</v>
      </c>
      <c r="AT114" s="74">
        <f t="shared" si="54"/>
        <v>0</v>
      </c>
      <c r="AU114" s="286">
        <f t="shared" si="55"/>
        <v>0.6873440000000004</v>
      </c>
      <c r="AV114" s="74">
        <f t="shared" si="56"/>
        <v>15.48134944316109</v>
      </c>
      <c r="AW114" t="str">
        <f t="shared" si="49"/>
        <v>Ag Irr</v>
      </c>
      <c r="AX114" s="179">
        <f t="shared" si="57"/>
        <v>3</v>
      </c>
    </row>
    <row r="115" spans="1:50" x14ac:dyDescent="0.2">
      <c r="A115" s="60" t="s">
        <v>303</v>
      </c>
      <c r="B115" s="107">
        <f t="shared" si="58"/>
        <v>0.25</v>
      </c>
      <c r="C115" s="297">
        <v>2007</v>
      </c>
      <c r="D115" s="103">
        <f>+LFM*VLOOKUP(+A115,'HUC11 data'!$E$6:$K$156,7,FALSE)</f>
        <v>1.2424999999999999</v>
      </c>
      <c r="E115" s="103">
        <f t="shared" si="59"/>
        <v>4.1611320617175167</v>
      </c>
      <c r="F115" s="113">
        <f t="shared" si="60"/>
        <v>3.3489996472575587</v>
      </c>
      <c r="G115" s="103">
        <f t="shared" si="61"/>
        <v>0</v>
      </c>
      <c r="H115" s="104" t="str">
        <f t="shared" si="48"/>
        <v>Ag Irr</v>
      </c>
      <c r="I115" s="76">
        <v>0.95685251603086618</v>
      </c>
      <c r="J115" s="76">
        <v>0</v>
      </c>
      <c r="K115" s="77">
        <v>0.40040070396947236</v>
      </c>
      <c r="L115" s="78">
        <v>2.4880991196609064E-2</v>
      </c>
      <c r="M115" s="79">
        <v>0</v>
      </c>
      <c r="N115" s="76">
        <v>2.9005597217693726</v>
      </c>
      <c r="O115" s="76">
        <v>0</v>
      </c>
      <c r="P115" s="78">
        <v>3.5007064449516352E-2</v>
      </c>
      <c r="Q115" s="79">
        <v>0</v>
      </c>
      <c r="R115" s="76">
        <v>0</v>
      </c>
      <c r="S115" s="76">
        <v>0</v>
      </c>
      <c r="T115" s="112">
        <f t="shared" si="62"/>
        <v>3.8859308976742528</v>
      </c>
      <c r="U115" s="109">
        <f t="shared" si="63"/>
        <v>0</v>
      </c>
      <c r="V115" s="108">
        <f>VLOOKUP(+A115,'HUC11 data'!$E$6:$L$156,8,FALSE)</f>
        <v>0.87856000000000001</v>
      </c>
      <c r="W115" s="108">
        <f t="shared" si="64"/>
        <v>4.7644908976742526</v>
      </c>
      <c r="X115" s="283">
        <v>0</v>
      </c>
      <c r="Y115" s="257">
        <v>0</v>
      </c>
      <c r="Z115" s="257">
        <v>0</v>
      </c>
      <c r="AA115" s="257">
        <v>0</v>
      </c>
      <c r="AB115" s="80">
        <v>0.29734289812698772</v>
      </c>
      <c r="AC115" s="81">
        <v>1.2459189218493561E-2</v>
      </c>
      <c r="AD115" s="82">
        <v>0</v>
      </c>
      <c r="AE115" s="257">
        <v>0.29005604133167001</v>
      </c>
      <c r="AF115" s="257">
        <v>0</v>
      </c>
      <c r="AG115" s="81">
        <v>3.5007072795850921E-3</v>
      </c>
      <c r="AH115" s="82">
        <v>0</v>
      </c>
      <c r="AI115" s="257">
        <v>0</v>
      </c>
      <c r="AJ115" s="257">
        <v>0</v>
      </c>
      <c r="AK115" s="111">
        <f t="shared" si="65"/>
        <v>0.60335883595673634</v>
      </c>
      <c r="AL115" s="110">
        <f t="shared" si="66"/>
        <v>0</v>
      </c>
      <c r="AM115" s="110">
        <f t="shared" si="67"/>
        <v>0.60335883595673634</v>
      </c>
      <c r="AN115" s="74"/>
      <c r="AO115" s="60" t="s">
        <v>303</v>
      </c>
      <c r="AP115" s="74">
        <f t="shared" si="50"/>
        <v>1.0599103218733508</v>
      </c>
      <c r="AQ115" s="74">
        <f t="shared" si="51"/>
        <v>1.2421801978115503E-2</v>
      </c>
      <c r="AR115" s="74">
        <f t="shared" si="52"/>
        <v>2.6105036804377026</v>
      </c>
      <c r="AS115" s="74">
        <f t="shared" si="53"/>
        <v>3.1506357169931262E-2</v>
      </c>
      <c r="AT115" s="74">
        <f t="shared" si="54"/>
        <v>0</v>
      </c>
      <c r="AU115" s="286">
        <f t="shared" si="55"/>
        <v>0.87856000000000001</v>
      </c>
      <c r="AV115" s="74">
        <f t="shared" si="56"/>
        <v>2.6105036804377026</v>
      </c>
      <c r="AW115" t="str">
        <f t="shared" si="49"/>
        <v>Ag Irr</v>
      </c>
      <c r="AX115" s="179">
        <f t="shared" si="57"/>
        <v>3</v>
      </c>
    </row>
    <row r="116" spans="1:50" x14ac:dyDescent="0.2">
      <c r="A116" s="60" t="s">
        <v>305</v>
      </c>
      <c r="B116" s="107">
        <f t="shared" si="58"/>
        <v>0.25</v>
      </c>
      <c r="C116" s="297">
        <v>2007</v>
      </c>
      <c r="D116" s="103">
        <f>+LFM*VLOOKUP(+A116,'HUC11 data'!$E$6:$K$156,7,FALSE)</f>
        <v>1.6725000000000001</v>
      </c>
      <c r="E116" s="103">
        <f t="shared" si="59"/>
        <v>2.8858886596194995</v>
      </c>
      <c r="F116" s="113">
        <f t="shared" si="60"/>
        <v>1.725493966887593</v>
      </c>
      <c r="G116" s="103">
        <f t="shared" si="61"/>
        <v>0</v>
      </c>
      <c r="H116" s="104" t="str">
        <f t="shared" si="48"/>
        <v>Ag Irr</v>
      </c>
      <c r="I116" s="76">
        <v>3.7108575154874468</v>
      </c>
      <c r="J116" s="76">
        <v>0</v>
      </c>
      <c r="K116" s="77">
        <v>0.45980607729772383</v>
      </c>
      <c r="L116" s="78">
        <v>0.28073035539615254</v>
      </c>
      <c r="M116" s="79">
        <v>0</v>
      </c>
      <c r="N116" s="76">
        <v>2.1311487881751985</v>
      </c>
      <c r="O116" s="76">
        <v>0</v>
      </c>
      <c r="P116" s="78">
        <v>4.8907727420932504E-3</v>
      </c>
      <c r="Q116" s="79">
        <v>0</v>
      </c>
      <c r="R116" s="76">
        <v>0</v>
      </c>
      <c r="S116" s="76">
        <v>0</v>
      </c>
      <c r="T116" s="112">
        <f t="shared" si="62"/>
        <v>5.9286901581887532</v>
      </c>
      <c r="U116" s="109">
        <f t="shared" si="63"/>
        <v>0</v>
      </c>
      <c r="V116" s="108">
        <f>VLOOKUP(+A116,'HUC11 data'!$E$6:$L$156,8,FALSE)</f>
        <v>0</v>
      </c>
      <c r="W116" s="108">
        <f t="shared" si="64"/>
        <v>5.9286901581887532</v>
      </c>
      <c r="X116" s="283">
        <v>0</v>
      </c>
      <c r="Y116" s="257">
        <v>0</v>
      </c>
      <c r="Z116" s="257">
        <v>0</v>
      </c>
      <c r="AA116" s="257">
        <v>2.2350831431366158</v>
      </c>
      <c r="AB116" s="80">
        <v>0.34145702897554053</v>
      </c>
      <c r="AC116" s="81">
        <v>0.25265731943821651</v>
      </c>
      <c r="AD116" s="82">
        <v>0</v>
      </c>
      <c r="AE116" s="257">
        <v>0.21311492962806641</v>
      </c>
      <c r="AF116" s="257">
        <v>0</v>
      </c>
      <c r="AG116" s="81">
        <v>4.8907739081443396E-4</v>
      </c>
      <c r="AH116" s="82">
        <v>0</v>
      </c>
      <c r="AI116" s="257">
        <v>0</v>
      </c>
      <c r="AJ116" s="257">
        <v>0</v>
      </c>
      <c r="AK116" s="111">
        <f t="shared" si="65"/>
        <v>0.80771835543263781</v>
      </c>
      <c r="AL116" s="110">
        <f t="shared" si="66"/>
        <v>2.2350831431366158</v>
      </c>
      <c r="AM116" s="110">
        <f t="shared" si="67"/>
        <v>3.0428014985692537</v>
      </c>
      <c r="AN116" s="74"/>
      <c r="AO116" s="60" t="s">
        <v>305</v>
      </c>
      <c r="AP116" s="74">
        <f t="shared" si="50"/>
        <v>1.5941234206730144</v>
      </c>
      <c r="AQ116" s="74">
        <f t="shared" si="51"/>
        <v>2.8073035957936032E-2</v>
      </c>
      <c r="AR116" s="74">
        <f t="shared" si="52"/>
        <v>1.9180338585471322</v>
      </c>
      <c r="AS116" s="74">
        <f t="shared" si="53"/>
        <v>4.4016953512788165E-3</v>
      </c>
      <c r="AT116" s="74">
        <f t="shared" si="54"/>
        <v>0</v>
      </c>
      <c r="AU116" s="286">
        <f t="shared" si="55"/>
        <v>0</v>
      </c>
      <c r="AV116" s="74">
        <f t="shared" si="56"/>
        <v>1.9180338585471322</v>
      </c>
      <c r="AW116" t="str">
        <f t="shared" si="49"/>
        <v>Ag Irr</v>
      </c>
      <c r="AX116" s="179">
        <f t="shared" si="57"/>
        <v>3</v>
      </c>
    </row>
    <row r="117" spans="1:50" x14ac:dyDescent="0.2">
      <c r="A117" s="60" t="s">
        <v>307</v>
      </c>
      <c r="B117" s="107">
        <f t="shared" si="58"/>
        <v>0.25</v>
      </c>
      <c r="C117" s="297">
        <v>2008</v>
      </c>
      <c r="D117" s="103">
        <f>+LFM*VLOOKUP(+A117,'HUC11 data'!$E$6:$K$156,7,FALSE)</f>
        <v>3.7749999999999999</v>
      </c>
      <c r="E117" s="103">
        <f t="shared" si="59"/>
        <v>11.222045379118128</v>
      </c>
      <c r="F117" s="113">
        <f t="shared" si="60"/>
        <v>2.9727272527465241</v>
      </c>
      <c r="G117" s="103">
        <f t="shared" si="61"/>
        <v>0</v>
      </c>
      <c r="H117" s="104" t="str">
        <f t="shared" si="48"/>
        <v>Ag Irr</v>
      </c>
      <c r="I117" s="76">
        <v>2.5140093468101288</v>
      </c>
      <c r="J117" s="76">
        <v>0</v>
      </c>
      <c r="K117" s="77">
        <v>0.56001411684217239</v>
      </c>
      <c r="L117" s="78">
        <v>0.73048581675904789</v>
      </c>
      <c r="M117" s="79">
        <v>0</v>
      </c>
      <c r="N117" s="76">
        <v>9.9457635039669583</v>
      </c>
      <c r="O117" s="76">
        <v>0.31610694489729374</v>
      </c>
      <c r="P117" s="78">
        <v>0.12881641125964569</v>
      </c>
      <c r="Q117" s="79">
        <v>0</v>
      </c>
      <c r="R117" s="76">
        <v>0</v>
      </c>
      <c r="S117" s="76">
        <v>0</v>
      </c>
      <c r="T117" s="112">
        <f t="shared" si="62"/>
        <v>12.491180276074157</v>
      </c>
      <c r="U117" s="109">
        <f t="shared" si="63"/>
        <v>0.31610694489729374</v>
      </c>
      <c r="V117" s="108">
        <f>VLOOKUP(+A117,'HUC11 data'!$E$6:$L$156,8,FALSE)</f>
        <v>0.52713600000000005</v>
      </c>
      <c r="W117" s="108">
        <f t="shared" si="64"/>
        <v>13.334423220971452</v>
      </c>
      <c r="X117" s="283">
        <v>0</v>
      </c>
      <c r="Y117" s="257">
        <v>0</v>
      </c>
      <c r="Z117" s="257">
        <v>0</v>
      </c>
      <c r="AA117" s="257">
        <v>0</v>
      </c>
      <c r="AB117" s="80">
        <v>0.41587167411301945</v>
      </c>
      <c r="AC117" s="81">
        <v>0.6574372339946345</v>
      </c>
      <c r="AD117" s="82">
        <v>0</v>
      </c>
      <c r="AE117" s="257">
        <v>0.99457658752217604</v>
      </c>
      <c r="AF117" s="257">
        <v>3.1610702026306239E-2</v>
      </c>
      <c r="AG117" s="81">
        <v>1.2881644197187143E-2</v>
      </c>
      <c r="AH117" s="82">
        <v>0</v>
      </c>
      <c r="AI117" s="257">
        <v>0</v>
      </c>
      <c r="AJ117" s="257">
        <v>0</v>
      </c>
      <c r="AK117" s="111">
        <f t="shared" si="65"/>
        <v>2.0807671398270173</v>
      </c>
      <c r="AL117" s="110">
        <f t="shared" si="66"/>
        <v>3.1610702026306239E-2</v>
      </c>
      <c r="AM117" s="110">
        <f t="shared" si="67"/>
        <v>2.1123778418533234</v>
      </c>
      <c r="AN117" s="74"/>
      <c r="AO117" s="60" t="s">
        <v>307</v>
      </c>
      <c r="AP117" s="74">
        <f t="shared" si="50"/>
        <v>2.6581517895392817</v>
      </c>
      <c r="AQ117" s="74">
        <f t="shared" si="51"/>
        <v>7.3048582764413394E-2</v>
      </c>
      <c r="AR117" s="74">
        <f t="shared" si="52"/>
        <v>9.2356831593157693</v>
      </c>
      <c r="AS117" s="74">
        <f t="shared" si="53"/>
        <v>0.11593476706245855</v>
      </c>
      <c r="AT117" s="74">
        <f t="shared" si="54"/>
        <v>0</v>
      </c>
      <c r="AU117" s="286">
        <f t="shared" si="55"/>
        <v>0.52713600000000005</v>
      </c>
      <c r="AV117" s="74">
        <f t="shared" si="56"/>
        <v>9.2356831593157693</v>
      </c>
      <c r="AW117" t="str">
        <f t="shared" si="49"/>
        <v>Ag Irr</v>
      </c>
      <c r="AX117" s="179">
        <f t="shared" si="57"/>
        <v>3</v>
      </c>
    </row>
    <row r="118" spans="1:50" x14ac:dyDescent="0.2">
      <c r="A118" s="60" t="s">
        <v>309</v>
      </c>
      <c r="B118" s="107">
        <f t="shared" si="58"/>
        <v>0.25</v>
      </c>
      <c r="C118" s="297">
        <v>2006</v>
      </c>
      <c r="D118" s="103">
        <f>+LFM*VLOOKUP(+A118,'HUC11 data'!$E$6:$K$156,7,FALSE)</f>
        <v>1.84</v>
      </c>
      <c r="E118" s="103">
        <f t="shared" si="59"/>
        <v>2.4654600369480066</v>
      </c>
      <c r="F118" s="113">
        <f t="shared" si="60"/>
        <v>1.3399239331239166</v>
      </c>
      <c r="G118" s="103">
        <f t="shared" si="61"/>
        <v>0</v>
      </c>
      <c r="H118" s="104" t="str">
        <f t="shared" si="48"/>
        <v>Ag Irr</v>
      </c>
      <c r="I118" s="76">
        <v>0.19900010868383872</v>
      </c>
      <c r="J118" s="76">
        <v>0</v>
      </c>
      <c r="K118" s="77">
        <v>0.33768235673023522</v>
      </c>
      <c r="L118" s="78">
        <v>0.1259645690685795</v>
      </c>
      <c r="M118" s="79">
        <v>0</v>
      </c>
      <c r="N118" s="76">
        <v>2.720823823497446</v>
      </c>
      <c r="O118" s="76">
        <v>0</v>
      </c>
      <c r="P118" s="78">
        <v>0</v>
      </c>
      <c r="Q118" s="79">
        <v>0</v>
      </c>
      <c r="R118" s="76">
        <v>0</v>
      </c>
      <c r="S118" s="76">
        <v>0</v>
      </c>
      <c r="T118" s="112">
        <f t="shared" si="62"/>
        <v>3.0451237721820896</v>
      </c>
      <c r="U118" s="109">
        <f t="shared" si="63"/>
        <v>0</v>
      </c>
      <c r="V118" s="108">
        <f>VLOOKUP(+A118,'HUC11 data'!$E$6:$L$156,8,FALSE)</f>
        <v>5.4263999999999868E-2</v>
      </c>
      <c r="W118" s="108">
        <f t="shared" si="64"/>
        <v>3.0993877721820895</v>
      </c>
      <c r="X118" s="283">
        <v>0</v>
      </c>
      <c r="Y118" s="257">
        <v>0</v>
      </c>
      <c r="Z118" s="257">
        <v>0</v>
      </c>
      <c r="AA118" s="257">
        <v>0</v>
      </c>
      <c r="AB118" s="80">
        <v>0.25076605720662543</v>
      </c>
      <c r="AC118" s="81">
        <v>0.11107923080821799</v>
      </c>
      <c r="AD118" s="82">
        <v>0</v>
      </c>
      <c r="AE118" s="257">
        <v>0.27208244721923952</v>
      </c>
      <c r="AF118" s="257">
        <v>0</v>
      </c>
      <c r="AG118" s="81">
        <v>0</v>
      </c>
      <c r="AH118" s="82">
        <v>0</v>
      </c>
      <c r="AI118" s="257">
        <v>0</v>
      </c>
      <c r="AJ118" s="257">
        <v>0</v>
      </c>
      <c r="AK118" s="111">
        <f t="shared" si="65"/>
        <v>0.63392773523408286</v>
      </c>
      <c r="AL118" s="110">
        <f t="shared" si="66"/>
        <v>0</v>
      </c>
      <c r="AM118" s="110">
        <f t="shared" si="67"/>
        <v>0.63392773523408286</v>
      </c>
      <c r="AN118" s="74"/>
      <c r="AO118" s="60" t="s">
        <v>309</v>
      </c>
      <c r="AP118" s="74">
        <f t="shared" si="50"/>
        <v>0.28591640820744851</v>
      </c>
      <c r="AQ118" s="74">
        <f t="shared" si="51"/>
        <v>1.4885338260361508E-2</v>
      </c>
      <c r="AR118" s="74">
        <f t="shared" si="52"/>
        <v>2.4487413762782064</v>
      </c>
      <c r="AS118" s="74">
        <f t="shared" si="53"/>
        <v>0</v>
      </c>
      <c r="AT118" s="74">
        <f t="shared" si="54"/>
        <v>0</v>
      </c>
      <c r="AU118" s="286">
        <f t="shared" si="55"/>
        <v>5.4263999999999868E-2</v>
      </c>
      <c r="AV118" s="74">
        <f t="shared" si="56"/>
        <v>2.4487413762782064</v>
      </c>
      <c r="AW118" t="str">
        <f t="shared" si="49"/>
        <v>Ag Irr</v>
      </c>
      <c r="AX118" s="179">
        <f t="shared" si="57"/>
        <v>3</v>
      </c>
    </row>
    <row r="119" spans="1:50" x14ac:dyDescent="0.2">
      <c r="A119" s="60" t="s">
        <v>311</v>
      </c>
      <c r="B119" s="107">
        <f t="shared" si="58"/>
        <v>0.25</v>
      </c>
      <c r="C119" s="297">
        <v>2005</v>
      </c>
      <c r="D119" s="103">
        <f>+LFM*VLOOKUP(+A119,'HUC11 data'!$E$6:$K$156,7,FALSE)</f>
        <v>2.79</v>
      </c>
      <c r="E119" s="103">
        <f t="shared" si="59"/>
        <v>2.2318599528606473</v>
      </c>
      <c r="F119" s="113">
        <f t="shared" si="60"/>
        <v>0.79994980389270509</v>
      </c>
      <c r="G119" s="103">
        <f t="shared" si="61"/>
        <v>0.55814004713935272</v>
      </c>
      <c r="H119" s="104" t="str">
        <f t="shared" si="48"/>
        <v>ICM</v>
      </c>
      <c r="I119" s="76">
        <v>2.7062275839582653E-3</v>
      </c>
      <c r="J119" s="76">
        <v>0</v>
      </c>
      <c r="K119" s="77">
        <v>0.45519578251718451</v>
      </c>
      <c r="L119" s="78">
        <v>1.7458971850885772</v>
      </c>
      <c r="M119" s="79">
        <v>8.665145092924682</v>
      </c>
      <c r="N119" s="76">
        <v>0</v>
      </c>
      <c r="O119" s="76">
        <v>0</v>
      </c>
      <c r="P119" s="78">
        <v>0</v>
      </c>
      <c r="Q119" s="79">
        <v>0</v>
      </c>
      <c r="R119" s="76">
        <v>0</v>
      </c>
      <c r="S119" s="76">
        <v>0</v>
      </c>
      <c r="T119" s="112">
        <f t="shared" si="62"/>
        <v>1.983419275670748</v>
      </c>
      <c r="U119" s="109">
        <f t="shared" si="63"/>
        <v>8.665145092924682</v>
      </c>
      <c r="V119" s="108">
        <f>VLOOKUP(+A119,'HUC11 data'!$E$6:$L$156,8,FALSE)</f>
        <v>1.0839880000000002</v>
      </c>
      <c r="W119" s="108">
        <f t="shared" si="64"/>
        <v>11.73255236859543</v>
      </c>
      <c r="X119" s="283">
        <v>0</v>
      </c>
      <c r="Y119" s="257">
        <v>0</v>
      </c>
      <c r="Z119" s="257">
        <v>0</v>
      </c>
      <c r="AA119" s="257">
        <v>0</v>
      </c>
      <c r="AB119" s="80">
        <v>0.33803180763529522</v>
      </c>
      <c r="AC119" s="81">
        <v>1.5373329030840359</v>
      </c>
      <c r="AD119" s="82">
        <v>7.6253277050154509</v>
      </c>
      <c r="AE119" s="257">
        <v>0</v>
      </c>
      <c r="AF119" s="257">
        <v>0</v>
      </c>
      <c r="AG119" s="81">
        <v>0</v>
      </c>
      <c r="AH119" s="82">
        <v>0</v>
      </c>
      <c r="AI119" s="257">
        <v>0</v>
      </c>
      <c r="AJ119" s="257">
        <v>0</v>
      </c>
      <c r="AK119" s="111">
        <f t="shared" si="65"/>
        <v>1.8753647107193312</v>
      </c>
      <c r="AL119" s="110">
        <f t="shared" si="66"/>
        <v>7.6253277050154509</v>
      </c>
      <c r="AM119" s="110">
        <f t="shared" si="67"/>
        <v>9.5006924157347825</v>
      </c>
      <c r="AN119" s="74"/>
      <c r="AO119" s="60" t="s">
        <v>311</v>
      </c>
      <c r="AP119" s="74">
        <f t="shared" si="50"/>
        <v>0.11987020246584756</v>
      </c>
      <c r="AQ119" s="74">
        <f t="shared" si="51"/>
        <v>1.2483816699137726</v>
      </c>
      <c r="AR119" s="74">
        <f t="shared" si="52"/>
        <v>0</v>
      </c>
      <c r="AS119" s="74">
        <f t="shared" si="53"/>
        <v>0</v>
      </c>
      <c r="AT119" s="74">
        <f t="shared" si="54"/>
        <v>0</v>
      </c>
      <c r="AU119" s="286">
        <f t="shared" si="55"/>
        <v>1.0839880000000002</v>
      </c>
      <c r="AV119" s="74">
        <f t="shared" si="56"/>
        <v>1.2483816699137726</v>
      </c>
      <c r="AW119" t="str">
        <f t="shared" si="49"/>
        <v>ICM</v>
      </c>
      <c r="AX119" s="179">
        <f t="shared" si="57"/>
        <v>2</v>
      </c>
    </row>
    <row r="120" spans="1:50" x14ac:dyDescent="0.2">
      <c r="A120" s="60" t="s">
        <v>265</v>
      </c>
      <c r="B120" s="107">
        <f t="shared" si="58"/>
        <v>0.25</v>
      </c>
      <c r="C120" s="297">
        <v>2002</v>
      </c>
      <c r="D120" s="103">
        <f>+LFM*VLOOKUP(+A120,'HUC11 data'!$E$6:$K$156,7,FALSE)</f>
        <v>1.38</v>
      </c>
      <c r="E120" s="103">
        <f t="shared" si="59"/>
        <v>1.3481522889975732</v>
      </c>
      <c r="F120" s="113">
        <f t="shared" si="60"/>
        <v>0.97692194854896619</v>
      </c>
      <c r="G120" s="103">
        <f t="shared" si="61"/>
        <v>3.1847711002426671E-2</v>
      </c>
      <c r="H120" s="104" t="str">
        <f t="shared" si="48"/>
        <v>Ag Irr</v>
      </c>
      <c r="I120" s="76">
        <v>0</v>
      </c>
      <c r="J120" s="76">
        <v>0</v>
      </c>
      <c r="K120" s="77">
        <v>0.26867869952591344</v>
      </c>
      <c r="L120" s="78">
        <v>0</v>
      </c>
      <c r="M120" s="79">
        <v>0</v>
      </c>
      <c r="N120" s="76">
        <v>1.6290620584719049</v>
      </c>
      <c r="O120" s="76">
        <v>0</v>
      </c>
      <c r="P120" s="78">
        <v>0</v>
      </c>
      <c r="Q120" s="79">
        <v>0</v>
      </c>
      <c r="R120" s="76">
        <v>0</v>
      </c>
      <c r="S120" s="76">
        <v>0</v>
      </c>
      <c r="T120" s="112">
        <f t="shared" si="62"/>
        <v>1.7079666821980364</v>
      </c>
      <c r="U120" s="109">
        <f t="shared" si="63"/>
        <v>0</v>
      </c>
      <c r="V120" s="108">
        <f>VLOOKUP(+A120,'HUC11 data'!$E$6:$L$156,8,FALSE)</f>
        <v>0.50323400000000018</v>
      </c>
      <c r="W120" s="108">
        <f t="shared" si="64"/>
        <v>2.2112006821980366</v>
      </c>
      <c r="X120" s="283">
        <v>0</v>
      </c>
      <c r="Y120" s="257">
        <v>0</v>
      </c>
      <c r="Z120" s="257">
        <v>0.50061949788066518</v>
      </c>
      <c r="AA120" s="257">
        <v>0</v>
      </c>
      <c r="AB120" s="80">
        <v>0.19952265063274149</v>
      </c>
      <c r="AC120" s="81">
        <v>0</v>
      </c>
      <c r="AD120" s="82">
        <v>0</v>
      </c>
      <c r="AE120" s="257">
        <v>0.16290624468705664</v>
      </c>
      <c r="AF120" s="257">
        <v>0</v>
      </c>
      <c r="AG120" s="81">
        <v>0</v>
      </c>
      <c r="AH120" s="82">
        <v>0</v>
      </c>
      <c r="AI120" s="257">
        <v>0</v>
      </c>
      <c r="AJ120" s="257">
        <v>0</v>
      </c>
      <c r="AK120" s="111">
        <f t="shared" si="65"/>
        <v>0.36242889531979816</v>
      </c>
      <c r="AL120" s="110">
        <f t="shared" si="66"/>
        <v>0.50061949788066518</v>
      </c>
      <c r="AM120" s="110">
        <f t="shared" si="67"/>
        <v>0.86304839320046334</v>
      </c>
      <c r="AN120" s="74"/>
      <c r="AO120" s="60" t="s">
        <v>265</v>
      </c>
      <c r="AP120" s="74">
        <f t="shared" si="50"/>
        <v>-0.43146344898749328</v>
      </c>
      <c r="AQ120" s="74">
        <f t="shared" si="51"/>
        <v>0</v>
      </c>
      <c r="AR120" s="74">
        <f t="shared" si="52"/>
        <v>1.4661558137848483</v>
      </c>
      <c r="AS120" s="74">
        <f t="shared" si="53"/>
        <v>0</v>
      </c>
      <c r="AT120" s="74">
        <f t="shared" si="54"/>
        <v>0</v>
      </c>
      <c r="AU120" s="286">
        <f t="shared" si="55"/>
        <v>0.50323400000000018</v>
      </c>
      <c r="AV120" s="74">
        <f t="shared" si="56"/>
        <v>1.4661558137848483</v>
      </c>
      <c r="AW120" t="str">
        <f t="shared" si="49"/>
        <v>Ag Irr</v>
      </c>
      <c r="AX120" s="179">
        <f t="shared" si="57"/>
        <v>3</v>
      </c>
    </row>
    <row r="121" spans="1:50" x14ac:dyDescent="0.2">
      <c r="A121" s="60" t="s">
        <v>267</v>
      </c>
      <c r="B121" s="107">
        <f t="shared" si="58"/>
        <v>0.25</v>
      </c>
      <c r="C121" s="297">
        <v>2008</v>
      </c>
      <c r="D121" s="103">
        <f>+LFM*VLOOKUP(+A121,'HUC11 data'!$E$6:$K$156,7,FALSE)</f>
        <v>1.1375</v>
      </c>
      <c r="E121" s="103">
        <f t="shared" si="59"/>
        <v>0.67037968516025448</v>
      </c>
      <c r="F121" s="113">
        <f t="shared" si="60"/>
        <v>0.58934477816286113</v>
      </c>
      <c r="G121" s="103">
        <f t="shared" si="61"/>
        <v>0.46712031483974548</v>
      </c>
      <c r="H121" s="104" t="str">
        <f t="shared" si="48"/>
        <v>Ag Irr</v>
      </c>
      <c r="I121" s="76">
        <v>0.28270079339202253</v>
      </c>
      <c r="J121" s="76">
        <v>0</v>
      </c>
      <c r="K121" s="77">
        <v>0.46850697065626334</v>
      </c>
      <c r="L121" s="78">
        <v>0</v>
      </c>
      <c r="M121" s="79">
        <v>0</v>
      </c>
      <c r="N121" s="76">
        <v>0.41617215520052164</v>
      </c>
      <c r="O121" s="76">
        <v>2.0215194000652102E-2</v>
      </c>
      <c r="P121" s="78">
        <v>1.5213563743071402E-2</v>
      </c>
      <c r="Q121" s="79">
        <v>0</v>
      </c>
      <c r="R121" s="76">
        <v>1.6737311161830236E-3</v>
      </c>
      <c r="S121" s="76">
        <v>0</v>
      </c>
      <c r="T121" s="112">
        <f t="shared" si="62"/>
        <v>1.065840492697256</v>
      </c>
      <c r="U121" s="109">
        <f t="shared" si="63"/>
        <v>2.0215194000652102E-2</v>
      </c>
      <c r="V121" s="108">
        <f>VLOOKUP(+A121,'HUC11 data'!$E$6:$L$156,8,FALSE)</f>
        <v>6.1370000000000008E-2</v>
      </c>
      <c r="W121" s="108">
        <f t="shared" si="64"/>
        <v>1.147425686697908</v>
      </c>
      <c r="X121" s="283">
        <v>0</v>
      </c>
      <c r="Y121" s="257">
        <v>8.2314639713074664E-2</v>
      </c>
      <c r="Z121" s="257">
        <v>0</v>
      </c>
      <c r="AA121" s="257">
        <v>0</v>
      </c>
      <c r="AB121" s="80">
        <v>0.34791426595775427</v>
      </c>
      <c r="AC121" s="81">
        <v>0</v>
      </c>
      <c r="AD121" s="82">
        <v>0</v>
      </c>
      <c r="AE121" s="257">
        <v>4.1617225442369558E-2</v>
      </c>
      <c r="AF121" s="257">
        <v>2.0215198820329934E-3</v>
      </c>
      <c r="AG121" s="81">
        <v>1.5213567370267655E-3</v>
      </c>
      <c r="AH121" s="82">
        <v>0</v>
      </c>
      <c r="AI121" s="257">
        <v>1.6569938053953013E-3</v>
      </c>
      <c r="AJ121" s="257">
        <v>0</v>
      </c>
      <c r="AK121" s="111">
        <f t="shared" si="65"/>
        <v>0.47502448165562056</v>
      </c>
      <c r="AL121" s="110">
        <f t="shared" si="66"/>
        <v>2.0215198820329934E-3</v>
      </c>
      <c r="AM121" s="110">
        <f t="shared" si="67"/>
        <v>0.47704600153765353</v>
      </c>
      <c r="AN121" s="74"/>
      <c r="AO121" s="60" t="s">
        <v>267</v>
      </c>
      <c r="AP121" s="74">
        <f t="shared" si="50"/>
        <v>0.32097885837745699</v>
      </c>
      <c r="AQ121" s="74">
        <f t="shared" si="51"/>
        <v>0</v>
      </c>
      <c r="AR121" s="74">
        <f t="shared" si="52"/>
        <v>0.39274860387677119</v>
      </c>
      <c r="AS121" s="74">
        <f t="shared" si="53"/>
        <v>1.3692207006044637E-2</v>
      </c>
      <c r="AT121" s="74">
        <f t="shared" si="54"/>
        <v>1.6737310787722339E-5</v>
      </c>
      <c r="AU121" s="286">
        <f t="shared" si="55"/>
        <v>6.1370000000000008E-2</v>
      </c>
      <c r="AV121" s="74">
        <f t="shared" si="56"/>
        <v>0.39274860387677119</v>
      </c>
      <c r="AW121" t="str">
        <f t="shared" si="49"/>
        <v>Ag Irr</v>
      </c>
      <c r="AX121" s="179">
        <f t="shared" si="57"/>
        <v>3</v>
      </c>
    </row>
    <row r="122" spans="1:50" x14ac:dyDescent="0.2">
      <c r="A122" s="60" t="s">
        <v>269</v>
      </c>
      <c r="B122" s="107">
        <f t="shared" si="58"/>
        <v>0.25</v>
      </c>
      <c r="C122" s="297">
        <v>2008</v>
      </c>
      <c r="D122" s="103">
        <f>+LFM*VLOOKUP(+A122,'HUC11 data'!$E$6:$K$156,7,FALSE)</f>
        <v>0.98250000000000004</v>
      </c>
      <c r="E122" s="103">
        <f t="shared" si="59"/>
        <v>-1.1940524942658253</v>
      </c>
      <c r="F122" s="113" t="str">
        <f t="shared" si="60"/>
        <v>Net Gain</v>
      </c>
      <c r="G122" s="103">
        <f t="shared" si="61"/>
        <v>2.1765524942658252</v>
      </c>
      <c r="H122" s="104" t="str">
        <f t="shared" si="48"/>
        <v>Ag Irr</v>
      </c>
      <c r="I122" s="76">
        <v>1.6424247364416908</v>
      </c>
      <c r="J122" s="76">
        <v>0</v>
      </c>
      <c r="K122" s="77">
        <v>1.4882969657233072</v>
      </c>
      <c r="L122" s="78">
        <v>2.7388327355722204E-3</v>
      </c>
      <c r="M122" s="79">
        <v>0</v>
      </c>
      <c r="N122" s="76">
        <v>0.17712929754012241</v>
      </c>
      <c r="O122" s="76">
        <v>0</v>
      </c>
      <c r="P122" s="78">
        <v>2.9355504836430828E-2</v>
      </c>
      <c r="Q122" s="79">
        <v>0</v>
      </c>
      <c r="R122" s="76">
        <v>0</v>
      </c>
      <c r="S122" s="76">
        <v>0</v>
      </c>
      <c r="T122" s="112">
        <f t="shared" si="62"/>
        <v>3.0059508035494109</v>
      </c>
      <c r="U122" s="109">
        <f t="shared" si="63"/>
        <v>0</v>
      </c>
      <c r="V122" s="108">
        <f>VLOOKUP(+A122,'HUC11 data'!$E$6:$L$156,8,FALSE)</f>
        <v>2.9069999999999999E-2</v>
      </c>
      <c r="W122" s="108">
        <f t="shared" si="64"/>
        <v>3.0350208035494108</v>
      </c>
      <c r="X122" s="283">
        <v>0</v>
      </c>
      <c r="Y122" s="257">
        <v>0</v>
      </c>
      <c r="Z122" s="257">
        <v>1.8389305510270622</v>
      </c>
      <c r="AA122" s="257">
        <v>1.2618193674600586</v>
      </c>
      <c r="AB122" s="80">
        <v>1.1052099447095447</v>
      </c>
      <c r="AC122" s="81">
        <v>2.464949457933819E-3</v>
      </c>
      <c r="AD122" s="82">
        <v>0</v>
      </c>
      <c r="AE122" s="257">
        <v>1.7712933977103787E-2</v>
      </c>
      <c r="AF122" s="257">
        <v>0</v>
      </c>
      <c r="AG122" s="81">
        <v>2.9355511835328575E-3</v>
      </c>
      <c r="AH122" s="82">
        <v>0</v>
      </c>
      <c r="AI122" s="257">
        <v>0</v>
      </c>
      <c r="AJ122" s="257">
        <v>0</v>
      </c>
      <c r="AK122" s="111">
        <f t="shared" si="65"/>
        <v>1.1283233793281153</v>
      </c>
      <c r="AL122" s="110">
        <f t="shared" si="66"/>
        <v>3.1007499184871206</v>
      </c>
      <c r="AM122" s="110">
        <f t="shared" si="67"/>
        <v>4.2290732978152361</v>
      </c>
      <c r="AN122" s="74"/>
      <c r="AO122" s="60" t="s">
        <v>269</v>
      </c>
      <c r="AP122" s="74">
        <f t="shared" si="50"/>
        <v>-1.0752381610316673</v>
      </c>
      <c r="AQ122" s="74">
        <f t="shared" si="51"/>
        <v>2.7388327763840136E-4</v>
      </c>
      <c r="AR122" s="74">
        <f t="shared" si="52"/>
        <v>0.15941636356301864</v>
      </c>
      <c r="AS122" s="74">
        <f t="shared" si="53"/>
        <v>2.6419953652897971E-2</v>
      </c>
      <c r="AT122" s="74">
        <f t="shared" si="54"/>
        <v>0</v>
      </c>
      <c r="AU122" s="286">
        <f t="shared" si="55"/>
        <v>2.9069999999999999E-2</v>
      </c>
      <c r="AV122" s="74">
        <f t="shared" si="56"/>
        <v>0.15941636356301864</v>
      </c>
      <c r="AW122" t="str">
        <f t="shared" si="49"/>
        <v>Ag Irr</v>
      </c>
      <c r="AX122" s="179">
        <f t="shared" si="57"/>
        <v>3</v>
      </c>
    </row>
    <row r="123" spans="1:50" x14ac:dyDescent="0.2">
      <c r="A123" s="60" t="s">
        <v>201</v>
      </c>
      <c r="B123" s="107">
        <f t="shared" si="58"/>
        <v>0.25</v>
      </c>
      <c r="C123" s="297">
        <v>2001</v>
      </c>
      <c r="D123" s="103">
        <f>+LFM*VLOOKUP(+A123,'HUC11 data'!$E$6:$K$156,7,FALSE)</f>
        <v>2.5474999999999999</v>
      </c>
      <c r="E123" s="103">
        <f t="shared" si="59"/>
        <v>1.5783763322087938</v>
      </c>
      <c r="F123" s="113">
        <f t="shared" si="60"/>
        <v>0.61957854061189166</v>
      </c>
      <c r="G123" s="103">
        <f t="shared" si="61"/>
        <v>0.96912366779120607</v>
      </c>
      <c r="H123" s="104" t="str">
        <f t="shared" si="48"/>
        <v>Potable</v>
      </c>
      <c r="I123" s="76">
        <v>1.1716117813281166</v>
      </c>
      <c r="J123" s="76">
        <v>0</v>
      </c>
      <c r="K123" s="77">
        <v>0.8437655669044738</v>
      </c>
      <c r="L123" s="78">
        <v>0.14983154004999455</v>
      </c>
      <c r="M123" s="79">
        <v>0</v>
      </c>
      <c r="N123" s="76">
        <v>0</v>
      </c>
      <c r="O123" s="76">
        <v>0</v>
      </c>
      <c r="P123" s="78">
        <v>5.1733507227475273E-2</v>
      </c>
      <c r="Q123" s="79">
        <v>8.2914900554287574E-2</v>
      </c>
      <c r="R123" s="76">
        <v>0</v>
      </c>
      <c r="S123" s="76">
        <v>0</v>
      </c>
      <c r="T123" s="112">
        <f t="shared" si="62"/>
        <v>1.9952481559590542</v>
      </c>
      <c r="U123" s="109">
        <f t="shared" si="63"/>
        <v>8.2914900554287574E-2</v>
      </c>
      <c r="V123" s="108">
        <f>VLOOKUP(+A123,'HUC11 data'!$E$6:$L$156,8,FALSE)</f>
        <v>0.27648800000000001</v>
      </c>
      <c r="W123" s="108">
        <f t="shared" si="64"/>
        <v>2.3546510565133421</v>
      </c>
      <c r="X123" s="283">
        <v>0</v>
      </c>
      <c r="Y123" s="257">
        <v>0</v>
      </c>
      <c r="Z123" s="257">
        <v>0</v>
      </c>
      <c r="AA123" s="257">
        <v>0</v>
      </c>
      <c r="AB123" s="80">
        <v>0.62659207810537321</v>
      </c>
      <c r="AC123" s="81">
        <v>0.13611998673256759</v>
      </c>
      <c r="AD123" s="82">
        <v>0</v>
      </c>
      <c r="AE123" s="257">
        <v>0</v>
      </c>
      <c r="AF123" s="257">
        <v>0</v>
      </c>
      <c r="AG123" s="81">
        <v>5.2711674343333429E-3</v>
      </c>
      <c r="AH123" s="82">
        <v>8.2914920322740351E-3</v>
      </c>
      <c r="AI123" s="257">
        <v>0</v>
      </c>
      <c r="AJ123" s="257">
        <v>0</v>
      </c>
      <c r="AK123" s="111">
        <f t="shared" si="65"/>
        <v>0.76798323227227416</v>
      </c>
      <c r="AL123" s="110">
        <f t="shared" si="66"/>
        <v>8.2914920322740351E-3</v>
      </c>
      <c r="AM123" s="110">
        <f t="shared" si="67"/>
        <v>0.77627472430454825</v>
      </c>
      <c r="AN123" s="74"/>
      <c r="AO123" s="60" t="s">
        <v>201</v>
      </c>
      <c r="AP123" s="74">
        <f t="shared" si="50"/>
        <v>1.388785270127217</v>
      </c>
      <c r="AQ123" s="74">
        <f t="shared" si="51"/>
        <v>1.3711553317426961E-2</v>
      </c>
      <c r="AR123" s="74">
        <f t="shared" si="52"/>
        <v>0</v>
      </c>
      <c r="AS123" s="74">
        <f t="shared" si="53"/>
        <v>0.12108574831515546</v>
      </c>
      <c r="AT123" s="74">
        <f t="shared" si="54"/>
        <v>0</v>
      </c>
      <c r="AU123" s="286">
        <f t="shared" si="55"/>
        <v>0.27648800000000001</v>
      </c>
      <c r="AV123" s="74">
        <f t="shared" si="56"/>
        <v>1.388785270127217</v>
      </c>
      <c r="AW123" t="str">
        <f t="shared" si="49"/>
        <v>Potable</v>
      </c>
      <c r="AX123" s="179">
        <f t="shared" si="57"/>
        <v>1</v>
      </c>
    </row>
    <row r="124" spans="1:50" x14ac:dyDescent="0.2">
      <c r="A124" s="60" t="s">
        <v>203</v>
      </c>
      <c r="B124" s="107">
        <f t="shared" si="58"/>
        <v>0.25</v>
      </c>
      <c r="C124" s="297">
        <v>2004</v>
      </c>
      <c r="D124" s="103">
        <f>+LFM*VLOOKUP(+A124,'HUC11 data'!$E$6:$K$156,7,FALSE)</f>
        <v>2.2450000000000001</v>
      </c>
      <c r="E124" s="103">
        <f t="shared" si="59"/>
        <v>1.6997384056259306</v>
      </c>
      <c r="F124" s="113">
        <f t="shared" si="60"/>
        <v>0.75712178424317622</v>
      </c>
      <c r="G124" s="103">
        <f t="shared" si="61"/>
        <v>0.54526159437406951</v>
      </c>
      <c r="H124" s="104" t="str">
        <f t="shared" si="48"/>
        <v>Potable</v>
      </c>
      <c r="I124" s="76">
        <v>1.1355287468753397</v>
      </c>
      <c r="J124" s="76">
        <v>0</v>
      </c>
      <c r="K124" s="77">
        <v>0.69774434097953386</v>
      </c>
      <c r="L124" s="78">
        <v>0</v>
      </c>
      <c r="M124" s="79">
        <v>0</v>
      </c>
      <c r="N124" s="76">
        <v>0</v>
      </c>
      <c r="O124" s="76">
        <v>0</v>
      </c>
      <c r="P124" s="78">
        <v>0.2238615367894794</v>
      </c>
      <c r="Q124" s="79">
        <v>9.5859145745027713E-2</v>
      </c>
      <c r="R124" s="76">
        <v>0</v>
      </c>
      <c r="S124" s="76">
        <v>0</v>
      </c>
      <c r="T124" s="112">
        <f t="shared" si="62"/>
        <v>1.8514211621799175</v>
      </c>
      <c r="U124" s="109">
        <f t="shared" si="63"/>
        <v>9.5859145745027713E-2</v>
      </c>
      <c r="V124" s="108">
        <f>VLOOKUP(+A124,'HUC11 data'!$E$6:$L$156,8,FALSE)</f>
        <v>0.30749599999999999</v>
      </c>
      <c r="W124" s="108">
        <f t="shared" si="64"/>
        <v>2.2547763079249452</v>
      </c>
      <c r="X124" s="283">
        <v>0</v>
      </c>
      <c r="Y124" s="257">
        <v>1.9885881969351157E-3</v>
      </c>
      <c r="Z124" s="257">
        <v>0</v>
      </c>
      <c r="AA124" s="257">
        <v>0</v>
      </c>
      <c r="AB124" s="80">
        <v>0.51815472910611582</v>
      </c>
      <c r="AC124" s="81">
        <v>0</v>
      </c>
      <c r="AD124" s="82">
        <v>0</v>
      </c>
      <c r="AE124" s="257">
        <v>0</v>
      </c>
      <c r="AF124" s="257">
        <v>0</v>
      </c>
      <c r="AG124" s="81">
        <v>2.5308668136000703E-2</v>
      </c>
      <c r="AH124" s="82">
        <v>9.5859168599629046E-3</v>
      </c>
      <c r="AI124" s="257">
        <v>0</v>
      </c>
      <c r="AJ124" s="257">
        <v>0</v>
      </c>
      <c r="AK124" s="111">
        <f t="shared" si="65"/>
        <v>0.54545198543905171</v>
      </c>
      <c r="AL124" s="110">
        <f t="shared" si="66"/>
        <v>9.5859168599629046E-3</v>
      </c>
      <c r="AM124" s="110">
        <f t="shared" si="67"/>
        <v>0.55503790229901462</v>
      </c>
      <c r="AN124" s="74"/>
      <c r="AO124" s="60" t="s">
        <v>203</v>
      </c>
      <c r="AP124" s="74">
        <f t="shared" si="50"/>
        <v>1.3131297705518226</v>
      </c>
      <c r="AQ124" s="74">
        <f t="shared" si="51"/>
        <v>0</v>
      </c>
      <c r="AR124" s="74">
        <f t="shared" si="52"/>
        <v>0</v>
      </c>
      <c r="AS124" s="74">
        <f t="shared" si="53"/>
        <v>0.28482609753854354</v>
      </c>
      <c r="AT124" s="74">
        <f t="shared" si="54"/>
        <v>0</v>
      </c>
      <c r="AU124" s="286">
        <f t="shared" si="55"/>
        <v>0.30749599999999999</v>
      </c>
      <c r="AV124" s="74">
        <f t="shared" si="56"/>
        <v>1.3131297705518226</v>
      </c>
      <c r="AW124" t="str">
        <f t="shared" si="49"/>
        <v>Potable</v>
      </c>
      <c r="AX124" s="179">
        <f t="shared" si="57"/>
        <v>1</v>
      </c>
    </row>
    <row r="125" spans="1:50" x14ac:dyDescent="0.2">
      <c r="A125" s="60" t="s">
        <v>205</v>
      </c>
      <c r="B125" s="107">
        <f t="shared" si="58"/>
        <v>0.25</v>
      </c>
      <c r="C125" s="297">
        <v>2005</v>
      </c>
      <c r="D125" s="103">
        <f>+LFM*VLOOKUP(+A125,'HUC11 data'!$E$6:$K$156,7,FALSE)</f>
        <v>1.2875000000000001</v>
      </c>
      <c r="E125" s="103">
        <f t="shared" si="59"/>
        <v>2.8174740259050255</v>
      </c>
      <c r="F125" s="113">
        <f t="shared" si="60"/>
        <v>2.1883293405087576</v>
      </c>
      <c r="G125" s="103">
        <f t="shared" si="61"/>
        <v>0</v>
      </c>
      <c r="H125" s="104" t="str">
        <f t="shared" si="48"/>
        <v>Potable</v>
      </c>
      <c r="I125" s="76">
        <v>2.2768880013042057</v>
      </c>
      <c r="J125" s="76">
        <v>0</v>
      </c>
      <c r="K125" s="77">
        <v>5.0825593738809981E-2</v>
      </c>
      <c r="L125" s="78">
        <v>0.17063362677969782</v>
      </c>
      <c r="M125" s="79">
        <v>0</v>
      </c>
      <c r="N125" s="76">
        <v>3.15672209542441E-2</v>
      </c>
      <c r="O125" s="76">
        <v>0</v>
      </c>
      <c r="P125" s="78">
        <v>0.92061179219650024</v>
      </c>
      <c r="Q125" s="79">
        <v>0</v>
      </c>
      <c r="R125" s="76">
        <v>0</v>
      </c>
      <c r="S125" s="76">
        <v>0</v>
      </c>
      <c r="T125" s="112">
        <f t="shared" si="62"/>
        <v>3.1054736114761119</v>
      </c>
      <c r="U125" s="109">
        <f t="shared" si="63"/>
        <v>0</v>
      </c>
      <c r="V125" s="108">
        <f>VLOOKUP(+A125,'HUC11 data'!$E$6:$L$156,8,FALSE)</f>
        <v>0</v>
      </c>
      <c r="W125" s="108">
        <f t="shared" si="64"/>
        <v>3.1054736114761119</v>
      </c>
      <c r="X125" s="283">
        <v>69.35050537985002</v>
      </c>
      <c r="Y125" s="257">
        <v>0</v>
      </c>
      <c r="Z125" s="257">
        <v>0</v>
      </c>
      <c r="AA125" s="257">
        <v>0</v>
      </c>
      <c r="AB125" s="80">
        <v>3.7741777749881696E-2</v>
      </c>
      <c r="AC125" s="81">
        <v>0.15357026384746417</v>
      </c>
      <c r="AD125" s="82">
        <v>0</v>
      </c>
      <c r="AE125" s="257">
        <v>3.1567228480456067E-3</v>
      </c>
      <c r="AF125" s="257">
        <v>0</v>
      </c>
      <c r="AG125" s="81">
        <v>9.3530821125694705E-2</v>
      </c>
      <c r="AH125" s="82">
        <v>0</v>
      </c>
      <c r="AI125" s="257">
        <v>0</v>
      </c>
      <c r="AJ125" s="257">
        <v>0</v>
      </c>
      <c r="AK125" s="111">
        <f t="shared" si="65"/>
        <v>0.28799958557108618</v>
      </c>
      <c r="AL125" s="110">
        <f t="shared" si="66"/>
        <v>0</v>
      </c>
      <c r="AM125" s="110">
        <f t="shared" si="67"/>
        <v>0.28799958557108618</v>
      </c>
      <c r="AN125" s="74"/>
      <c r="AO125" s="60" t="s">
        <v>205</v>
      </c>
      <c r="AP125" s="74">
        <f t="shared" si="50"/>
        <v>2.2899718172931336</v>
      </c>
      <c r="AQ125" s="74">
        <f t="shared" si="51"/>
        <v>1.706336293223365E-2</v>
      </c>
      <c r="AR125" s="74">
        <f t="shared" si="52"/>
        <v>2.8410498106198494E-2</v>
      </c>
      <c r="AS125" s="74">
        <f t="shared" si="53"/>
        <v>0.82708097107080558</v>
      </c>
      <c r="AT125" s="74">
        <f t="shared" si="54"/>
        <v>0</v>
      </c>
      <c r="AU125" s="286">
        <f t="shared" si="55"/>
        <v>0</v>
      </c>
      <c r="AV125" s="74">
        <f t="shared" si="56"/>
        <v>2.2899718172931336</v>
      </c>
      <c r="AW125" t="str">
        <f t="shared" si="49"/>
        <v>Potable</v>
      </c>
      <c r="AX125" s="179">
        <f t="shared" si="57"/>
        <v>1</v>
      </c>
    </row>
    <row r="126" spans="1:50" x14ac:dyDescent="0.2">
      <c r="A126" s="60" t="s">
        <v>207</v>
      </c>
      <c r="B126" s="107">
        <f t="shared" si="58"/>
        <v>0.25</v>
      </c>
      <c r="C126" s="297">
        <v>2006</v>
      </c>
      <c r="D126" s="103">
        <f>+LFM*VLOOKUP(+A126,'HUC11 data'!$E$6:$K$156,7,FALSE)</f>
        <v>2.0249999999999999</v>
      </c>
      <c r="E126" s="103">
        <f t="shared" si="59"/>
        <v>4.3952659810174586</v>
      </c>
      <c r="F126" s="113">
        <f t="shared" si="60"/>
        <v>2.1705017190209674</v>
      </c>
      <c r="G126" s="103">
        <f t="shared" si="61"/>
        <v>0</v>
      </c>
      <c r="H126" s="104" t="str">
        <f t="shared" si="48"/>
        <v>Potable</v>
      </c>
      <c r="I126" s="76">
        <v>3.5937398108901206</v>
      </c>
      <c r="J126" s="76">
        <v>0</v>
      </c>
      <c r="K126" s="77">
        <v>0.67629936889703612</v>
      </c>
      <c r="L126" s="78">
        <v>4.2604064775567871E-2</v>
      </c>
      <c r="M126" s="79">
        <v>0</v>
      </c>
      <c r="N126" s="76">
        <v>0</v>
      </c>
      <c r="O126" s="76">
        <v>0</v>
      </c>
      <c r="P126" s="78">
        <v>1.3911441111473388</v>
      </c>
      <c r="Q126" s="79">
        <v>0</v>
      </c>
      <c r="R126" s="76">
        <v>0</v>
      </c>
      <c r="S126" s="76">
        <v>0</v>
      </c>
      <c r="T126" s="112">
        <f t="shared" si="62"/>
        <v>5.1334086201390567</v>
      </c>
      <c r="U126" s="109">
        <f t="shared" si="63"/>
        <v>0</v>
      </c>
      <c r="V126" s="108">
        <f>VLOOKUP(+A126,'HUC11 data'!$E$6:$L$156,8,FALSE)</f>
        <v>0</v>
      </c>
      <c r="W126" s="108">
        <f t="shared" si="64"/>
        <v>5.1334086201390567</v>
      </c>
      <c r="X126" s="283">
        <v>0</v>
      </c>
      <c r="Y126" s="257">
        <v>0</v>
      </c>
      <c r="Z126" s="257">
        <v>0</v>
      </c>
      <c r="AA126" s="257">
        <v>0</v>
      </c>
      <c r="AB126" s="80">
        <v>0.50223436743752381</v>
      </c>
      <c r="AC126" s="81">
        <v>9.3489837917267324E-2</v>
      </c>
      <c r="AD126" s="82">
        <v>0</v>
      </c>
      <c r="AE126" s="257">
        <v>0</v>
      </c>
      <c r="AF126" s="257">
        <v>0</v>
      </c>
      <c r="AG126" s="81">
        <v>0.14241843376680718</v>
      </c>
      <c r="AH126" s="82">
        <v>0</v>
      </c>
      <c r="AI126" s="257">
        <v>0</v>
      </c>
      <c r="AJ126" s="257">
        <v>0</v>
      </c>
      <c r="AK126" s="111">
        <f t="shared" si="65"/>
        <v>0.73814263912159828</v>
      </c>
      <c r="AL126" s="110">
        <f t="shared" si="66"/>
        <v>0</v>
      </c>
      <c r="AM126" s="110">
        <f t="shared" si="67"/>
        <v>0.73814263912159828</v>
      </c>
      <c r="AN126" s="74"/>
      <c r="AO126" s="60" t="s">
        <v>207</v>
      </c>
      <c r="AP126" s="74">
        <f t="shared" si="50"/>
        <v>3.7678048123496328</v>
      </c>
      <c r="AQ126" s="74">
        <f t="shared" si="51"/>
        <v>-5.0885773141699453E-2</v>
      </c>
      <c r="AR126" s="74">
        <f t="shared" si="52"/>
        <v>0</v>
      </c>
      <c r="AS126" s="74">
        <f t="shared" si="53"/>
        <v>1.2487256773805315</v>
      </c>
      <c r="AT126" s="74">
        <f t="shared" si="54"/>
        <v>0</v>
      </c>
      <c r="AU126" s="286">
        <f t="shared" si="55"/>
        <v>0</v>
      </c>
      <c r="AV126" s="74">
        <f t="shared" si="56"/>
        <v>3.7678048123496328</v>
      </c>
      <c r="AW126" t="str">
        <f t="shared" si="49"/>
        <v>Potable</v>
      </c>
      <c r="AX126" s="179">
        <f t="shared" si="57"/>
        <v>1</v>
      </c>
    </row>
    <row r="127" spans="1:50" x14ac:dyDescent="0.2">
      <c r="A127" s="60" t="s">
        <v>209</v>
      </c>
      <c r="B127" s="107">
        <f t="shared" si="58"/>
        <v>0.25</v>
      </c>
      <c r="C127" s="297">
        <v>2003</v>
      </c>
      <c r="D127" s="103">
        <f>+LFM*VLOOKUP(+A127,'HUC11 data'!$E$6:$K$156,7,FALSE)</f>
        <v>2.62</v>
      </c>
      <c r="E127" s="103">
        <f t="shared" si="59"/>
        <v>5.2436718839507641</v>
      </c>
      <c r="F127" s="113">
        <f t="shared" si="60"/>
        <v>2.0014014824239559</v>
      </c>
      <c r="G127" s="103">
        <f t="shared" si="61"/>
        <v>0</v>
      </c>
      <c r="H127" s="104" t="str">
        <f t="shared" si="48"/>
        <v>Potable</v>
      </c>
      <c r="I127" s="76">
        <v>2.06406586240626</v>
      </c>
      <c r="J127" s="76">
        <v>0</v>
      </c>
      <c r="K127" s="77">
        <v>1.4680183508040976</v>
      </c>
      <c r="L127" s="78">
        <v>0.42093250733615906</v>
      </c>
      <c r="M127" s="79">
        <v>6.589827192696446</v>
      </c>
      <c r="N127" s="76">
        <v>7.2492120421693285E-2</v>
      </c>
      <c r="O127" s="76">
        <v>0</v>
      </c>
      <c r="P127" s="78">
        <v>0.31570611890011951</v>
      </c>
      <c r="Q127" s="79">
        <v>0.77600260841212909</v>
      </c>
      <c r="R127" s="76">
        <v>0</v>
      </c>
      <c r="S127" s="76">
        <v>0</v>
      </c>
      <c r="T127" s="112">
        <f t="shared" si="62"/>
        <v>3.9070934638814969</v>
      </c>
      <c r="U127" s="109">
        <f t="shared" si="63"/>
        <v>7.3658298011085748</v>
      </c>
      <c r="V127" s="108">
        <f>VLOOKUP(+A127,'HUC11 data'!$E$6:$L$156,8,FALSE)</f>
        <v>1.3753340000000014</v>
      </c>
      <c r="W127" s="108">
        <f t="shared" si="64"/>
        <v>12.648257264990072</v>
      </c>
      <c r="X127" s="283">
        <v>0</v>
      </c>
      <c r="Y127" s="257">
        <v>1.1108901206390607E-2</v>
      </c>
      <c r="Z127" s="257">
        <v>0</v>
      </c>
      <c r="AA127" s="257">
        <v>0</v>
      </c>
      <c r="AB127" s="80">
        <v>1.0901701416617149</v>
      </c>
      <c r="AC127" s="81">
        <v>0.38539289143885913</v>
      </c>
      <c r="AD127" s="82">
        <v>5.799047947248166</v>
      </c>
      <c r="AE127" s="257">
        <v>7.2492137705161639E-3</v>
      </c>
      <c r="AF127" s="257">
        <v>0</v>
      </c>
      <c r="AG127" s="81">
        <v>3.4016006371104551E-2</v>
      </c>
      <c r="AH127" s="82">
        <v>7.7600279342556838E-2</v>
      </c>
      <c r="AI127" s="257">
        <v>0</v>
      </c>
      <c r="AJ127" s="257">
        <v>0</v>
      </c>
      <c r="AK127" s="111">
        <f t="shared" si="65"/>
        <v>1.5279371544485854</v>
      </c>
      <c r="AL127" s="110">
        <f t="shared" si="66"/>
        <v>5.8766482265907225</v>
      </c>
      <c r="AM127" s="110">
        <f t="shared" si="67"/>
        <v>7.4045853810393076</v>
      </c>
      <c r="AN127" s="74"/>
      <c r="AO127" s="60" t="s">
        <v>209</v>
      </c>
      <c r="AP127" s="74">
        <f t="shared" si="50"/>
        <v>2.4308051703422522</v>
      </c>
      <c r="AQ127" s="74">
        <f t="shared" si="51"/>
        <v>0.8263188613455803</v>
      </c>
      <c r="AR127" s="74">
        <f t="shared" si="52"/>
        <v>6.5242906651177116E-2</v>
      </c>
      <c r="AS127" s="74">
        <f t="shared" si="53"/>
        <v>0.98009244159858722</v>
      </c>
      <c r="AT127" s="74">
        <f t="shared" si="54"/>
        <v>0</v>
      </c>
      <c r="AU127" s="286">
        <f t="shared" si="55"/>
        <v>1.3753340000000014</v>
      </c>
      <c r="AV127" s="74">
        <f t="shared" si="56"/>
        <v>2.4308051703422522</v>
      </c>
      <c r="AW127" t="str">
        <f t="shared" si="49"/>
        <v>Potable</v>
      </c>
      <c r="AX127" s="179">
        <f t="shared" si="57"/>
        <v>1</v>
      </c>
    </row>
    <row r="128" spans="1:50" x14ac:dyDescent="0.2">
      <c r="A128" s="60" t="s">
        <v>211</v>
      </c>
      <c r="B128" s="107">
        <f t="shared" si="58"/>
        <v>0.25</v>
      </c>
      <c r="C128" s="297">
        <v>2002</v>
      </c>
      <c r="D128" s="103">
        <f>+LFM*VLOOKUP(+A128,'HUC11 data'!$E$6:$K$156,7,FALSE)</f>
        <v>5.0650000000000004</v>
      </c>
      <c r="E128" s="103">
        <f t="shared" si="59"/>
        <v>2.512854606799225</v>
      </c>
      <c r="F128" s="113">
        <f t="shared" si="60"/>
        <v>0.49612134388928425</v>
      </c>
      <c r="G128" s="103">
        <f t="shared" si="61"/>
        <v>2.5521453932007754</v>
      </c>
      <c r="H128" s="104" t="str">
        <f t="shared" si="48"/>
        <v>Potable</v>
      </c>
      <c r="I128" s="76">
        <v>1.5065645038582764</v>
      </c>
      <c r="J128" s="76">
        <v>0</v>
      </c>
      <c r="K128" s="77">
        <v>1.1782241228313017</v>
      </c>
      <c r="L128" s="78">
        <v>0.93011629170742316</v>
      </c>
      <c r="M128" s="79">
        <v>0</v>
      </c>
      <c r="N128" s="76">
        <v>0</v>
      </c>
      <c r="O128" s="76">
        <v>0</v>
      </c>
      <c r="P128" s="78">
        <v>0.61385718943593082</v>
      </c>
      <c r="Q128" s="79">
        <v>0</v>
      </c>
      <c r="R128" s="76">
        <v>0</v>
      </c>
      <c r="S128" s="76">
        <v>0</v>
      </c>
      <c r="T128" s="112">
        <f t="shared" si="62"/>
        <v>3.8058858970496385</v>
      </c>
      <c r="U128" s="109">
        <f t="shared" si="63"/>
        <v>0</v>
      </c>
      <c r="V128" s="108">
        <f>VLOOKUP(+A128,'HUC11 data'!$E$6:$L$156,8,FALSE)</f>
        <v>0.54393199999999986</v>
      </c>
      <c r="W128" s="108">
        <f t="shared" si="64"/>
        <v>4.3498178970496379</v>
      </c>
      <c r="X128" s="283">
        <v>0</v>
      </c>
      <c r="Y128" s="257">
        <v>1.7507988262145415E-2</v>
      </c>
      <c r="Z128" s="257">
        <v>0</v>
      </c>
      <c r="AA128" s="257">
        <v>0</v>
      </c>
      <c r="AB128" s="80">
        <v>0.8749807751708375</v>
      </c>
      <c r="AC128" s="81">
        <v>0.88308879323834089</v>
      </c>
      <c r="AD128" s="82">
        <v>0</v>
      </c>
      <c r="AE128" s="257">
        <v>0</v>
      </c>
      <c r="AF128" s="257">
        <v>0</v>
      </c>
      <c r="AG128" s="81">
        <v>6.1385733579088948E-2</v>
      </c>
      <c r="AH128" s="82">
        <v>0</v>
      </c>
      <c r="AI128" s="257">
        <v>0</v>
      </c>
      <c r="AJ128" s="257">
        <v>0</v>
      </c>
      <c r="AK128" s="111">
        <f t="shared" si="65"/>
        <v>1.8369632902504129</v>
      </c>
      <c r="AL128" s="110">
        <f t="shared" si="66"/>
        <v>0</v>
      </c>
      <c r="AM128" s="110">
        <f t="shared" si="67"/>
        <v>1.8369632902504129</v>
      </c>
      <c r="AN128" s="74"/>
      <c r="AO128" s="60" t="s">
        <v>211</v>
      </c>
      <c r="AP128" s="74">
        <f t="shared" si="50"/>
        <v>1.7922998632565954</v>
      </c>
      <c r="AQ128" s="74">
        <f t="shared" si="51"/>
        <v>4.7027498469082274E-2</v>
      </c>
      <c r="AR128" s="74">
        <f t="shared" si="52"/>
        <v>0</v>
      </c>
      <c r="AS128" s="74">
        <f t="shared" si="53"/>
        <v>0.55247145585684188</v>
      </c>
      <c r="AT128" s="74">
        <f t="shared" si="54"/>
        <v>0</v>
      </c>
      <c r="AU128" s="286">
        <f t="shared" si="55"/>
        <v>0.54393199999999986</v>
      </c>
      <c r="AV128" s="74">
        <f t="shared" si="56"/>
        <v>1.7922998632565954</v>
      </c>
      <c r="AW128" t="str">
        <f t="shared" si="49"/>
        <v>Potable</v>
      </c>
      <c r="AX128" s="179">
        <f t="shared" si="57"/>
        <v>1</v>
      </c>
    </row>
    <row r="129" spans="1:50" x14ac:dyDescent="0.2">
      <c r="A129" s="60" t="s">
        <v>213</v>
      </c>
      <c r="B129" s="107">
        <f t="shared" si="58"/>
        <v>0.25</v>
      </c>
      <c r="C129" s="297">
        <v>2002</v>
      </c>
      <c r="D129" s="103">
        <f>+LFM*VLOOKUP(+A129,'HUC11 data'!$E$6:$K$156,7,FALSE)</f>
        <v>5.9074999999999998</v>
      </c>
      <c r="E129" s="103">
        <f t="shared" si="59"/>
        <v>11.674488507484782</v>
      </c>
      <c r="F129" s="113">
        <f t="shared" si="60"/>
        <v>1.9762147283088924</v>
      </c>
      <c r="G129" s="103">
        <f t="shared" si="61"/>
        <v>0</v>
      </c>
      <c r="H129" s="104" t="str">
        <f t="shared" si="48"/>
        <v>Potable</v>
      </c>
      <c r="I129" s="76">
        <v>12.596706879686991</v>
      </c>
      <c r="J129" s="76">
        <v>0</v>
      </c>
      <c r="K129" s="77">
        <v>1.191956174834484</v>
      </c>
      <c r="L129" s="78">
        <v>2.3689925008151289</v>
      </c>
      <c r="M129" s="79">
        <v>0</v>
      </c>
      <c r="N129" s="76">
        <v>0</v>
      </c>
      <c r="O129" s="76">
        <v>0</v>
      </c>
      <c r="P129" s="78">
        <v>0.18447994783175742</v>
      </c>
      <c r="Q129" s="79">
        <v>0</v>
      </c>
      <c r="R129" s="76">
        <v>0</v>
      </c>
      <c r="S129" s="76">
        <v>0</v>
      </c>
      <c r="T129" s="112">
        <f t="shared" si="62"/>
        <v>14.707921952851525</v>
      </c>
      <c r="U129" s="109">
        <f t="shared" si="63"/>
        <v>0</v>
      </c>
      <c r="V129" s="108">
        <f>VLOOKUP(+A129,'HUC11 data'!$E$6:$L$156,8,FALSE)</f>
        <v>0</v>
      </c>
      <c r="W129" s="108">
        <f t="shared" si="64"/>
        <v>14.707921952851525</v>
      </c>
      <c r="X129" s="283">
        <v>0</v>
      </c>
      <c r="Y129" s="257">
        <v>0</v>
      </c>
      <c r="Z129" s="257">
        <v>0</v>
      </c>
      <c r="AA129" s="257">
        <v>0</v>
      </c>
      <c r="AB129" s="80">
        <v>0.88516369073691659</v>
      </c>
      <c r="AC129" s="81">
        <v>2.1298217554483063</v>
      </c>
      <c r="AD129" s="82">
        <v>0</v>
      </c>
      <c r="AE129" s="257">
        <v>0</v>
      </c>
      <c r="AF129" s="257">
        <v>0</v>
      </c>
      <c r="AG129" s="81">
        <v>1.8447999181520448E-2</v>
      </c>
      <c r="AH129" s="82">
        <v>0</v>
      </c>
      <c r="AI129" s="257">
        <v>0</v>
      </c>
      <c r="AJ129" s="257">
        <v>0</v>
      </c>
      <c r="AK129" s="111">
        <f t="shared" si="65"/>
        <v>3.0334334453667431</v>
      </c>
      <c r="AL129" s="110">
        <f t="shared" si="66"/>
        <v>0</v>
      </c>
      <c r="AM129" s="110">
        <f t="shared" si="67"/>
        <v>3.0334334453667431</v>
      </c>
      <c r="AN129" s="74"/>
      <c r="AO129" s="60" t="s">
        <v>213</v>
      </c>
      <c r="AP129" s="74">
        <f t="shared" si="50"/>
        <v>12.903499363784558</v>
      </c>
      <c r="AQ129" s="74">
        <f t="shared" si="51"/>
        <v>0.23917074536682259</v>
      </c>
      <c r="AR129" s="74">
        <f t="shared" si="52"/>
        <v>0</v>
      </c>
      <c r="AS129" s="74">
        <f t="shared" si="53"/>
        <v>0.16603194865023696</v>
      </c>
      <c r="AT129" s="74">
        <f t="shared" si="54"/>
        <v>0</v>
      </c>
      <c r="AU129" s="286">
        <f t="shared" si="55"/>
        <v>0</v>
      </c>
      <c r="AV129" s="74">
        <f t="shared" si="56"/>
        <v>12.903499363784558</v>
      </c>
      <c r="AW129" t="str">
        <f t="shared" si="49"/>
        <v>Potable</v>
      </c>
      <c r="AX129" s="179">
        <f t="shared" si="57"/>
        <v>1</v>
      </c>
    </row>
    <row r="130" spans="1:50" x14ac:dyDescent="0.2">
      <c r="A130" s="60" t="s">
        <v>215</v>
      </c>
      <c r="B130" s="107">
        <f t="shared" si="58"/>
        <v>0.25</v>
      </c>
      <c r="C130" s="297">
        <v>2007</v>
      </c>
      <c r="D130" s="103">
        <f>+LFM*VLOOKUP(+A130,'HUC11 data'!$E$6:$K$156,7,FALSE)</f>
        <v>8.2825000000000006</v>
      </c>
      <c r="E130" s="103">
        <f t="shared" si="59"/>
        <v>3.183566410096959</v>
      </c>
      <c r="F130" s="113">
        <f t="shared" si="60"/>
        <v>0.38437264232984714</v>
      </c>
      <c r="G130" s="103">
        <f t="shared" si="61"/>
        <v>5.0989335899030417</v>
      </c>
      <c r="H130" s="104" t="str">
        <f t="shared" si="48"/>
        <v>Potable</v>
      </c>
      <c r="I130" s="76">
        <v>1.3876643843060539</v>
      </c>
      <c r="J130" s="76">
        <v>0</v>
      </c>
      <c r="K130" s="77">
        <v>1.381331593539364</v>
      </c>
      <c r="L130" s="78">
        <v>0</v>
      </c>
      <c r="M130" s="79">
        <v>6.8030648842517119</v>
      </c>
      <c r="N130" s="76">
        <v>0</v>
      </c>
      <c r="O130" s="76">
        <v>0</v>
      </c>
      <c r="P130" s="78">
        <v>0.23998369742419301</v>
      </c>
      <c r="Q130" s="79">
        <v>0</v>
      </c>
      <c r="R130" s="76">
        <v>0</v>
      </c>
      <c r="S130" s="76">
        <v>0</v>
      </c>
      <c r="T130" s="112">
        <f t="shared" si="62"/>
        <v>2.7080817077426498</v>
      </c>
      <c r="U130" s="109">
        <f t="shared" si="63"/>
        <v>6.8030648842517119</v>
      </c>
      <c r="V130" s="108">
        <f>VLOOKUP(+A130,'HUC11 data'!$E$6:$L$156,8,FALSE)</f>
        <v>0.84496800000000039</v>
      </c>
      <c r="W130" s="108">
        <f t="shared" si="64"/>
        <v>10.356114591994361</v>
      </c>
      <c r="X130" s="283">
        <v>0</v>
      </c>
      <c r="Y130" s="257">
        <v>0</v>
      </c>
      <c r="Z130" s="257">
        <v>0</v>
      </c>
      <c r="AA130" s="257">
        <v>0</v>
      </c>
      <c r="AB130" s="80">
        <v>1.0257914207441414</v>
      </c>
      <c r="AC130" s="81">
        <v>0</v>
      </c>
      <c r="AD130" s="82">
        <v>6.1227583856891838</v>
      </c>
      <c r="AE130" s="257">
        <v>0</v>
      </c>
      <c r="AF130" s="257">
        <v>0</v>
      </c>
      <c r="AG130" s="81">
        <v>2.3998375464076516E-2</v>
      </c>
      <c r="AH130" s="82">
        <v>0</v>
      </c>
      <c r="AI130" s="257">
        <v>0</v>
      </c>
      <c r="AJ130" s="257">
        <v>0</v>
      </c>
      <c r="AK130" s="111">
        <f t="shared" si="65"/>
        <v>1.0497897962082179</v>
      </c>
      <c r="AL130" s="110">
        <f t="shared" si="66"/>
        <v>6.1227583856891838</v>
      </c>
      <c r="AM130" s="110">
        <f t="shared" si="67"/>
        <v>7.172548181897402</v>
      </c>
      <c r="AN130" s="74"/>
      <c r="AO130" s="60" t="s">
        <v>215</v>
      </c>
      <c r="AP130" s="74">
        <f t="shared" si="50"/>
        <v>1.7432045571012764</v>
      </c>
      <c r="AQ130" s="74">
        <f t="shared" si="51"/>
        <v>0.68030649856252801</v>
      </c>
      <c r="AR130" s="74">
        <f t="shared" si="52"/>
        <v>0</v>
      </c>
      <c r="AS130" s="74">
        <f t="shared" si="53"/>
        <v>0.21598532196011649</v>
      </c>
      <c r="AT130" s="74">
        <f t="shared" si="54"/>
        <v>0</v>
      </c>
      <c r="AU130" s="286">
        <f t="shared" si="55"/>
        <v>0.84496800000000039</v>
      </c>
      <c r="AV130" s="74">
        <f t="shared" si="56"/>
        <v>1.7432045571012764</v>
      </c>
      <c r="AW130" t="str">
        <f t="shared" si="49"/>
        <v>Potable</v>
      </c>
      <c r="AX130" s="179">
        <f t="shared" si="57"/>
        <v>1</v>
      </c>
    </row>
    <row r="131" spans="1:50" x14ac:dyDescent="0.2">
      <c r="A131" s="60" t="s">
        <v>217</v>
      </c>
      <c r="B131" s="107">
        <f t="shared" si="58"/>
        <v>0.25</v>
      </c>
      <c r="C131" s="297">
        <v>2001</v>
      </c>
      <c r="D131" s="103">
        <f>+LFM*VLOOKUP(+A131,'HUC11 data'!$E$6:$K$156,7,FALSE)</f>
        <v>5.6</v>
      </c>
      <c r="E131" s="103">
        <f t="shared" si="59"/>
        <v>0.54841131170097812</v>
      </c>
      <c r="F131" s="113">
        <f t="shared" si="60"/>
        <v>9.7930591375174667E-2</v>
      </c>
      <c r="G131" s="103">
        <f t="shared" si="61"/>
        <v>5.051588688299022</v>
      </c>
      <c r="H131" s="104" t="str">
        <f t="shared" si="48"/>
        <v>Potable</v>
      </c>
      <c r="I131" s="76">
        <v>0.22672535593957177</v>
      </c>
      <c r="J131" s="76">
        <v>0</v>
      </c>
      <c r="K131" s="77">
        <v>0.95659978593114681</v>
      </c>
      <c r="L131" s="78">
        <v>0</v>
      </c>
      <c r="M131" s="79">
        <v>0</v>
      </c>
      <c r="N131" s="76">
        <v>0</v>
      </c>
      <c r="O131" s="76">
        <v>0</v>
      </c>
      <c r="P131" s="78">
        <v>0</v>
      </c>
      <c r="Q131" s="79">
        <v>0</v>
      </c>
      <c r="R131" s="76">
        <v>0</v>
      </c>
      <c r="S131" s="76">
        <v>0</v>
      </c>
      <c r="T131" s="112">
        <f t="shared" si="62"/>
        <v>1.0649926276836468</v>
      </c>
      <c r="U131" s="109">
        <f t="shared" si="63"/>
        <v>0</v>
      </c>
      <c r="V131" s="108">
        <f>VLOOKUP(+A131,'HUC11 data'!$E$6:$L$156,8,FALSE)</f>
        <v>0.19379999999999997</v>
      </c>
      <c r="W131" s="108">
        <f t="shared" si="64"/>
        <v>1.2587926276836467</v>
      </c>
      <c r="X131" s="283">
        <v>0</v>
      </c>
      <c r="Y131" s="257">
        <v>0</v>
      </c>
      <c r="Z131" s="257">
        <v>0</v>
      </c>
      <c r="AA131" s="257">
        <v>0</v>
      </c>
      <c r="AB131" s="80">
        <v>0.71038131598266863</v>
      </c>
      <c r="AC131" s="81">
        <v>0</v>
      </c>
      <c r="AD131" s="82">
        <v>0</v>
      </c>
      <c r="AE131" s="257">
        <v>0</v>
      </c>
      <c r="AF131" s="257">
        <v>0</v>
      </c>
      <c r="AG131" s="81">
        <v>0</v>
      </c>
      <c r="AH131" s="82">
        <v>0</v>
      </c>
      <c r="AI131" s="257">
        <v>0</v>
      </c>
      <c r="AJ131" s="257">
        <v>0</v>
      </c>
      <c r="AK131" s="111">
        <f t="shared" si="65"/>
        <v>0.71038131598266863</v>
      </c>
      <c r="AL131" s="110">
        <f t="shared" si="66"/>
        <v>0</v>
      </c>
      <c r="AM131" s="110">
        <f t="shared" si="67"/>
        <v>0.71038131598266863</v>
      </c>
      <c r="AN131" s="74"/>
      <c r="AO131" s="60" t="s">
        <v>217</v>
      </c>
      <c r="AP131" s="74">
        <f t="shared" si="50"/>
        <v>0.47294382588805006</v>
      </c>
      <c r="AQ131" s="74">
        <f t="shared" si="51"/>
        <v>0</v>
      </c>
      <c r="AR131" s="74">
        <f t="shared" si="52"/>
        <v>0</v>
      </c>
      <c r="AS131" s="74">
        <f t="shared" si="53"/>
        <v>0</v>
      </c>
      <c r="AT131" s="74">
        <f t="shared" si="54"/>
        <v>0</v>
      </c>
      <c r="AU131" s="286">
        <f t="shared" si="55"/>
        <v>0.19379999999999997</v>
      </c>
      <c r="AV131" s="74">
        <f t="shared" si="56"/>
        <v>0.47294382588805006</v>
      </c>
      <c r="AW131" t="str">
        <f t="shared" si="49"/>
        <v>Potable</v>
      </c>
      <c r="AX131" s="179">
        <f t="shared" si="57"/>
        <v>1</v>
      </c>
    </row>
    <row r="132" spans="1:50" x14ac:dyDescent="0.2">
      <c r="A132" s="60" t="s">
        <v>219</v>
      </c>
      <c r="B132" s="107">
        <f t="shared" si="58"/>
        <v>0.25</v>
      </c>
      <c r="C132" s="297">
        <v>2002</v>
      </c>
      <c r="D132" s="103">
        <f>+LFM*VLOOKUP(+A132,'HUC11 data'!$E$6:$K$156,7,FALSE)</f>
        <v>3.9249999999999998</v>
      </c>
      <c r="E132" s="103">
        <f t="shared" si="59"/>
        <v>2.5041982745491764</v>
      </c>
      <c r="F132" s="113">
        <f t="shared" si="60"/>
        <v>0.6380122992481978</v>
      </c>
      <c r="G132" s="103">
        <f t="shared" si="61"/>
        <v>1.4208017254508234</v>
      </c>
      <c r="H132" s="104" t="str">
        <f t="shared" si="48"/>
        <v>Potable</v>
      </c>
      <c r="I132" s="76">
        <v>1.940767307901315</v>
      </c>
      <c r="J132" s="76">
        <v>0</v>
      </c>
      <c r="K132" s="77">
        <v>0.84439019889045142</v>
      </c>
      <c r="L132" s="78">
        <v>5.1950874904901641E-2</v>
      </c>
      <c r="M132" s="79">
        <v>0</v>
      </c>
      <c r="N132" s="76">
        <v>0</v>
      </c>
      <c r="O132" s="76">
        <v>0</v>
      </c>
      <c r="P132" s="78">
        <v>0</v>
      </c>
      <c r="Q132" s="79">
        <v>0</v>
      </c>
      <c r="R132" s="76">
        <v>8.0426040647755669E-4</v>
      </c>
      <c r="S132" s="76">
        <v>0</v>
      </c>
      <c r="T132" s="112">
        <f t="shared" si="62"/>
        <v>2.5541213778928316</v>
      </c>
      <c r="U132" s="109">
        <f t="shared" si="63"/>
        <v>0</v>
      </c>
      <c r="V132" s="108">
        <f>VLOOKUP(+A132,'HUC11 data'!$E$6:$L$156,8,FALSE)</f>
        <v>0.62468199999999996</v>
      </c>
      <c r="W132" s="108">
        <f t="shared" si="64"/>
        <v>3.1788033778928315</v>
      </c>
      <c r="X132" s="283">
        <v>0</v>
      </c>
      <c r="Y132" s="257">
        <v>0</v>
      </c>
      <c r="Z132" s="257">
        <v>0</v>
      </c>
      <c r="AA132" s="257">
        <v>0</v>
      </c>
      <c r="AB132" s="80">
        <v>0.62705309820406396</v>
      </c>
      <c r="AC132" s="81">
        <v>4.6755787336998644E-2</v>
      </c>
      <c r="AD132" s="82">
        <v>0</v>
      </c>
      <c r="AE132" s="257">
        <v>0</v>
      </c>
      <c r="AF132" s="257">
        <v>0</v>
      </c>
      <c r="AG132" s="81">
        <v>0</v>
      </c>
      <c r="AH132" s="82">
        <v>0</v>
      </c>
      <c r="AI132" s="257">
        <v>7.9621780259254743E-4</v>
      </c>
      <c r="AJ132" s="257">
        <v>0</v>
      </c>
      <c r="AK132" s="111">
        <f t="shared" si="65"/>
        <v>0.6746051033436552</v>
      </c>
      <c r="AL132" s="110">
        <f t="shared" si="66"/>
        <v>0</v>
      </c>
      <c r="AM132" s="110">
        <f t="shared" si="67"/>
        <v>0.6746051033436552</v>
      </c>
      <c r="AN132" s="74"/>
      <c r="AO132" s="60" t="s">
        <v>219</v>
      </c>
      <c r="AP132" s="74">
        <f t="shared" si="50"/>
        <v>2.1581044085877026</v>
      </c>
      <c r="AQ132" s="74">
        <f t="shared" si="51"/>
        <v>5.1950875679029965E-3</v>
      </c>
      <c r="AR132" s="74">
        <f t="shared" si="52"/>
        <v>0</v>
      </c>
      <c r="AS132" s="74">
        <f t="shared" si="53"/>
        <v>0</v>
      </c>
      <c r="AT132" s="74">
        <f t="shared" si="54"/>
        <v>8.0426038850092609E-6</v>
      </c>
      <c r="AU132" s="286">
        <f t="shared" si="55"/>
        <v>0.62468199999999996</v>
      </c>
      <c r="AV132" s="74">
        <f t="shared" si="56"/>
        <v>2.1581044085877026</v>
      </c>
      <c r="AW132" t="str">
        <f t="shared" si="49"/>
        <v>Potable</v>
      </c>
      <c r="AX132" s="179">
        <f t="shared" si="57"/>
        <v>1</v>
      </c>
    </row>
    <row r="133" spans="1:50" x14ac:dyDescent="0.2">
      <c r="A133" s="60" t="s">
        <v>221</v>
      </c>
      <c r="B133" s="107">
        <f t="shared" si="58"/>
        <v>0.25</v>
      </c>
      <c r="C133" s="297">
        <v>2008</v>
      </c>
      <c r="D133" s="103">
        <f>+LFM*VLOOKUP(+A133,'HUC11 data'!$E$6:$K$156,7,FALSE)</f>
        <v>2.9624999999999999</v>
      </c>
      <c r="E133" s="103">
        <f t="shared" si="59"/>
        <v>2.0829963233402546</v>
      </c>
      <c r="F133" s="113">
        <f t="shared" si="60"/>
        <v>0.70312112180261765</v>
      </c>
      <c r="G133" s="103">
        <f t="shared" si="61"/>
        <v>0.87950367665974527</v>
      </c>
      <c r="H133" s="104" t="str">
        <f t="shared" si="48"/>
        <v>Potable</v>
      </c>
      <c r="I133" s="76">
        <v>1.4836771220519507</v>
      </c>
      <c r="J133" s="76">
        <v>0</v>
      </c>
      <c r="K133" s="77">
        <v>0.63089949862741934</v>
      </c>
      <c r="L133" s="78">
        <v>8.9847842625801547E-3</v>
      </c>
      <c r="M133" s="79">
        <v>0</v>
      </c>
      <c r="N133" s="76">
        <v>0</v>
      </c>
      <c r="O133" s="76">
        <v>0</v>
      </c>
      <c r="P133" s="78">
        <v>0</v>
      </c>
      <c r="Q133" s="79">
        <v>0.261591131398761</v>
      </c>
      <c r="R133" s="76">
        <v>0</v>
      </c>
      <c r="S133" s="76">
        <v>0</v>
      </c>
      <c r="T133" s="112">
        <f t="shared" si="62"/>
        <v>1.9112052644477553</v>
      </c>
      <c r="U133" s="109">
        <f t="shared" si="63"/>
        <v>0.261591131398761</v>
      </c>
      <c r="V133" s="108">
        <f>VLOOKUP(+A133,'HUC11 data'!$E$6:$L$156,8,FALSE)</f>
        <v>0.41602399999999995</v>
      </c>
      <c r="W133" s="108">
        <f t="shared" si="64"/>
        <v>2.5888203958465166</v>
      </c>
      <c r="X133" s="283">
        <v>0</v>
      </c>
      <c r="Y133" s="257">
        <v>0</v>
      </c>
      <c r="Z133" s="257">
        <v>0</v>
      </c>
      <c r="AA133" s="257">
        <v>0</v>
      </c>
      <c r="AB133" s="80">
        <v>0.46851376232419656</v>
      </c>
      <c r="AC133" s="81">
        <v>8.0863058229337665E-3</v>
      </c>
      <c r="AD133" s="82">
        <v>0</v>
      </c>
      <c r="AE133" s="257">
        <v>0</v>
      </c>
      <c r="AF133" s="257">
        <v>0</v>
      </c>
      <c r="AG133" s="81">
        <v>3.064884982437119E-3</v>
      </c>
      <c r="AH133" s="82">
        <v>2.615911937669468E-2</v>
      </c>
      <c r="AI133" s="257">
        <v>0</v>
      </c>
      <c r="AJ133" s="257">
        <v>0</v>
      </c>
      <c r="AK133" s="111">
        <f t="shared" si="65"/>
        <v>0.47966495312956747</v>
      </c>
      <c r="AL133" s="110">
        <f t="shared" si="66"/>
        <v>2.615911937669468E-2</v>
      </c>
      <c r="AM133" s="110">
        <f t="shared" si="67"/>
        <v>0.50582407250626216</v>
      </c>
      <c r="AN133" s="74"/>
      <c r="AO133" s="60" t="s">
        <v>221</v>
      </c>
      <c r="AP133" s="74">
        <f t="shared" si="50"/>
        <v>1.6460628583551735</v>
      </c>
      <c r="AQ133" s="74">
        <f t="shared" si="51"/>
        <v>8.9847843964638817E-4</v>
      </c>
      <c r="AR133" s="74">
        <f t="shared" si="52"/>
        <v>0</v>
      </c>
      <c r="AS133" s="74">
        <f t="shared" si="53"/>
        <v>0.2323671270396292</v>
      </c>
      <c r="AT133" s="74">
        <f t="shared" si="54"/>
        <v>0</v>
      </c>
      <c r="AU133" s="286">
        <f t="shared" si="55"/>
        <v>0.41602399999999995</v>
      </c>
      <c r="AV133" s="74">
        <f t="shared" si="56"/>
        <v>1.6460628583551735</v>
      </c>
      <c r="AW133" t="str">
        <f t="shared" si="49"/>
        <v>Potable</v>
      </c>
      <c r="AX133" s="179">
        <f t="shared" si="57"/>
        <v>1</v>
      </c>
    </row>
    <row r="134" spans="1:50" x14ac:dyDescent="0.2">
      <c r="A134" s="60" t="s">
        <v>223</v>
      </c>
      <c r="B134" s="107">
        <f t="shared" ref="B134:B156" si="68">+LFM</f>
        <v>0.25</v>
      </c>
      <c r="C134" s="297">
        <v>2007</v>
      </c>
      <c r="D134" s="103">
        <f>+LFM*VLOOKUP(+A134,'HUC11 data'!$E$6:$K$156,7,FALSE)</f>
        <v>5.2024999999999997</v>
      </c>
      <c r="E134" s="103">
        <f t="shared" ref="E134:E156" si="69">+W134-AM134</f>
        <v>3.28587215753757</v>
      </c>
      <c r="F134" s="113">
        <f t="shared" ref="F134:F156" si="70">IF(E134&gt;0,+E134/D134,"Net Gain")</f>
        <v>0.6315948404685382</v>
      </c>
      <c r="G134" s="103">
        <f t="shared" ref="G134:G156" si="71">MAX(0,D134-E134)</f>
        <v>1.9166278424624297</v>
      </c>
      <c r="H134" s="104" t="str">
        <f t="shared" si="48"/>
        <v>Potable</v>
      </c>
      <c r="I134" s="76">
        <v>1.6857515487447017</v>
      </c>
      <c r="J134" s="76">
        <v>0</v>
      </c>
      <c r="K134" s="77">
        <v>1.6477645186913761</v>
      </c>
      <c r="L134" s="78">
        <v>0.39084882078034988</v>
      </c>
      <c r="M134" s="79">
        <v>3.940332572546462</v>
      </c>
      <c r="N134" s="76">
        <v>0</v>
      </c>
      <c r="O134" s="76">
        <v>0</v>
      </c>
      <c r="P134" s="78">
        <v>0</v>
      </c>
      <c r="Q134" s="79">
        <v>6.7166612324747313E-2</v>
      </c>
      <c r="R134" s="76">
        <v>0</v>
      </c>
      <c r="S134" s="76">
        <v>0</v>
      </c>
      <c r="T134" s="112">
        <f t="shared" ref="T134:T156" si="72">SUM(I134,K134,L134,N134,P134,R134)*0.9</f>
        <v>3.3519283993947848</v>
      </c>
      <c r="U134" s="109">
        <f t="shared" ref="U134:U156" si="73">SUM(J134,M134,O134,Q134,S134)</f>
        <v>4.0074991848712092</v>
      </c>
      <c r="V134" s="108">
        <f>VLOOKUP(+A134,'HUC11 data'!$E$6:$L$156,8,FALSE)</f>
        <v>1.0936779999999999</v>
      </c>
      <c r="W134" s="108">
        <f t="shared" ref="W134:W156" si="74">SUM(T134:V134)</f>
        <v>8.4531055842659946</v>
      </c>
      <c r="X134" s="283">
        <v>0</v>
      </c>
      <c r="Y134" s="257">
        <v>0</v>
      </c>
      <c r="Z134" s="257">
        <v>0</v>
      </c>
      <c r="AA134" s="257">
        <v>0</v>
      </c>
      <c r="AB134" s="80">
        <v>1.2236479511636151</v>
      </c>
      <c r="AC134" s="81">
        <v>0.3905695033106949</v>
      </c>
      <c r="AD134" s="82">
        <v>3.5462993094202626</v>
      </c>
      <c r="AE134" s="257">
        <v>0</v>
      </c>
      <c r="AF134" s="257">
        <v>0</v>
      </c>
      <c r="AG134" s="81">
        <v>0</v>
      </c>
      <c r="AH134" s="82">
        <v>6.716662833851559E-3</v>
      </c>
      <c r="AI134" s="257">
        <v>0</v>
      </c>
      <c r="AJ134" s="257">
        <v>0</v>
      </c>
      <c r="AK134" s="111">
        <f t="shared" ref="AK134:AK156" si="75">SUM(Y134,AB134,AC134,AE134,AG134,AI134)</f>
        <v>1.61421745447431</v>
      </c>
      <c r="AL134" s="110">
        <f t="shared" ref="AL134:AL156" si="76">SUM(Z134,AA134,AD134,AF134,AH134,AJ134)</f>
        <v>3.5530159722541144</v>
      </c>
      <c r="AM134" s="110">
        <f t="shared" ref="AM134:AM156" si="77">SUM(AK134:AL134)</f>
        <v>5.1672334267284246</v>
      </c>
      <c r="AN134" s="74"/>
      <c r="AO134" s="60" t="s">
        <v>223</v>
      </c>
      <c r="AP134" s="74">
        <f t="shared" si="50"/>
        <v>2.1098681162724624</v>
      </c>
      <c r="AQ134" s="74">
        <f t="shared" si="51"/>
        <v>0.39431258059585428</v>
      </c>
      <c r="AR134" s="74">
        <f t="shared" si="52"/>
        <v>0</v>
      </c>
      <c r="AS134" s="74">
        <f t="shared" si="53"/>
        <v>6.0449949490895757E-2</v>
      </c>
      <c r="AT134" s="74">
        <f t="shared" si="54"/>
        <v>0</v>
      </c>
      <c r="AU134" s="286">
        <f t="shared" si="55"/>
        <v>1.0936779999999999</v>
      </c>
      <c r="AV134" s="74">
        <f t="shared" si="56"/>
        <v>2.1098681162724624</v>
      </c>
      <c r="AW134" t="str">
        <f t="shared" si="49"/>
        <v>Potable</v>
      </c>
      <c r="AX134" s="179">
        <f t="shared" si="57"/>
        <v>1</v>
      </c>
    </row>
    <row r="135" spans="1:50" x14ac:dyDescent="0.2">
      <c r="A135" s="60" t="s">
        <v>225</v>
      </c>
      <c r="B135" s="107">
        <f t="shared" si="68"/>
        <v>0.25</v>
      </c>
      <c r="C135" s="297">
        <v>2006</v>
      </c>
      <c r="D135" s="103">
        <f>+LFM*VLOOKUP(+A135,'HUC11 data'!$E$6:$K$156,7,FALSE)</f>
        <v>1.7450000000000001</v>
      </c>
      <c r="E135" s="103">
        <f t="shared" si="69"/>
        <v>0.87232425090218757</v>
      </c>
      <c r="F135" s="113">
        <f t="shared" si="70"/>
        <v>0.4998992841846347</v>
      </c>
      <c r="G135" s="103">
        <f t="shared" si="71"/>
        <v>0.87267574909781254</v>
      </c>
      <c r="H135" s="104" t="str">
        <f t="shared" ref="H135:H156" si="78">+AW135</f>
        <v>Non-Ag Irr</v>
      </c>
      <c r="I135" s="76">
        <v>0</v>
      </c>
      <c r="J135" s="76">
        <v>0</v>
      </c>
      <c r="K135" s="77">
        <v>0.33774093322331328</v>
      </c>
      <c r="L135" s="78">
        <v>9.781545484186503E-5</v>
      </c>
      <c r="M135" s="79">
        <v>0</v>
      </c>
      <c r="N135" s="76">
        <v>0</v>
      </c>
      <c r="O135" s="76">
        <v>0</v>
      </c>
      <c r="P135" s="78">
        <v>0.2767199217476361</v>
      </c>
      <c r="Q135" s="79">
        <v>0.36485164656015645</v>
      </c>
      <c r="R135" s="76">
        <v>0</v>
      </c>
      <c r="S135" s="76">
        <v>0</v>
      </c>
      <c r="T135" s="112">
        <f t="shared" si="72"/>
        <v>0.55310280338321216</v>
      </c>
      <c r="U135" s="109">
        <f t="shared" si="73"/>
        <v>0.36485164656015645</v>
      </c>
      <c r="V135" s="108">
        <f>VLOOKUP(+A135,'HUC11 data'!$E$6:$L$156,8,FALSE)</f>
        <v>0.26938200000000012</v>
      </c>
      <c r="W135" s="108">
        <f t="shared" si="74"/>
        <v>1.1873364499433687</v>
      </c>
      <c r="X135" s="283">
        <v>0</v>
      </c>
      <c r="Y135" s="257">
        <v>0</v>
      </c>
      <c r="Z135" s="257">
        <v>0</v>
      </c>
      <c r="AA135" s="257">
        <v>0</v>
      </c>
      <c r="AB135" s="80">
        <v>0.25080611918672274</v>
      </c>
      <c r="AC135" s="81">
        <v>4.8907727420932515E-5</v>
      </c>
      <c r="AD135" s="82">
        <v>0</v>
      </c>
      <c r="AE135" s="257">
        <v>0</v>
      </c>
      <c r="AF135" s="257">
        <v>0</v>
      </c>
      <c r="AG135" s="81">
        <v>2.7671998772280663E-2</v>
      </c>
      <c r="AH135" s="82">
        <v>3.6485173354756761E-2</v>
      </c>
      <c r="AI135" s="257">
        <v>0</v>
      </c>
      <c r="AJ135" s="257">
        <v>0</v>
      </c>
      <c r="AK135" s="111">
        <f t="shared" si="75"/>
        <v>0.27852702568642435</v>
      </c>
      <c r="AL135" s="110">
        <f t="shared" si="76"/>
        <v>3.6485173354756761E-2</v>
      </c>
      <c r="AM135" s="110">
        <f t="shared" si="77"/>
        <v>0.31501219904118111</v>
      </c>
      <c r="AN135" s="74"/>
      <c r="AO135" s="60" t="s">
        <v>225</v>
      </c>
      <c r="AP135" s="74">
        <f t="shared" si="50"/>
        <v>8.6934814036590535E-2</v>
      </c>
      <c r="AQ135" s="74">
        <f t="shared" si="51"/>
        <v>4.8907727420932515E-5</v>
      </c>
      <c r="AR135" s="74">
        <f t="shared" si="52"/>
        <v>0</v>
      </c>
      <c r="AS135" s="74">
        <f t="shared" si="53"/>
        <v>0.57741439618075507</v>
      </c>
      <c r="AT135" s="74">
        <f t="shared" si="54"/>
        <v>0</v>
      </c>
      <c r="AU135" s="286">
        <f t="shared" si="55"/>
        <v>0.26938200000000012</v>
      </c>
      <c r="AV135" s="74">
        <f t="shared" si="56"/>
        <v>0.57741439618075507</v>
      </c>
      <c r="AW135" t="str">
        <f t="shared" ref="AW135:AW156" si="79">VLOOKUP(+AX135,$AZ$6:$BA$11,2,FALSE)</f>
        <v>Non-Ag Irr</v>
      </c>
      <c r="AX135" s="179">
        <f t="shared" si="57"/>
        <v>4</v>
      </c>
    </row>
    <row r="136" spans="1:50" x14ac:dyDescent="0.2">
      <c r="A136" s="60" t="s">
        <v>231</v>
      </c>
      <c r="B136" s="107">
        <f t="shared" si="68"/>
        <v>0.25</v>
      </c>
      <c r="C136" s="297">
        <v>2008</v>
      </c>
      <c r="D136" s="103">
        <f>+LFM*VLOOKUP(+A136,'HUC11 data'!$E$6:$K$156,7,FALSE)</f>
        <v>4.4275000000000002</v>
      </c>
      <c r="E136" s="103">
        <f t="shared" si="69"/>
        <v>3.4635491557207581</v>
      </c>
      <c r="F136" s="113">
        <f t="shared" si="70"/>
        <v>0.78228100637397124</v>
      </c>
      <c r="G136" s="103">
        <f t="shared" si="71"/>
        <v>0.96395084427924216</v>
      </c>
      <c r="H136" s="104" t="str">
        <f t="shared" si="78"/>
        <v>Ag Irr</v>
      </c>
      <c r="I136" s="76">
        <v>4.5647212259537009E-3</v>
      </c>
      <c r="J136" s="76">
        <v>0</v>
      </c>
      <c r="K136" s="77">
        <v>0.90023518391288082</v>
      </c>
      <c r="L136" s="78">
        <v>1.1629170742310619E-4</v>
      </c>
      <c r="M136" s="79">
        <v>0</v>
      </c>
      <c r="N136" s="76">
        <v>3.6488968590370616</v>
      </c>
      <c r="O136" s="76">
        <v>0.7859797848059995</v>
      </c>
      <c r="P136" s="78">
        <v>0</v>
      </c>
      <c r="Q136" s="79">
        <v>0</v>
      </c>
      <c r="R136" s="76">
        <v>0</v>
      </c>
      <c r="S136" s="76">
        <v>0</v>
      </c>
      <c r="T136" s="112">
        <f t="shared" si="72"/>
        <v>4.0984317502949876</v>
      </c>
      <c r="U136" s="109">
        <f t="shared" si="73"/>
        <v>0.7859797848059995</v>
      </c>
      <c r="V136" s="108">
        <f>VLOOKUP(+A136,'HUC11 data'!$E$6:$L$156,8,FALSE)</f>
        <v>0.18088000000000015</v>
      </c>
      <c r="W136" s="108">
        <f t="shared" si="74"/>
        <v>5.0652915351009877</v>
      </c>
      <c r="X136" s="283">
        <v>0</v>
      </c>
      <c r="Y136" s="257">
        <v>1.7195956961199869E-3</v>
      </c>
      <c r="Z136" s="257">
        <v>0</v>
      </c>
      <c r="AA136" s="257">
        <v>0</v>
      </c>
      <c r="AB136" s="80">
        <v>0.66852505077758406</v>
      </c>
      <c r="AC136" s="81">
        <v>7.679926094816384E-3</v>
      </c>
      <c r="AD136" s="82">
        <v>0</v>
      </c>
      <c r="AE136" s="257">
        <v>0.70762913832148433</v>
      </c>
      <c r="AF136" s="257">
        <v>0.21618866849022472</v>
      </c>
      <c r="AG136" s="81">
        <v>0</v>
      </c>
      <c r="AH136" s="82">
        <v>0</v>
      </c>
      <c r="AI136" s="257">
        <v>0</v>
      </c>
      <c r="AJ136" s="257">
        <v>0</v>
      </c>
      <c r="AK136" s="111">
        <f t="shared" si="75"/>
        <v>1.3855537108900049</v>
      </c>
      <c r="AL136" s="110">
        <f t="shared" si="76"/>
        <v>0.21618866849022472</v>
      </c>
      <c r="AM136" s="110">
        <f t="shared" si="77"/>
        <v>1.6017423793802297</v>
      </c>
      <c r="AN136" s="74"/>
      <c r="AO136" s="60" t="s">
        <v>231</v>
      </c>
      <c r="AP136" s="74">
        <f t="shared" si="50"/>
        <v>0.23455525866513049</v>
      </c>
      <c r="AQ136" s="74">
        <f t="shared" si="51"/>
        <v>-7.5636343873932777E-3</v>
      </c>
      <c r="AR136" s="74">
        <f t="shared" si="52"/>
        <v>3.5110588370313525</v>
      </c>
      <c r="AS136" s="74">
        <f t="shared" si="53"/>
        <v>0</v>
      </c>
      <c r="AT136" s="74">
        <f t="shared" si="54"/>
        <v>0</v>
      </c>
      <c r="AU136" s="286">
        <f t="shared" si="55"/>
        <v>0.18088000000000015</v>
      </c>
      <c r="AV136" s="74">
        <f t="shared" si="56"/>
        <v>3.5110588370313525</v>
      </c>
      <c r="AW136" t="str">
        <f t="shared" si="79"/>
        <v>Ag Irr</v>
      </c>
      <c r="AX136" s="179">
        <f t="shared" si="57"/>
        <v>3</v>
      </c>
    </row>
    <row r="137" spans="1:50" x14ac:dyDescent="0.2">
      <c r="A137" s="60" t="s">
        <v>233</v>
      </c>
      <c r="B137" s="107">
        <f t="shared" si="68"/>
        <v>0.25</v>
      </c>
      <c r="C137" s="297">
        <v>2002</v>
      </c>
      <c r="D137" s="103">
        <f>+LFM*VLOOKUP(+A137,'HUC11 data'!$E$6:$K$156,7,FALSE)</f>
        <v>7.2324999999999999</v>
      </c>
      <c r="E137" s="103">
        <f t="shared" si="69"/>
        <v>9.299999342609528</v>
      </c>
      <c r="F137" s="113">
        <f t="shared" si="70"/>
        <v>1.2858623356528902</v>
      </c>
      <c r="G137" s="103">
        <f t="shared" si="71"/>
        <v>0</v>
      </c>
      <c r="H137" s="104" t="str">
        <f t="shared" si="78"/>
        <v>Ag Irr</v>
      </c>
      <c r="I137" s="76">
        <v>1.6088251277035102</v>
      </c>
      <c r="J137" s="76">
        <v>0</v>
      </c>
      <c r="K137" s="77">
        <v>3.4988291506831102</v>
      </c>
      <c r="L137" s="78">
        <v>0.79475057059015319</v>
      </c>
      <c r="M137" s="79">
        <v>0</v>
      </c>
      <c r="N137" s="76">
        <v>6.858743614824478</v>
      </c>
      <c r="O137" s="76">
        <v>1.4979458754483208</v>
      </c>
      <c r="P137" s="78">
        <v>7.2166068905553743E-2</v>
      </c>
      <c r="Q137" s="79">
        <v>0</v>
      </c>
      <c r="R137" s="76">
        <v>0</v>
      </c>
      <c r="S137" s="76">
        <v>0</v>
      </c>
      <c r="T137" s="112">
        <f t="shared" si="72"/>
        <v>11.549983079436126</v>
      </c>
      <c r="U137" s="109">
        <f t="shared" si="73"/>
        <v>1.4979458754483208</v>
      </c>
      <c r="V137" s="108">
        <f>VLOOKUP(+A137,'HUC11 data'!$E$6:$L$156,8,FALSE)</f>
        <v>0.85788799999999998</v>
      </c>
      <c r="W137" s="108">
        <f t="shared" si="74"/>
        <v>13.905816954884447</v>
      </c>
      <c r="X137" s="283">
        <v>0</v>
      </c>
      <c r="Y137" s="257">
        <v>0.1648053472448647</v>
      </c>
      <c r="Z137" s="257">
        <v>0</v>
      </c>
      <c r="AA137" s="257">
        <v>0</v>
      </c>
      <c r="AB137" s="80">
        <v>2.5982612845397681</v>
      </c>
      <c r="AC137" s="81">
        <v>0.70306814612925805</v>
      </c>
      <c r="AD137" s="82">
        <v>0</v>
      </c>
      <c r="AE137" s="257">
        <v>0.8712858865075418</v>
      </c>
      <c r="AF137" s="257">
        <v>0.2611803392423569</v>
      </c>
      <c r="AG137" s="81">
        <v>7.216608611128536E-3</v>
      </c>
      <c r="AH137" s="82">
        <v>0</v>
      </c>
      <c r="AI137" s="257">
        <v>0</v>
      </c>
      <c r="AJ137" s="257">
        <v>0</v>
      </c>
      <c r="AK137" s="111">
        <f t="shared" si="75"/>
        <v>4.3446372730325606</v>
      </c>
      <c r="AL137" s="110">
        <f t="shared" si="76"/>
        <v>0.2611803392423569</v>
      </c>
      <c r="AM137" s="110">
        <f t="shared" si="77"/>
        <v>4.6058176122749179</v>
      </c>
      <c r="AN137" s="74"/>
      <c r="AO137" s="60" t="s">
        <v>233</v>
      </c>
      <c r="AP137" s="74">
        <f t="shared" si="50"/>
        <v>2.3445876466019877</v>
      </c>
      <c r="AQ137" s="74">
        <f t="shared" si="51"/>
        <v>9.168242446089514E-2</v>
      </c>
      <c r="AR137" s="74">
        <f t="shared" si="52"/>
        <v>7.2242232645229008</v>
      </c>
      <c r="AS137" s="74">
        <f t="shared" si="53"/>
        <v>6.4949460294425207E-2</v>
      </c>
      <c r="AT137" s="74">
        <f t="shared" si="54"/>
        <v>0</v>
      </c>
      <c r="AU137" s="286">
        <f t="shared" si="55"/>
        <v>0.85788799999999998</v>
      </c>
      <c r="AV137" s="74">
        <f t="shared" si="56"/>
        <v>7.2242232645229008</v>
      </c>
      <c r="AW137" t="str">
        <f t="shared" si="79"/>
        <v>Ag Irr</v>
      </c>
      <c r="AX137" s="179">
        <f t="shared" si="57"/>
        <v>3</v>
      </c>
    </row>
    <row r="138" spans="1:50" x14ac:dyDescent="0.2">
      <c r="A138" s="60" t="s">
        <v>235</v>
      </c>
      <c r="B138" s="107">
        <f t="shared" si="68"/>
        <v>0.25</v>
      </c>
      <c r="C138" s="297">
        <v>2008</v>
      </c>
      <c r="D138" s="103">
        <f>+LFM*VLOOKUP(+A138,'HUC11 data'!$E$6:$K$156,7,FALSE)</f>
        <v>7.6849999999999996</v>
      </c>
      <c r="E138" s="103">
        <f t="shared" si="69"/>
        <v>7.5825455315915686</v>
      </c>
      <c r="F138" s="113">
        <f t="shared" si="70"/>
        <v>0.98666825394815472</v>
      </c>
      <c r="G138" s="103">
        <f t="shared" si="71"/>
        <v>0.10245446840843098</v>
      </c>
      <c r="H138" s="104" t="str">
        <f t="shared" si="78"/>
        <v>Ag Irr</v>
      </c>
      <c r="I138" s="76">
        <v>1.4076078687099229</v>
      </c>
      <c r="J138" s="76">
        <v>0</v>
      </c>
      <c r="K138" s="77">
        <v>1.2563289288411057</v>
      </c>
      <c r="L138" s="78">
        <v>1.9345723290946636E-4</v>
      </c>
      <c r="M138" s="79">
        <v>0</v>
      </c>
      <c r="N138" s="76">
        <v>6.764813607216607</v>
      </c>
      <c r="O138" s="76">
        <v>2.7583958265405936E-2</v>
      </c>
      <c r="P138" s="78">
        <v>0.14169112053037711</v>
      </c>
      <c r="Q138" s="79">
        <v>2.9018584936419952E-2</v>
      </c>
      <c r="R138" s="76">
        <v>0</v>
      </c>
      <c r="S138" s="76">
        <v>0</v>
      </c>
      <c r="T138" s="112">
        <f t="shared" si="72"/>
        <v>8.6135714842778288</v>
      </c>
      <c r="U138" s="109">
        <f t="shared" si="73"/>
        <v>5.6602543201825888E-2</v>
      </c>
      <c r="V138" s="108">
        <f>VLOOKUP(+A138,'HUC11 data'!$E$6:$L$156,8,FALSE)</f>
        <v>1.5691339999999996</v>
      </c>
      <c r="W138" s="108">
        <f t="shared" si="74"/>
        <v>10.239308027479655</v>
      </c>
      <c r="X138" s="283">
        <v>0</v>
      </c>
      <c r="Y138" s="257">
        <v>0.51439191392239969</v>
      </c>
      <c r="Z138" s="257">
        <v>0.48271926964460382</v>
      </c>
      <c r="AA138" s="257">
        <v>0</v>
      </c>
      <c r="AB138" s="80">
        <v>0.93262178060318368</v>
      </c>
      <c r="AC138" s="81">
        <v>5.9206607879672196E-3</v>
      </c>
      <c r="AD138" s="82">
        <v>0</v>
      </c>
      <c r="AE138" s="257">
        <v>0.67648152200738576</v>
      </c>
      <c r="AF138" s="257">
        <v>2.7556374305830363E-2</v>
      </c>
      <c r="AG138" s="81">
        <v>1.4169115431217277E-2</v>
      </c>
      <c r="AH138" s="82">
        <v>2.9018591854989744E-3</v>
      </c>
      <c r="AI138" s="257">
        <v>0</v>
      </c>
      <c r="AJ138" s="257">
        <v>0</v>
      </c>
      <c r="AK138" s="111">
        <f t="shared" si="75"/>
        <v>2.1435849927521535</v>
      </c>
      <c r="AL138" s="110">
        <f t="shared" si="76"/>
        <v>0.51317750313593324</v>
      </c>
      <c r="AM138" s="110">
        <f t="shared" si="77"/>
        <v>2.6567624958880867</v>
      </c>
      <c r="AN138" s="74"/>
      <c r="AO138" s="60" t="s">
        <v>235</v>
      </c>
      <c r="AP138" s="74">
        <f t="shared" si="50"/>
        <v>0.73420383338084116</v>
      </c>
      <c r="AQ138" s="74">
        <f t="shared" si="51"/>
        <v>-5.7272035550577534E-3</v>
      </c>
      <c r="AR138" s="74">
        <f t="shared" si="52"/>
        <v>6.0883596691687965</v>
      </c>
      <c r="AS138" s="74">
        <f t="shared" si="53"/>
        <v>0.15363873085008081</v>
      </c>
      <c r="AT138" s="74">
        <f t="shared" si="54"/>
        <v>0</v>
      </c>
      <c r="AU138" s="286">
        <f t="shared" si="55"/>
        <v>1.5691339999999996</v>
      </c>
      <c r="AV138" s="74">
        <f t="shared" si="56"/>
        <v>6.0883596691687965</v>
      </c>
      <c r="AW138" t="str">
        <f t="shared" si="79"/>
        <v>Ag Irr</v>
      </c>
      <c r="AX138" s="179">
        <f t="shared" si="57"/>
        <v>3</v>
      </c>
    </row>
    <row r="139" spans="1:50" x14ac:dyDescent="0.2">
      <c r="A139" s="60" t="s">
        <v>237</v>
      </c>
      <c r="B139" s="107">
        <f t="shared" si="68"/>
        <v>0.25</v>
      </c>
      <c r="C139" s="297">
        <v>2000</v>
      </c>
      <c r="D139" s="103">
        <f>+LFM*VLOOKUP(+A139,'HUC11 data'!$E$6:$K$156,7,FALSE)</f>
        <v>4.1675000000000004</v>
      </c>
      <c r="E139" s="103">
        <f t="shared" si="69"/>
        <v>2.5614094887066372</v>
      </c>
      <c r="F139" s="113">
        <f t="shared" si="70"/>
        <v>0.61461535421874913</v>
      </c>
      <c r="G139" s="103">
        <f t="shared" si="71"/>
        <v>1.6060905112933632</v>
      </c>
      <c r="H139" s="104" t="str">
        <f t="shared" si="78"/>
        <v>Ag Irr</v>
      </c>
      <c r="I139" s="76">
        <v>0</v>
      </c>
      <c r="J139" s="76">
        <v>0</v>
      </c>
      <c r="K139" s="77">
        <v>0.43480289717591236</v>
      </c>
      <c r="L139" s="78">
        <v>3.932181284642973E-2</v>
      </c>
      <c r="M139" s="79">
        <v>1.367329638082817</v>
      </c>
      <c r="N139" s="76">
        <v>15.873307249212042</v>
      </c>
      <c r="O139" s="76">
        <v>23.622432344310401</v>
      </c>
      <c r="P139" s="78">
        <v>0</v>
      </c>
      <c r="Q139" s="79">
        <v>0</v>
      </c>
      <c r="R139" s="76">
        <v>0</v>
      </c>
      <c r="S139" s="76">
        <v>0</v>
      </c>
      <c r="T139" s="112">
        <f t="shared" si="72"/>
        <v>14.712688763310947</v>
      </c>
      <c r="U139" s="109">
        <f t="shared" si="73"/>
        <v>24.989761982393219</v>
      </c>
      <c r="V139" s="108">
        <f>VLOOKUP(+A139,'HUC11 data'!$E$6:$L$156,8,FALSE)</f>
        <v>0.24095799999999912</v>
      </c>
      <c r="W139" s="108">
        <f t="shared" si="74"/>
        <v>39.943408745704168</v>
      </c>
      <c r="X139" s="283">
        <v>0</v>
      </c>
      <c r="Y139" s="257">
        <v>0</v>
      </c>
      <c r="Z139" s="257">
        <v>0</v>
      </c>
      <c r="AA139" s="257">
        <v>0</v>
      </c>
      <c r="AB139" s="80">
        <v>0.32288954989810298</v>
      </c>
      <c r="AC139" s="81">
        <v>3.4603195410327484E-2</v>
      </c>
      <c r="AD139" s="82">
        <v>1.2032500851803429</v>
      </c>
      <c r="AE139" s="257">
        <v>12.222446515664675</v>
      </c>
      <c r="AF139" s="257">
        <v>23.598809910844086</v>
      </c>
      <c r="AG139" s="81">
        <v>0</v>
      </c>
      <c r="AH139" s="82">
        <v>0</v>
      </c>
      <c r="AI139" s="257">
        <v>0</v>
      </c>
      <c r="AJ139" s="257">
        <v>0</v>
      </c>
      <c r="AK139" s="111">
        <f t="shared" si="75"/>
        <v>12.579939260973106</v>
      </c>
      <c r="AL139" s="110">
        <f t="shared" si="76"/>
        <v>24.802059996024429</v>
      </c>
      <c r="AM139" s="110">
        <f t="shared" si="77"/>
        <v>37.381999256997531</v>
      </c>
      <c r="AN139" s="74"/>
      <c r="AO139" s="60" t="s">
        <v>237</v>
      </c>
      <c r="AP139" s="74">
        <f t="shared" si="50"/>
        <v>0.11191334727780938</v>
      </c>
      <c r="AQ139" s="74">
        <f t="shared" si="51"/>
        <v>0.16879817033857636</v>
      </c>
      <c r="AR139" s="74">
        <f t="shared" si="52"/>
        <v>3.6744831670136833</v>
      </c>
      <c r="AS139" s="74">
        <f t="shared" si="53"/>
        <v>0</v>
      </c>
      <c r="AT139" s="74">
        <f t="shared" si="54"/>
        <v>0</v>
      </c>
      <c r="AU139" s="286">
        <f t="shared" si="55"/>
        <v>0.24095799999999912</v>
      </c>
      <c r="AV139" s="74">
        <f t="shared" si="56"/>
        <v>3.6744831670136833</v>
      </c>
      <c r="AW139" t="str">
        <f t="shared" si="79"/>
        <v>Ag Irr</v>
      </c>
      <c r="AX139" s="179">
        <f t="shared" si="57"/>
        <v>3</v>
      </c>
    </row>
    <row r="140" spans="1:50" x14ac:dyDescent="0.2">
      <c r="A140" s="60" t="s">
        <v>239</v>
      </c>
      <c r="B140" s="107">
        <f t="shared" si="68"/>
        <v>0.25</v>
      </c>
      <c r="C140" s="297">
        <v>2007</v>
      </c>
      <c r="D140" s="103">
        <f>+LFM*VLOOKUP(+A140,'HUC11 data'!$E$6:$K$156,7,FALSE)</f>
        <v>5.3375000000000004</v>
      </c>
      <c r="E140" s="103">
        <f t="shared" si="69"/>
        <v>0.888879290611305</v>
      </c>
      <c r="F140" s="113">
        <f t="shared" si="70"/>
        <v>0.16653476170703604</v>
      </c>
      <c r="G140" s="103">
        <f t="shared" si="71"/>
        <v>4.4486207093886954</v>
      </c>
      <c r="H140" s="104" t="str">
        <f t="shared" si="78"/>
        <v>Ag Irr</v>
      </c>
      <c r="I140" s="76">
        <v>0</v>
      </c>
      <c r="J140" s="76">
        <v>0</v>
      </c>
      <c r="K140" s="77">
        <v>0.29780050867591978</v>
      </c>
      <c r="L140" s="78">
        <v>2.2562764916856867E-3</v>
      </c>
      <c r="M140" s="79">
        <v>0</v>
      </c>
      <c r="N140" s="76">
        <v>2.3045321160743395</v>
      </c>
      <c r="O140" s="76">
        <v>0.48875122269318549</v>
      </c>
      <c r="P140" s="78">
        <v>4.890772742093251E-6</v>
      </c>
      <c r="Q140" s="79">
        <v>0</v>
      </c>
      <c r="R140" s="76">
        <v>0</v>
      </c>
      <c r="S140" s="76">
        <v>0</v>
      </c>
      <c r="T140" s="112">
        <f t="shared" si="72"/>
        <v>2.3441344128132182</v>
      </c>
      <c r="U140" s="109">
        <f t="shared" si="73"/>
        <v>0.48875122269318549</v>
      </c>
      <c r="V140" s="108">
        <f>VLOOKUP(+A140,'HUC11 data'!$E$6:$L$156,8,FALSE)</f>
        <v>0.42959000000000003</v>
      </c>
      <c r="W140" s="108">
        <f t="shared" si="74"/>
        <v>3.2624756355064037</v>
      </c>
      <c r="X140" s="283">
        <v>0</v>
      </c>
      <c r="Y140" s="257">
        <v>0</v>
      </c>
      <c r="Z140" s="257">
        <v>0</v>
      </c>
      <c r="AA140" s="257">
        <v>0</v>
      </c>
      <c r="AB140" s="80">
        <v>0.2211495295283902</v>
      </c>
      <c r="AC140" s="81">
        <v>1.1417998035839494E-3</v>
      </c>
      <c r="AD140" s="82">
        <v>0</v>
      </c>
      <c r="AE140" s="257">
        <v>1.7333909282913265</v>
      </c>
      <c r="AF140" s="257">
        <v>0.41791359819440721</v>
      </c>
      <c r="AG140" s="81">
        <v>4.8907739081443387E-7</v>
      </c>
      <c r="AH140" s="82">
        <v>0</v>
      </c>
      <c r="AI140" s="257">
        <v>0</v>
      </c>
      <c r="AJ140" s="257">
        <v>0</v>
      </c>
      <c r="AK140" s="111">
        <f t="shared" si="75"/>
        <v>1.9556827467006914</v>
      </c>
      <c r="AL140" s="110">
        <f t="shared" si="76"/>
        <v>0.41791359819440721</v>
      </c>
      <c r="AM140" s="110">
        <f t="shared" si="77"/>
        <v>2.3735963448950987</v>
      </c>
      <c r="AN140" s="74"/>
      <c r="AO140" s="60" t="s">
        <v>239</v>
      </c>
      <c r="AP140" s="74">
        <f t="shared" si="50"/>
        <v>7.665097914752958E-2</v>
      </c>
      <c r="AQ140" s="74">
        <f t="shared" si="51"/>
        <v>1.1144766881017374E-3</v>
      </c>
      <c r="AR140" s="74">
        <f t="shared" si="52"/>
        <v>0.6419788122817911</v>
      </c>
      <c r="AS140" s="74">
        <f t="shared" si="53"/>
        <v>4.4016953512788173E-6</v>
      </c>
      <c r="AT140" s="74">
        <f t="shared" si="54"/>
        <v>0</v>
      </c>
      <c r="AU140" s="286">
        <f t="shared" si="55"/>
        <v>0.42959000000000003</v>
      </c>
      <c r="AV140" s="74">
        <f t="shared" si="56"/>
        <v>0.6419788122817911</v>
      </c>
      <c r="AW140" t="str">
        <f t="shared" si="79"/>
        <v>Ag Irr</v>
      </c>
      <c r="AX140" s="179">
        <f t="shared" si="57"/>
        <v>3</v>
      </c>
    </row>
    <row r="141" spans="1:50" x14ac:dyDescent="0.2">
      <c r="A141" s="60" t="s">
        <v>241</v>
      </c>
      <c r="B141" s="107">
        <f t="shared" si="68"/>
        <v>0.25</v>
      </c>
      <c r="C141" s="297">
        <v>2007</v>
      </c>
      <c r="D141" s="103">
        <f>+LFM*VLOOKUP(+A141,'HUC11 data'!$E$6:$K$156,7,FALSE)</f>
        <v>6.7050000000000001</v>
      </c>
      <c r="E141" s="103">
        <f t="shared" si="69"/>
        <v>4.474608339638392</v>
      </c>
      <c r="F141" s="113">
        <f t="shared" si="70"/>
        <v>0.66735396564330973</v>
      </c>
      <c r="G141" s="103">
        <f t="shared" si="71"/>
        <v>2.2303916603616081</v>
      </c>
      <c r="H141" s="104" t="str">
        <f t="shared" si="78"/>
        <v>Potable</v>
      </c>
      <c r="I141" s="76">
        <v>3.0431474839691335</v>
      </c>
      <c r="J141" s="76">
        <v>0</v>
      </c>
      <c r="K141" s="77">
        <v>0.66943388046803454</v>
      </c>
      <c r="L141" s="78">
        <v>0.43833278991413965</v>
      </c>
      <c r="M141" s="79">
        <v>0</v>
      </c>
      <c r="N141" s="76">
        <v>0.46277578524073476</v>
      </c>
      <c r="O141" s="76">
        <v>0</v>
      </c>
      <c r="P141" s="78">
        <v>0.43610477122051944</v>
      </c>
      <c r="Q141" s="79">
        <v>0</v>
      </c>
      <c r="R141" s="76">
        <v>0</v>
      </c>
      <c r="S141" s="76">
        <v>0</v>
      </c>
      <c r="T141" s="112">
        <f t="shared" si="72"/>
        <v>4.5448152397313057</v>
      </c>
      <c r="U141" s="109">
        <f t="shared" si="73"/>
        <v>0</v>
      </c>
      <c r="V141" s="108">
        <f>VLOOKUP(+A141,'HUC11 data'!$E$6:$L$156,8,FALSE)</f>
        <v>0.91150600000000004</v>
      </c>
      <c r="W141" s="108">
        <f t="shared" si="74"/>
        <v>5.4563212397313059</v>
      </c>
      <c r="X141" s="283">
        <v>0</v>
      </c>
      <c r="Y141" s="257">
        <v>0</v>
      </c>
      <c r="Z141" s="257">
        <v>0</v>
      </c>
      <c r="AA141" s="257">
        <v>0</v>
      </c>
      <c r="AB141" s="80">
        <v>0.49712968183364842</v>
      </c>
      <c r="AC141" s="81">
        <v>0.39469514118215787</v>
      </c>
      <c r="AD141" s="82">
        <v>0</v>
      </c>
      <c r="AE141" s="257">
        <v>4.6277589557507992E-2</v>
      </c>
      <c r="AF141" s="257">
        <v>0</v>
      </c>
      <c r="AG141" s="81">
        <v>4.3610487519599936E-2</v>
      </c>
      <c r="AH141" s="82">
        <v>0</v>
      </c>
      <c r="AI141" s="257">
        <v>0</v>
      </c>
      <c r="AJ141" s="257">
        <v>0</v>
      </c>
      <c r="AK141" s="111">
        <f t="shared" si="75"/>
        <v>0.98171290009291434</v>
      </c>
      <c r="AL141" s="110">
        <f t="shared" si="76"/>
        <v>0</v>
      </c>
      <c r="AM141" s="110">
        <f t="shared" si="77"/>
        <v>0.98171290009291434</v>
      </c>
      <c r="AN141" s="74"/>
      <c r="AO141" s="60" t="s">
        <v>241</v>
      </c>
      <c r="AP141" s="74">
        <f t="shared" si="50"/>
        <v>3.2154516826035198</v>
      </c>
      <c r="AQ141" s="74">
        <f t="shared" si="51"/>
        <v>4.3637648731981782E-2</v>
      </c>
      <c r="AR141" s="74">
        <f t="shared" si="52"/>
        <v>0.41649819568322677</v>
      </c>
      <c r="AS141" s="74">
        <f t="shared" si="53"/>
        <v>0.39249428370091949</v>
      </c>
      <c r="AT141" s="74">
        <f t="shared" si="54"/>
        <v>0</v>
      </c>
      <c r="AU141" s="286">
        <f t="shared" si="55"/>
        <v>0.91150600000000004</v>
      </c>
      <c r="AV141" s="74">
        <f t="shared" si="56"/>
        <v>3.2154516826035198</v>
      </c>
      <c r="AW141" t="str">
        <f t="shared" si="79"/>
        <v>Potable</v>
      </c>
      <c r="AX141" s="179">
        <f t="shared" si="57"/>
        <v>1</v>
      </c>
    </row>
    <row r="142" spans="1:50" x14ac:dyDescent="0.2">
      <c r="A142" s="60" t="s">
        <v>243</v>
      </c>
      <c r="B142" s="107">
        <f t="shared" si="68"/>
        <v>0.25</v>
      </c>
      <c r="C142" s="297">
        <v>2001</v>
      </c>
      <c r="D142" s="103">
        <f>+LFM*VLOOKUP(+A142,'HUC11 data'!$E$6:$K$156,7,FALSE)</f>
        <v>1.3075000000000001</v>
      </c>
      <c r="E142" s="103">
        <f t="shared" si="69"/>
        <v>0.14548813264709837</v>
      </c>
      <c r="F142" s="113">
        <f t="shared" si="70"/>
        <v>0.11127199437636585</v>
      </c>
      <c r="G142" s="103">
        <f t="shared" si="71"/>
        <v>1.1620118673529016</v>
      </c>
      <c r="H142" s="104" t="str">
        <f t="shared" si="78"/>
        <v>Potable</v>
      </c>
      <c r="I142" s="76">
        <v>0</v>
      </c>
      <c r="J142" s="76">
        <v>0</v>
      </c>
      <c r="K142" s="77">
        <v>0.6240276166099965</v>
      </c>
      <c r="L142" s="78">
        <v>0.35550483643082276</v>
      </c>
      <c r="M142" s="79">
        <v>0</v>
      </c>
      <c r="N142" s="76">
        <v>0</v>
      </c>
      <c r="O142" s="76">
        <v>0</v>
      </c>
      <c r="P142" s="78">
        <v>3.966960113031192E-2</v>
      </c>
      <c r="Q142" s="79">
        <v>0</v>
      </c>
      <c r="R142" s="76">
        <v>0</v>
      </c>
      <c r="S142" s="76">
        <v>0</v>
      </c>
      <c r="T142" s="112">
        <f t="shared" si="72"/>
        <v>0.91728184875401797</v>
      </c>
      <c r="U142" s="109">
        <f t="shared" si="73"/>
        <v>0</v>
      </c>
      <c r="V142" s="108">
        <f>VLOOKUP(+A142,'HUC11 data'!$E$6:$L$156,8,FALSE)</f>
        <v>1.6150000000000001E-2</v>
      </c>
      <c r="W142" s="108">
        <f t="shared" si="74"/>
        <v>0.93343184875401797</v>
      </c>
      <c r="X142" s="283">
        <v>0</v>
      </c>
      <c r="Y142" s="257">
        <v>6.1525921095533084E-4</v>
      </c>
      <c r="Z142" s="257">
        <v>0</v>
      </c>
      <c r="AA142" s="257">
        <v>0</v>
      </c>
      <c r="AB142" s="80">
        <v>0.46340714357913915</v>
      </c>
      <c r="AC142" s="81">
        <v>0.31995435225799695</v>
      </c>
      <c r="AD142" s="82">
        <v>0</v>
      </c>
      <c r="AE142" s="257">
        <v>0</v>
      </c>
      <c r="AF142" s="257">
        <v>0</v>
      </c>
      <c r="AG142" s="81">
        <v>3.966961058828186E-3</v>
      </c>
      <c r="AH142" s="82">
        <v>0</v>
      </c>
      <c r="AI142" s="257">
        <v>0</v>
      </c>
      <c r="AJ142" s="257">
        <v>0</v>
      </c>
      <c r="AK142" s="111">
        <f t="shared" si="75"/>
        <v>0.7879437161069196</v>
      </c>
      <c r="AL142" s="110">
        <f t="shared" si="76"/>
        <v>0</v>
      </c>
      <c r="AM142" s="110">
        <f t="shared" si="77"/>
        <v>0.7879437161069196</v>
      </c>
      <c r="AN142" s="74"/>
      <c r="AO142" s="60" t="s">
        <v>243</v>
      </c>
      <c r="AP142" s="74">
        <f t="shared" si="50"/>
        <v>0.16000521381990201</v>
      </c>
      <c r="AQ142" s="74">
        <f t="shared" si="51"/>
        <v>3.5550484172825803E-2</v>
      </c>
      <c r="AR142" s="74">
        <f t="shared" si="52"/>
        <v>0</v>
      </c>
      <c r="AS142" s="74">
        <f t="shared" si="53"/>
        <v>3.5702640071483736E-2</v>
      </c>
      <c r="AT142" s="74">
        <f t="shared" si="54"/>
        <v>0</v>
      </c>
      <c r="AU142" s="286">
        <f t="shared" si="55"/>
        <v>1.6150000000000001E-2</v>
      </c>
      <c r="AV142" s="74">
        <f t="shared" si="56"/>
        <v>0.16000521381990201</v>
      </c>
      <c r="AW142" t="str">
        <f t="shared" si="79"/>
        <v>Potable</v>
      </c>
      <c r="AX142" s="179">
        <f t="shared" si="57"/>
        <v>1</v>
      </c>
    </row>
    <row r="143" spans="1:50" x14ac:dyDescent="0.2">
      <c r="A143" s="60" t="s">
        <v>227</v>
      </c>
      <c r="B143" s="107">
        <f t="shared" si="68"/>
        <v>0.25</v>
      </c>
      <c r="C143" s="297">
        <v>2005</v>
      </c>
      <c r="D143" s="103">
        <f>+LFM*VLOOKUP(+A143,'HUC11 data'!$E$6:$K$156,7,FALSE)</f>
        <v>2.5000000000000001E-5</v>
      </c>
      <c r="E143" s="103">
        <f t="shared" si="69"/>
        <v>-41.612638021443388</v>
      </c>
      <c r="F143" s="113" t="str">
        <f t="shared" si="70"/>
        <v>Net Gain</v>
      </c>
      <c r="G143" s="103">
        <f t="shared" si="71"/>
        <v>41.612663021443389</v>
      </c>
      <c r="H143" s="104" t="str">
        <f t="shared" si="78"/>
        <v>ICM</v>
      </c>
      <c r="I143" s="76">
        <v>0</v>
      </c>
      <c r="J143" s="76">
        <v>0</v>
      </c>
      <c r="K143" s="77">
        <v>4.9802923341286866E-2</v>
      </c>
      <c r="L143" s="78">
        <v>0</v>
      </c>
      <c r="M143" s="79">
        <v>0</v>
      </c>
      <c r="N143" s="76">
        <v>0</v>
      </c>
      <c r="O143" s="76">
        <v>0</v>
      </c>
      <c r="P143" s="78">
        <v>0</v>
      </c>
      <c r="Q143" s="79">
        <v>0</v>
      </c>
      <c r="R143" s="76">
        <v>0</v>
      </c>
      <c r="S143" s="76">
        <v>0</v>
      </c>
      <c r="T143" s="112">
        <f t="shared" si="72"/>
        <v>4.4822631007158178E-2</v>
      </c>
      <c r="U143" s="109">
        <f t="shared" si="73"/>
        <v>0</v>
      </c>
      <c r="V143" s="108">
        <f>VLOOKUP(+A143,'HUC11 data'!$E$6:$L$156,8,FALSE)</f>
        <v>0</v>
      </c>
      <c r="W143" s="108">
        <f t="shared" si="74"/>
        <v>4.4822631007158178E-2</v>
      </c>
      <c r="X143" s="283">
        <v>0</v>
      </c>
      <c r="Y143" s="257">
        <v>0</v>
      </c>
      <c r="Z143" s="257">
        <v>0</v>
      </c>
      <c r="AA143" s="257">
        <v>41.620476035213564</v>
      </c>
      <c r="AB143" s="80">
        <v>3.6984617236982001E-2</v>
      </c>
      <c r="AC143" s="81">
        <v>0</v>
      </c>
      <c r="AD143" s="82">
        <v>0</v>
      </c>
      <c r="AE143" s="257">
        <v>0</v>
      </c>
      <c r="AF143" s="257">
        <v>0</v>
      </c>
      <c r="AG143" s="81">
        <v>0</v>
      </c>
      <c r="AH143" s="82">
        <v>0</v>
      </c>
      <c r="AI143" s="257">
        <v>0</v>
      </c>
      <c r="AJ143" s="257">
        <v>0</v>
      </c>
      <c r="AK143" s="111">
        <f t="shared" si="75"/>
        <v>3.6984617236982001E-2</v>
      </c>
      <c r="AL143" s="110">
        <f t="shared" si="76"/>
        <v>41.620476035213564</v>
      </c>
      <c r="AM143" s="110">
        <f t="shared" si="77"/>
        <v>41.657460652450546</v>
      </c>
      <c r="AN143" s="74"/>
      <c r="AO143" s="60" t="s">
        <v>227</v>
      </c>
      <c r="AP143" s="74">
        <f t="shared" si="50"/>
        <v>-41.607657729109256</v>
      </c>
      <c r="AQ143" s="74">
        <f t="shared" si="51"/>
        <v>0</v>
      </c>
      <c r="AR143" s="74">
        <f t="shared" si="52"/>
        <v>0</v>
      </c>
      <c r="AS143" s="74">
        <f t="shared" si="53"/>
        <v>0</v>
      </c>
      <c r="AT143" s="74">
        <f t="shared" si="54"/>
        <v>0</v>
      </c>
      <c r="AU143" s="286">
        <f t="shared" si="55"/>
        <v>0</v>
      </c>
      <c r="AV143" s="74">
        <f t="shared" si="56"/>
        <v>0</v>
      </c>
      <c r="AW143" t="str">
        <f t="shared" si="79"/>
        <v>ICM</v>
      </c>
      <c r="AX143" s="179">
        <f t="shared" si="57"/>
        <v>2</v>
      </c>
    </row>
    <row r="144" spans="1:50" x14ac:dyDescent="0.2">
      <c r="A144" s="60" t="s">
        <v>229</v>
      </c>
      <c r="B144" s="107">
        <f t="shared" si="68"/>
        <v>0.25</v>
      </c>
      <c r="C144" s="297">
        <v>2005</v>
      </c>
      <c r="D144" s="103">
        <f>+LFM*VLOOKUP(+A144,'HUC11 data'!$E$6:$K$156,7,FALSE)</f>
        <v>2.5000000000000001E-5</v>
      </c>
      <c r="E144" s="103">
        <f t="shared" si="69"/>
        <v>-6.8470339589197851</v>
      </c>
      <c r="F144" s="113" t="str">
        <f t="shared" si="70"/>
        <v>Net Gain</v>
      </c>
      <c r="G144" s="103">
        <f t="shared" si="71"/>
        <v>6.847058958919785</v>
      </c>
      <c r="H144" s="104" t="str">
        <f t="shared" si="78"/>
        <v>ICM</v>
      </c>
      <c r="I144" s="76">
        <v>0</v>
      </c>
      <c r="J144" s="76">
        <v>0</v>
      </c>
      <c r="K144" s="77">
        <v>3.0427127276917612E-4</v>
      </c>
      <c r="L144" s="78">
        <v>0</v>
      </c>
      <c r="M144" s="79">
        <v>0</v>
      </c>
      <c r="N144" s="76">
        <v>0</v>
      </c>
      <c r="O144" s="76">
        <v>0</v>
      </c>
      <c r="P144" s="78">
        <v>0</v>
      </c>
      <c r="Q144" s="79">
        <v>0</v>
      </c>
      <c r="R144" s="76">
        <v>0</v>
      </c>
      <c r="S144" s="76">
        <v>0</v>
      </c>
      <c r="T144" s="112">
        <f t="shared" si="72"/>
        <v>2.7384414549225852E-4</v>
      </c>
      <c r="U144" s="109">
        <f t="shared" si="73"/>
        <v>0</v>
      </c>
      <c r="V144" s="108">
        <f>VLOOKUP(+A144,'HUC11 data'!$E$6:$L$156,8,FALSE)</f>
        <v>0</v>
      </c>
      <c r="W144" s="108">
        <f t="shared" si="74"/>
        <v>2.7384414549225852E-4</v>
      </c>
      <c r="X144" s="283">
        <v>0</v>
      </c>
      <c r="Y144" s="257">
        <v>0</v>
      </c>
      <c r="Z144" s="257">
        <v>0</v>
      </c>
      <c r="AA144" s="257">
        <v>6.847081838930551</v>
      </c>
      <c r="AB144" s="80">
        <v>2.2596413472625993E-4</v>
      </c>
      <c r="AC144" s="81">
        <v>0</v>
      </c>
      <c r="AD144" s="82">
        <v>0</v>
      </c>
      <c r="AE144" s="257">
        <v>0</v>
      </c>
      <c r="AF144" s="257">
        <v>0</v>
      </c>
      <c r="AG144" s="81">
        <v>0</v>
      </c>
      <c r="AH144" s="82">
        <v>0</v>
      </c>
      <c r="AI144" s="257">
        <v>0</v>
      </c>
      <c r="AJ144" s="257">
        <v>0</v>
      </c>
      <c r="AK144" s="111">
        <f t="shared" si="75"/>
        <v>2.2596413472625993E-4</v>
      </c>
      <c r="AL144" s="110">
        <f t="shared" si="76"/>
        <v>6.847081838930551</v>
      </c>
      <c r="AM144" s="110">
        <f t="shared" si="77"/>
        <v>6.8473078030652772</v>
      </c>
      <c r="AN144" s="74"/>
      <c r="AO144" s="60" t="s">
        <v>229</v>
      </c>
      <c r="AP144" s="74">
        <f t="shared" si="50"/>
        <v>-6.8470035317925078</v>
      </c>
      <c r="AQ144" s="74">
        <f t="shared" si="51"/>
        <v>0</v>
      </c>
      <c r="AR144" s="74">
        <f t="shared" si="52"/>
        <v>0</v>
      </c>
      <c r="AS144" s="74">
        <f t="shared" si="53"/>
        <v>0</v>
      </c>
      <c r="AT144" s="74">
        <f t="shared" si="54"/>
        <v>0</v>
      </c>
      <c r="AU144" s="286">
        <f t="shared" si="55"/>
        <v>0</v>
      </c>
      <c r="AV144" s="74">
        <f t="shared" si="56"/>
        <v>0</v>
      </c>
      <c r="AW144" t="str">
        <f t="shared" si="79"/>
        <v>ICM</v>
      </c>
      <c r="AX144" s="179">
        <f t="shared" si="57"/>
        <v>2</v>
      </c>
    </row>
    <row r="145" spans="1:50" x14ac:dyDescent="0.2">
      <c r="A145" s="60" t="s">
        <v>247</v>
      </c>
      <c r="B145" s="107">
        <f t="shared" si="68"/>
        <v>0.25</v>
      </c>
      <c r="C145" s="297">
        <v>2005</v>
      </c>
      <c r="D145" s="103">
        <f>+LFM*VLOOKUP(+A145,'HUC11 data'!$E$6:$K$156,7,FALSE)</f>
        <v>0.88249999999999995</v>
      </c>
      <c r="E145" s="103">
        <f t="shared" si="69"/>
        <v>0.89419965491079278</v>
      </c>
      <c r="F145" s="113">
        <f t="shared" si="70"/>
        <v>1.013257399332343</v>
      </c>
      <c r="G145" s="103">
        <f t="shared" si="71"/>
        <v>0</v>
      </c>
      <c r="H145" s="104" t="str">
        <f t="shared" si="78"/>
        <v>Non-Ag Irr</v>
      </c>
      <c r="I145" s="76">
        <v>2.8257798065427671E-3</v>
      </c>
      <c r="J145" s="76">
        <v>0</v>
      </c>
      <c r="K145" s="77">
        <v>0.35242876050239308</v>
      </c>
      <c r="L145" s="78">
        <v>2.2823606129768505E-3</v>
      </c>
      <c r="M145" s="79">
        <v>0</v>
      </c>
      <c r="N145" s="76">
        <v>0</v>
      </c>
      <c r="O145" s="76">
        <v>0</v>
      </c>
      <c r="P145" s="78">
        <v>0.68396228670796644</v>
      </c>
      <c r="Q145" s="79">
        <v>0.27062275839582656</v>
      </c>
      <c r="R145" s="76">
        <v>0</v>
      </c>
      <c r="S145" s="76">
        <v>0</v>
      </c>
      <c r="T145" s="112">
        <f t="shared" si="72"/>
        <v>0.93734926886689129</v>
      </c>
      <c r="U145" s="109">
        <f t="shared" si="73"/>
        <v>0.27062275839582656</v>
      </c>
      <c r="V145" s="108">
        <f>VLOOKUP(+A145,'HUC11 data'!$E$6:$L$156,8,FALSE)</f>
        <v>4.5865999999999997E-2</v>
      </c>
      <c r="W145" s="108">
        <f t="shared" si="74"/>
        <v>1.2538380272627179</v>
      </c>
      <c r="X145" s="283">
        <v>0</v>
      </c>
      <c r="Y145" s="257">
        <v>1.7704597326377567E-4</v>
      </c>
      <c r="Z145" s="257">
        <v>0</v>
      </c>
      <c r="AA145" s="257">
        <v>0</v>
      </c>
      <c r="AB145" s="80">
        <v>0.26172043849622412</v>
      </c>
      <c r="AC145" s="81">
        <v>2.2823606129768505E-3</v>
      </c>
      <c r="AD145" s="82">
        <v>0</v>
      </c>
      <c r="AE145" s="257">
        <v>0</v>
      </c>
      <c r="AF145" s="257">
        <v>0</v>
      </c>
      <c r="AG145" s="81">
        <v>6.839624497772831E-2</v>
      </c>
      <c r="AH145" s="82">
        <v>2.7062282291732003E-2</v>
      </c>
      <c r="AI145" s="257">
        <v>0</v>
      </c>
      <c r="AJ145" s="257">
        <v>0</v>
      </c>
      <c r="AK145" s="111">
        <f t="shared" si="75"/>
        <v>0.33257609006019306</v>
      </c>
      <c r="AL145" s="110">
        <f t="shared" si="76"/>
        <v>2.7062282291732003E-2</v>
      </c>
      <c r="AM145" s="110">
        <f t="shared" si="77"/>
        <v>0.35963837235192508</v>
      </c>
      <c r="AN145" s="74"/>
      <c r="AO145" s="60" t="s">
        <v>247</v>
      </c>
      <c r="AP145" s="74">
        <f t="shared" ref="AP145:AP156" si="80">+SUM(I145:K145)-SUM(Y145:AB145)</f>
        <v>9.3357055839447922E-2</v>
      </c>
      <c r="AQ145" s="74">
        <f t="shared" ref="AQ145:AQ156" si="81">+SUM(L145:M145)-SUM(AC145:AD145)</f>
        <v>0</v>
      </c>
      <c r="AR145" s="74">
        <f t="shared" ref="AR145:AR156" si="82">+SUM(N145:O145)-SUM(AE145:AF145)</f>
        <v>0</v>
      </c>
      <c r="AS145" s="74">
        <f t="shared" ref="AS145:AS156" si="83">+SUM(P145:Q145)-SUM(AG145:AH145)</f>
        <v>0.85912651783433258</v>
      </c>
      <c r="AT145" s="74">
        <f t="shared" ref="AT145:AT156" si="84">+SUM(R145:S145)-SUM(AI145:AJ145)</f>
        <v>0</v>
      </c>
      <c r="AU145" s="286">
        <f t="shared" ref="AU145:AU156" si="85">+V145</f>
        <v>4.5865999999999997E-2</v>
      </c>
      <c r="AV145" s="74">
        <f t="shared" ref="AV145:AV156" si="86">MAX(AP145:AU145)</f>
        <v>0.85912651783433258</v>
      </c>
      <c r="AW145" t="str">
        <f t="shared" si="79"/>
        <v>Non-Ag Irr</v>
      </c>
      <c r="AX145" s="179">
        <f t="shared" ref="AX145:AX156" si="87">RANK(AV145,AP145:AU145)+MATCH(AV145,AP145:AU145,0)-1</f>
        <v>4</v>
      </c>
    </row>
    <row r="146" spans="1:50" x14ac:dyDescent="0.2">
      <c r="A146" s="60" t="s">
        <v>249</v>
      </c>
      <c r="B146" s="107">
        <f t="shared" si="68"/>
        <v>0.25</v>
      </c>
      <c r="C146" s="297">
        <v>2004</v>
      </c>
      <c r="D146" s="103">
        <f>+LFM*VLOOKUP(+A146,'HUC11 data'!$E$6:$K$156,7,FALSE)</f>
        <v>1.42</v>
      </c>
      <c r="E146" s="103">
        <f t="shared" si="69"/>
        <v>15.071716151462942</v>
      </c>
      <c r="F146" s="113">
        <f t="shared" si="70"/>
        <v>10.613884613706297</v>
      </c>
      <c r="G146" s="103">
        <f t="shared" si="71"/>
        <v>0</v>
      </c>
      <c r="H146" s="104" t="str">
        <f t="shared" si="78"/>
        <v>Potable</v>
      </c>
      <c r="I146" s="76">
        <v>13.893272470383653</v>
      </c>
      <c r="J146" s="76">
        <v>2.1851972611672643</v>
      </c>
      <c r="K146" s="77">
        <v>0.53824059456341289</v>
      </c>
      <c r="L146" s="78">
        <v>0.60105423323551777</v>
      </c>
      <c r="M146" s="79">
        <v>0</v>
      </c>
      <c r="N146" s="76">
        <v>0</v>
      </c>
      <c r="O146" s="76">
        <v>0</v>
      </c>
      <c r="P146" s="78">
        <v>0.24312574720139113</v>
      </c>
      <c r="Q146" s="79">
        <v>0</v>
      </c>
      <c r="R146" s="76">
        <v>0</v>
      </c>
      <c r="S146" s="76">
        <v>0</v>
      </c>
      <c r="T146" s="112">
        <f t="shared" si="72"/>
        <v>13.748123740845578</v>
      </c>
      <c r="U146" s="109">
        <f t="shared" si="73"/>
        <v>2.1851972611672643</v>
      </c>
      <c r="V146" s="108">
        <f>VLOOKUP(+A146,'HUC11 data'!$E$6:$L$156,8,FALSE)</f>
        <v>0.10336000000000001</v>
      </c>
      <c r="W146" s="108">
        <f t="shared" si="74"/>
        <v>16.036681002012841</v>
      </c>
      <c r="X146" s="283">
        <v>0</v>
      </c>
      <c r="Y146" s="257">
        <v>0</v>
      </c>
      <c r="Z146" s="257">
        <v>0</v>
      </c>
      <c r="AA146" s="257">
        <v>0</v>
      </c>
      <c r="AB146" s="80">
        <v>0.39970346101686577</v>
      </c>
      <c r="AC146" s="81">
        <v>0.54094880901632547</v>
      </c>
      <c r="AD146" s="82">
        <v>0</v>
      </c>
      <c r="AE146" s="257">
        <v>0</v>
      </c>
      <c r="AF146" s="257">
        <v>0</v>
      </c>
      <c r="AG146" s="81">
        <v>2.4312580516708635E-2</v>
      </c>
      <c r="AH146" s="82">
        <v>0</v>
      </c>
      <c r="AI146" s="257">
        <v>0</v>
      </c>
      <c r="AJ146" s="257">
        <v>0</v>
      </c>
      <c r="AK146" s="111">
        <f t="shared" si="75"/>
        <v>0.96496485054989978</v>
      </c>
      <c r="AL146" s="110">
        <f t="shared" si="76"/>
        <v>0</v>
      </c>
      <c r="AM146" s="110">
        <f t="shared" si="77"/>
        <v>0.96496485054989978</v>
      </c>
      <c r="AN146" s="74"/>
      <c r="AO146" s="60" t="s">
        <v>249</v>
      </c>
      <c r="AP146" s="74">
        <f t="shared" si="80"/>
        <v>16.217006865097463</v>
      </c>
      <c r="AQ146" s="74">
        <f t="shared" si="81"/>
        <v>6.0105424219192294E-2</v>
      </c>
      <c r="AR146" s="74">
        <f t="shared" si="82"/>
        <v>0</v>
      </c>
      <c r="AS146" s="74">
        <f t="shared" si="83"/>
        <v>0.21881316668468248</v>
      </c>
      <c r="AT146" s="74">
        <f t="shared" si="84"/>
        <v>0</v>
      </c>
      <c r="AU146" s="286">
        <f t="shared" si="85"/>
        <v>0.10336000000000001</v>
      </c>
      <c r="AV146" s="74">
        <f t="shared" si="86"/>
        <v>16.217006865097463</v>
      </c>
      <c r="AW146" t="str">
        <f t="shared" si="79"/>
        <v>Potable</v>
      </c>
      <c r="AX146" s="179">
        <f t="shared" si="87"/>
        <v>1</v>
      </c>
    </row>
    <row r="147" spans="1:50" x14ac:dyDescent="0.2">
      <c r="A147" s="60" t="s">
        <v>251</v>
      </c>
      <c r="B147" s="107">
        <f t="shared" si="68"/>
        <v>0.25</v>
      </c>
      <c r="C147" s="297">
        <v>2007</v>
      </c>
      <c r="D147" s="103">
        <f>+LFM*VLOOKUP(+A147,'HUC11 data'!$E$6:$K$156,7,FALSE)</f>
        <v>4.5</v>
      </c>
      <c r="E147" s="103">
        <f t="shared" si="69"/>
        <v>9.1386608164989021</v>
      </c>
      <c r="F147" s="113">
        <f t="shared" si="70"/>
        <v>2.0308135147775337</v>
      </c>
      <c r="G147" s="103">
        <f t="shared" si="71"/>
        <v>0</v>
      </c>
      <c r="H147" s="104" t="str">
        <f t="shared" si="78"/>
        <v>Potable</v>
      </c>
      <c r="I147" s="76">
        <v>7.4454244103901734</v>
      </c>
      <c r="J147" s="76">
        <v>0</v>
      </c>
      <c r="K147" s="77">
        <v>1.9833330439782215</v>
      </c>
      <c r="L147" s="78">
        <v>2.99967394848386E-3</v>
      </c>
      <c r="M147" s="79">
        <v>0</v>
      </c>
      <c r="N147" s="76">
        <v>4.4477339419628308</v>
      </c>
      <c r="O147" s="76">
        <v>0.37137267688294751</v>
      </c>
      <c r="P147" s="78">
        <v>2.1628083903923484E-2</v>
      </c>
      <c r="Q147" s="79">
        <v>0</v>
      </c>
      <c r="R147" s="76">
        <v>0</v>
      </c>
      <c r="S147" s="76">
        <v>0</v>
      </c>
      <c r="T147" s="112">
        <f t="shared" si="72"/>
        <v>12.51100723876527</v>
      </c>
      <c r="U147" s="109">
        <f t="shared" si="73"/>
        <v>0.37137267688294751</v>
      </c>
      <c r="V147" s="108">
        <f>VLOOKUP(+A147,'HUC11 data'!$E$6:$L$156,8,FALSE)</f>
        <v>0</v>
      </c>
      <c r="W147" s="108">
        <f t="shared" si="74"/>
        <v>12.882379915648217</v>
      </c>
      <c r="X147" s="283">
        <v>0</v>
      </c>
      <c r="Y147" s="257">
        <v>1.6922073687642647</v>
      </c>
      <c r="Z147" s="257">
        <v>1.662862732311705E-2</v>
      </c>
      <c r="AA147" s="257">
        <v>0</v>
      </c>
      <c r="AB147" s="80">
        <v>1.4727289839477549</v>
      </c>
      <c r="AC147" s="81">
        <v>4.8496902444714787E-2</v>
      </c>
      <c r="AD147" s="82">
        <v>0</v>
      </c>
      <c r="AE147" s="257">
        <v>0.47433767680913996</v>
      </c>
      <c r="AF147" s="257">
        <v>3.713727654250934E-2</v>
      </c>
      <c r="AG147" s="81">
        <v>2.1822633178140037E-3</v>
      </c>
      <c r="AH147" s="82">
        <v>0</v>
      </c>
      <c r="AI147" s="257">
        <v>0</v>
      </c>
      <c r="AJ147" s="257">
        <v>0</v>
      </c>
      <c r="AK147" s="111">
        <f t="shared" si="75"/>
        <v>3.6899531952836884</v>
      </c>
      <c r="AL147" s="110">
        <f t="shared" si="76"/>
        <v>5.3765903865626394E-2</v>
      </c>
      <c r="AM147" s="110">
        <f t="shared" si="77"/>
        <v>3.7437190991493146</v>
      </c>
      <c r="AN147" s="74"/>
      <c r="AO147" s="60" t="s">
        <v>251</v>
      </c>
      <c r="AP147" s="74">
        <f t="shared" si="80"/>
        <v>6.2471924743332581</v>
      </c>
      <c r="AQ147" s="74">
        <f t="shared" si="81"/>
        <v>-4.5497228496230925E-2</v>
      </c>
      <c r="AR147" s="74">
        <f t="shared" si="82"/>
        <v>4.3076316654941289</v>
      </c>
      <c r="AS147" s="74">
        <f t="shared" si="83"/>
        <v>1.9445820586109479E-2</v>
      </c>
      <c r="AT147" s="74">
        <f t="shared" si="84"/>
        <v>0</v>
      </c>
      <c r="AU147" s="286">
        <f t="shared" si="85"/>
        <v>0</v>
      </c>
      <c r="AV147" s="74">
        <f t="shared" si="86"/>
        <v>6.2471924743332581</v>
      </c>
      <c r="AW147" t="str">
        <f t="shared" si="79"/>
        <v>Potable</v>
      </c>
      <c r="AX147" s="179">
        <f t="shared" si="87"/>
        <v>1</v>
      </c>
    </row>
    <row r="148" spans="1:50" x14ac:dyDescent="0.2">
      <c r="A148" s="60" t="s">
        <v>253</v>
      </c>
      <c r="B148" s="107">
        <f t="shared" si="68"/>
        <v>0.25</v>
      </c>
      <c r="C148" s="297">
        <v>2007</v>
      </c>
      <c r="D148" s="103">
        <f>+LFM*VLOOKUP(+A148,'HUC11 data'!$E$6:$K$156,7,FALSE)</f>
        <v>11.3725</v>
      </c>
      <c r="E148" s="103">
        <f t="shared" si="69"/>
        <v>18.225509272418666</v>
      </c>
      <c r="F148" s="113">
        <f t="shared" si="70"/>
        <v>1.6025947920350552</v>
      </c>
      <c r="G148" s="103">
        <f t="shared" si="71"/>
        <v>0</v>
      </c>
      <c r="H148" s="104" t="str">
        <f t="shared" si="78"/>
        <v>Ag Irr</v>
      </c>
      <c r="I148" s="76">
        <v>1.0803173568090425</v>
      </c>
      <c r="J148" s="76">
        <v>0</v>
      </c>
      <c r="K148" s="77">
        <v>2.5119439791764413</v>
      </c>
      <c r="L148" s="78">
        <v>0.26494076730790128</v>
      </c>
      <c r="M148" s="79">
        <v>4.966090642321487</v>
      </c>
      <c r="N148" s="76">
        <v>18.593370285838486</v>
      </c>
      <c r="O148" s="76">
        <v>1.17378545810238E-4</v>
      </c>
      <c r="P148" s="78">
        <v>0.36159113139876098</v>
      </c>
      <c r="Q148" s="79">
        <v>1.4020215194000651E-2</v>
      </c>
      <c r="R148" s="76">
        <v>0</v>
      </c>
      <c r="S148" s="76">
        <v>0</v>
      </c>
      <c r="T148" s="112">
        <f t="shared" si="72"/>
        <v>20.530947168477571</v>
      </c>
      <c r="U148" s="109">
        <f t="shared" si="73"/>
        <v>4.9802282360612979</v>
      </c>
      <c r="V148" s="108">
        <f>VLOOKUP(+A148,'HUC11 data'!$E$6:$L$156,8,FALSE)</f>
        <v>1.4018200000000003</v>
      </c>
      <c r="W148" s="108">
        <f t="shared" si="74"/>
        <v>26.912995404538869</v>
      </c>
      <c r="X148" s="283">
        <v>0</v>
      </c>
      <c r="Y148" s="257">
        <v>2.3211607433974565E-3</v>
      </c>
      <c r="Z148" s="257">
        <v>0.29442451907401368</v>
      </c>
      <c r="AA148" s="257">
        <v>0</v>
      </c>
      <c r="AB148" s="80">
        <v>1.8653983980362994</v>
      </c>
      <c r="AC148" s="81">
        <v>0.23802412741897594</v>
      </c>
      <c r="AD148" s="82">
        <v>4.390407573491248</v>
      </c>
      <c r="AE148" s="257">
        <v>1.8593374718843418</v>
      </c>
      <c r="AF148" s="257">
        <v>1.1737857379546411E-5</v>
      </c>
      <c r="AG148" s="81">
        <v>3.6159121760880465E-2</v>
      </c>
      <c r="AH148" s="82">
        <v>1.4020218536680436E-3</v>
      </c>
      <c r="AI148" s="257">
        <v>0</v>
      </c>
      <c r="AJ148" s="257">
        <v>0</v>
      </c>
      <c r="AK148" s="111">
        <f t="shared" si="75"/>
        <v>4.0012402798438949</v>
      </c>
      <c r="AL148" s="110">
        <f t="shared" si="76"/>
        <v>4.6862458522763086</v>
      </c>
      <c r="AM148" s="110">
        <f t="shared" si="77"/>
        <v>8.6874861321202026</v>
      </c>
      <c r="AN148" s="74"/>
      <c r="AO148" s="60" t="s">
        <v>253</v>
      </c>
      <c r="AP148" s="74">
        <f t="shared" si="80"/>
        <v>1.4301172581317729</v>
      </c>
      <c r="AQ148" s="74">
        <f t="shared" si="81"/>
        <v>0.60259970871916391</v>
      </c>
      <c r="AR148" s="74">
        <f t="shared" si="82"/>
        <v>16.734138454642572</v>
      </c>
      <c r="AS148" s="74">
        <f t="shared" si="83"/>
        <v>0.33805020297821314</v>
      </c>
      <c r="AT148" s="74">
        <f t="shared" si="84"/>
        <v>0</v>
      </c>
      <c r="AU148" s="286">
        <f t="shared" si="85"/>
        <v>1.4018200000000003</v>
      </c>
      <c r="AV148" s="74">
        <f t="shared" si="86"/>
        <v>16.734138454642572</v>
      </c>
      <c r="AW148" t="str">
        <f t="shared" si="79"/>
        <v>Ag Irr</v>
      </c>
      <c r="AX148" s="179">
        <f t="shared" si="87"/>
        <v>3</v>
      </c>
    </row>
    <row r="149" spans="1:50" x14ac:dyDescent="0.2">
      <c r="A149" s="60" t="s">
        <v>255</v>
      </c>
      <c r="B149" s="107">
        <f t="shared" si="68"/>
        <v>0.25</v>
      </c>
      <c r="C149" s="297">
        <v>2005</v>
      </c>
      <c r="D149" s="103">
        <f>+LFM*VLOOKUP(+A149,'HUC11 data'!$E$6:$K$156,7,FALSE)</f>
        <v>7.86</v>
      </c>
      <c r="E149" s="103">
        <f t="shared" si="69"/>
        <v>5.4340883510367517</v>
      </c>
      <c r="F149" s="113">
        <f t="shared" si="70"/>
        <v>0.69135984109882331</v>
      </c>
      <c r="G149" s="103">
        <f t="shared" si="71"/>
        <v>2.4259116489632486</v>
      </c>
      <c r="H149" s="104" t="str">
        <f t="shared" si="78"/>
        <v>Potable</v>
      </c>
      <c r="I149" s="76">
        <v>1.6486088468644711</v>
      </c>
      <c r="J149" s="76">
        <v>0</v>
      </c>
      <c r="K149" s="77">
        <v>1.616750596906344</v>
      </c>
      <c r="L149" s="78">
        <v>0.31314096293881094</v>
      </c>
      <c r="M149" s="79">
        <v>0</v>
      </c>
      <c r="N149" s="76">
        <v>1.5416041734594064</v>
      </c>
      <c r="O149" s="76">
        <v>0.20541245516791651</v>
      </c>
      <c r="P149" s="78">
        <v>0.65236387349201175</v>
      </c>
      <c r="Q149" s="79">
        <v>0.9625040756439518</v>
      </c>
      <c r="R149" s="76">
        <v>0</v>
      </c>
      <c r="S149" s="76">
        <v>0</v>
      </c>
      <c r="T149" s="112">
        <f t="shared" si="72"/>
        <v>5.1952216082949398</v>
      </c>
      <c r="U149" s="109">
        <f t="shared" si="73"/>
        <v>1.1679165308118682</v>
      </c>
      <c r="V149" s="108">
        <f>VLOOKUP(+A149,'HUC11 data'!$E$6:$L$156,8,FALSE)</f>
        <v>0.93088599999999999</v>
      </c>
      <c r="W149" s="108">
        <f t="shared" si="74"/>
        <v>7.2940241391068081</v>
      </c>
      <c r="X149" s="283">
        <v>0</v>
      </c>
      <c r="Y149" s="257">
        <v>3.7784183240952063E-2</v>
      </c>
      <c r="Z149" s="257">
        <v>0</v>
      </c>
      <c r="AA149" s="257">
        <v>0</v>
      </c>
      <c r="AB149" s="80">
        <v>1.2006174510127408</v>
      </c>
      <c r="AC149" s="81">
        <v>0.2780040208310125</v>
      </c>
      <c r="AD149" s="82">
        <v>0</v>
      </c>
      <c r="AE149" s="257">
        <v>0.1541604541006483</v>
      </c>
      <c r="AF149" s="257">
        <v>2.0541250414206222E-2</v>
      </c>
      <c r="AG149" s="81">
        <v>7.2577997958215734E-2</v>
      </c>
      <c r="AH149" s="82">
        <v>9.6250430512280577E-2</v>
      </c>
      <c r="AI149" s="257">
        <v>0</v>
      </c>
      <c r="AJ149" s="257">
        <v>0</v>
      </c>
      <c r="AK149" s="111">
        <f t="shared" si="75"/>
        <v>1.7431441071435694</v>
      </c>
      <c r="AL149" s="110">
        <f t="shared" si="76"/>
        <v>0.1167916809264868</v>
      </c>
      <c r="AM149" s="110">
        <f t="shared" si="77"/>
        <v>1.8599357880700562</v>
      </c>
      <c r="AN149" s="74"/>
      <c r="AO149" s="60" t="s">
        <v>255</v>
      </c>
      <c r="AP149" s="74">
        <f t="shared" si="80"/>
        <v>2.0269578095171221</v>
      </c>
      <c r="AQ149" s="74">
        <f t="shared" si="81"/>
        <v>3.5136942107798441E-2</v>
      </c>
      <c r="AR149" s="74">
        <f t="shared" si="82"/>
        <v>1.5723149241124685</v>
      </c>
      <c r="AS149" s="74">
        <f t="shared" si="83"/>
        <v>1.446039520665467</v>
      </c>
      <c r="AT149" s="74">
        <f t="shared" si="84"/>
        <v>0</v>
      </c>
      <c r="AU149" s="286">
        <f t="shared" si="85"/>
        <v>0.93088599999999999</v>
      </c>
      <c r="AV149" s="74">
        <f t="shared" si="86"/>
        <v>2.0269578095171221</v>
      </c>
      <c r="AW149" t="str">
        <f t="shared" si="79"/>
        <v>Potable</v>
      </c>
      <c r="AX149" s="179">
        <f t="shared" si="87"/>
        <v>1</v>
      </c>
    </row>
    <row r="150" spans="1:50" x14ac:dyDescent="0.2">
      <c r="A150" s="60" t="s">
        <v>257</v>
      </c>
      <c r="B150" s="107">
        <f t="shared" si="68"/>
        <v>0.25</v>
      </c>
      <c r="C150" s="297">
        <v>2008</v>
      </c>
      <c r="D150" s="103">
        <f>+LFM*VLOOKUP(+A150,'HUC11 data'!$E$6:$K$156,7,FALSE)</f>
        <v>2.1349999999999998</v>
      </c>
      <c r="E150" s="103">
        <f t="shared" si="69"/>
        <v>7.7549359271919158</v>
      </c>
      <c r="F150" s="113">
        <f t="shared" si="70"/>
        <v>3.6322884904880173</v>
      </c>
      <c r="G150" s="103">
        <f t="shared" si="71"/>
        <v>0</v>
      </c>
      <c r="H150" s="104" t="str">
        <f t="shared" si="78"/>
        <v>Potable</v>
      </c>
      <c r="I150" s="76">
        <v>7.9465340180415174</v>
      </c>
      <c r="J150" s="76">
        <v>0</v>
      </c>
      <c r="K150" s="77">
        <v>1.3152587161685116</v>
      </c>
      <c r="L150" s="78">
        <v>1.3612650798826216E-2</v>
      </c>
      <c r="M150" s="79">
        <v>0</v>
      </c>
      <c r="N150" s="76">
        <v>7.043799587001412E-2</v>
      </c>
      <c r="O150" s="76">
        <v>5.2657319856537328E-2</v>
      </c>
      <c r="P150" s="78">
        <v>0.72607687207912186</v>
      </c>
      <c r="Q150" s="79">
        <v>0.13844832083469186</v>
      </c>
      <c r="R150" s="76">
        <v>0.11083577871970438</v>
      </c>
      <c r="S150" s="76">
        <v>0</v>
      </c>
      <c r="T150" s="112">
        <f t="shared" si="72"/>
        <v>9.1644804285099273</v>
      </c>
      <c r="U150" s="109">
        <f t="shared" si="73"/>
        <v>0.19110564069122918</v>
      </c>
      <c r="V150" s="108">
        <f>VLOOKUP(+A150,'HUC11 data'!$E$6:$L$156,8,FALSE)</f>
        <v>0.14987200000000001</v>
      </c>
      <c r="W150" s="108">
        <f t="shared" si="74"/>
        <v>9.5054580692011559</v>
      </c>
      <c r="X150" s="283">
        <v>0</v>
      </c>
      <c r="Y150" s="257">
        <v>1.0564069122921422E-2</v>
      </c>
      <c r="Z150" s="257">
        <v>0</v>
      </c>
      <c r="AA150" s="257">
        <v>0</v>
      </c>
      <c r="AB150" s="80">
        <v>0.976722898618678</v>
      </c>
      <c r="AC150" s="81">
        <v>0.55474567889961546</v>
      </c>
      <c r="AD150" s="82">
        <v>0</v>
      </c>
      <c r="AE150" s="257">
        <v>7.0438012663741013E-3</v>
      </c>
      <c r="AF150" s="257">
        <v>5.2657332411020705E-3</v>
      </c>
      <c r="AG150" s="81">
        <v>7.260770451893378E-2</v>
      </c>
      <c r="AH150" s="82">
        <v>1.3844835384334382E-2</v>
      </c>
      <c r="AI150" s="257">
        <v>0.10972742095728107</v>
      </c>
      <c r="AJ150" s="257">
        <v>0</v>
      </c>
      <c r="AK150" s="111">
        <f t="shared" si="75"/>
        <v>1.7314115733838038</v>
      </c>
      <c r="AL150" s="110">
        <f t="shared" si="76"/>
        <v>1.9110568625436454E-2</v>
      </c>
      <c r="AM150" s="110">
        <f t="shared" si="77"/>
        <v>1.7505221420092403</v>
      </c>
      <c r="AN150" s="74"/>
      <c r="AO150" s="60" t="s">
        <v>257</v>
      </c>
      <c r="AP150" s="74">
        <f t="shared" si="80"/>
        <v>8.2745057664684296</v>
      </c>
      <c r="AQ150" s="74">
        <f t="shared" si="81"/>
        <v>-0.54113302810078923</v>
      </c>
      <c r="AR150" s="74">
        <f t="shared" si="82"/>
        <v>0.11078578121907527</v>
      </c>
      <c r="AS150" s="74">
        <f t="shared" si="83"/>
        <v>0.77807265301054551</v>
      </c>
      <c r="AT150" s="74">
        <f t="shared" si="84"/>
        <v>1.1083577624233093E-3</v>
      </c>
      <c r="AU150" s="286">
        <f t="shared" si="85"/>
        <v>0.14987200000000001</v>
      </c>
      <c r="AV150" s="74">
        <f t="shared" si="86"/>
        <v>8.2745057664684296</v>
      </c>
      <c r="AW150" t="str">
        <f t="shared" si="79"/>
        <v>Potable</v>
      </c>
      <c r="AX150" s="179">
        <f t="shared" si="87"/>
        <v>1</v>
      </c>
    </row>
    <row r="151" spans="1:50" x14ac:dyDescent="0.2">
      <c r="A151" s="60" t="s">
        <v>259</v>
      </c>
      <c r="B151" s="107">
        <f t="shared" si="68"/>
        <v>0.25</v>
      </c>
      <c r="C151" s="297">
        <v>2001</v>
      </c>
      <c r="D151" s="103">
        <f>+LFM*VLOOKUP(+A151,'HUC11 data'!$E$6:$K$156,7,FALSE)</f>
        <v>5.2625000000000002</v>
      </c>
      <c r="E151" s="103">
        <f t="shared" si="69"/>
        <v>3.6213069969051759</v>
      </c>
      <c r="F151" s="113">
        <f t="shared" si="70"/>
        <v>0.68813434620525904</v>
      </c>
      <c r="G151" s="103">
        <f t="shared" si="71"/>
        <v>1.6411930030948243</v>
      </c>
      <c r="H151" s="104" t="str">
        <f t="shared" si="78"/>
        <v>Leakage</v>
      </c>
      <c r="I151" s="76">
        <v>0.4515813498532768</v>
      </c>
      <c r="J151" s="76">
        <v>0</v>
      </c>
      <c r="K151" s="77">
        <v>1.1427504861009103</v>
      </c>
      <c r="L151" s="78">
        <v>5.8870122812737744</v>
      </c>
      <c r="M151" s="79">
        <v>4.6962504075643956</v>
      </c>
      <c r="N151" s="76">
        <v>6.9014237582871424E-2</v>
      </c>
      <c r="O151" s="76">
        <v>0.77763286599282677</v>
      </c>
      <c r="P151" s="78">
        <v>5.4994022388870765E-2</v>
      </c>
      <c r="Q151" s="79">
        <v>0</v>
      </c>
      <c r="R151" s="76">
        <v>0</v>
      </c>
      <c r="S151" s="76">
        <v>0</v>
      </c>
      <c r="T151" s="112">
        <f t="shared" si="72"/>
        <v>6.8448171394797344</v>
      </c>
      <c r="U151" s="109">
        <f t="shared" si="73"/>
        <v>5.473883273557222</v>
      </c>
      <c r="V151" s="108">
        <f>VLOOKUP(+A151,'HUC11 data'!$E$6:$L$156,8,FALSE)</f>
        <v>1.5607360000000003</v>
      </c>
      <c r="W151" s="108">
        <f t="shared" si="74"/>
        <v>13.879436413036958</v>
      </c>
      <c r="X151" s="283">
        <v>0</v>
      </c>
      <c r="Y151" s="257">
        <v>3.207368764264753E-3</v>
      </c>
      <c r="Z151" s="257">
        <v>0</v>
      </c>
      <c r="AA151" s="257">
        <v>0</v>
      </c>
      <c r="AB151" s="80">
        <v>0.84861920490775111</v>
      </c>
      <c r="AC151" s="81">
        <v>5.1806773334508369</v>
      </c>
      <c r="AD151" s="82">
        <v>4.1354613749156721</v>
      </c>
      <c r="AE151" s="257">
        <v>6.9014254037147874E-3</v>
      </c>
      <c r="AF151" s="257">
        <v>7.7763305139494976E-2</v>
      </c>
      <c r="AG151" s="81">
        <v>5.4994035500467451E-3</v>
      </c>
      <c r="AH151" s="82">
        <v>0</v>
      </c>
      <c r="AI151" s="257">
        <v>0</v>
      </c>
      <c r="AJ151" s="257">
        <v>0</v>
      </c>
      <c r="AK151" s="111">
        <f t="shared" si="75"/>
        <v>6.0449047360766146</v>
      </c>
      <c r="AL151" s="110">
        <f t="shared" si="76"/>
        <v>4.2132246800551671</v>
      </c>
      <c r="AM151" s="110">
        <f t="shared" si="77"/>
        <v>10.258129416131782</v>
      </c>
      <c r="AN151" s="74"/>
      <c r="AO151" s="60" t="s">
        <v>259</v>
      </c>
      <c r="AP151" s="74">
        <f t="shared" si="80"/>
        <v>0.74250526228217129</v>
      </c>
      <c r="AQ151" s="74">
        <f t="shared" si="81"/>
        <v>1.267123980471661</v>
      </c>
      <c r="AR151" s="74">
        <f t="shared" si="82"/>
        <v>0.76198237303248839</v>
      </c>
      <c r="AS151" s="74">
        <f t="shared" si="83"/>
        <v>4.9494618838824021E-2</v>
      </c>
      <c r="AT151" s="74">
        <f t="shared" si="84"/>
        <v>0</v>
      </c>
      <c r="AU151" s="286">
        <f t="shared" si="85"/>
        <v>1.5607360000000003</v>
      </c>
      <c r="AV151" s="74">
        <f t="shared" si="86"/>
        <v>1.5607360000000003</v>
      </c>
      <c r="AW151" t="str">
        <f t="shared" si="79"/>
        <v>Leakage</v>
      </c>
      <c r="AX151" s="179">
        <f t="shared" si="87"/>
        <v>6</v>
      </c>
    </row>
    <row r="152" spans="1:50" x14ac:dyDescent="0.2">
      <c r="A152" s="60" t="s">
        <v>271</v>
      </c>
      <c r="B152" s="107">
        <f t="shared" si="68"/>
        <v>0.25</v>
      </c>
      <c r="C152" s="297">
        <v>2000</v>
      </c>
      <c r="D152" s="103">
        <f>+LFM*VLOOKUP(+A152,'HUC11 data'!$E$6:$K$156,7,FALSE)</f>
        <v>2.1724999999999999</v>
      </c>
      <c r="E152" s="103">
        <f t="shared" si="69"/>
        <v>-7.2496824169303515</v>
      </c>
      <c r="F152" s="113" t="str">
        <f t="shared" si="70"/>
        <v>Net Gain</v>
      </c>
      <c r="G152" s="103">
        <f t="shared" si="71"/>
        <v>9.422182416930351</v>
      </c>
      <c r="H152" s="104" t="str">
        <f t="shared" si="78"/>
        <v>Non-Ag Irr</v>
      </c>
      <c r="I152" s="76">
        <v>5.5635257037278563E-2</v>
      </c>
      <c r="J152" s="76">
        <v>0</v>
      </c>
      <c r="K152" s="77">
        <v>2.0094158552459396</v>
      </c>
      <c r="L152" s="78">
        <v>0.37013368112161721</v>
      </c>
      <c r="M152" s="79">
        <v>0</v>
      </c>
      <c r="N152" s="76">
        <v>2.2823606129768501E-2</v>
      </c>
      <c r="O152" s="76">
        <v>9.32507336159113E-3</v>
      </c>
      <c r="P152" s="78">
        <v>0.65198348005651552</v>
      </c>
      <c r="Q152" s="79">
        <v>8.0078252363873489E-2</v>
      </c>
      <c r="R152" s="76">
        <v>0</v>
      </c>
      <c r="S152" s="76">
        <v>0</v>
      </c>
      <c r="T152" s="112">
        <f t="shared" si="72"/>
        <v>2.7989926916320074</v>
      </c>
      <c r="U152" s="109">
        <f t="shared" si="73"/>
        <v>8.9403325725464625E-2</v>
      </c>
      <c r="V152" s="108">
        <f>VLOOKUP(+A152,'HUC11 data'!$E$6:$L$156,8,FALSE)</f>
        <v>5.0388000000000002E-2</v>
      </c>
      <c r="W152" s="108">
        <f t="shared" si="74"/>
        <v>2.938784017357472</v>
      </c>
      <c r="X152" s="283">
        <v>0</v>
      </c>
      <c r="Y152" s="257">
        <v>3.4960221715030972E-2</v>
      </c>
      <c r="Z152" s="257">
        <v>3.8734920117378544</v>
      </c>
      <c r="AA152" s="257">
        <v>4.3723508314313655</v>
      </c>
      <c r="AB152" s="80">
        <v>1.4921117798205021</v>
      </c>
      <c r="AC152" s="81">
        <v>0.33312031245791335</v>
      </c>
      <c r="AD152" s="82">
        <v>0</v>
      </c>
      <c r="AE152" s="257">
        <v>2.2823611571340247E-3</v>
      </c>
      <c r="AF152" s="257">
        <v>9.3250755848618716E-4</v>
      </c>
      <c r="AG152" s="81">
        <v>7.1208581263935311E-2</v>
      </c>
      <c r="AH152" s="82">
        <v>8.007827145601663E-3</v>
      </c>
      <c r="AI152" s="257">
        <v>0</v>
      </c>
      <c r="AJ152" s="257">
        <v>0</v>
      </c>
      <c r="AK152" s="111">
        <f t="shared" si="75"/>
        <v>1.9336832564145159</v>
      </c>
      <c r="AL152" s="110">
        <f t="shared" si="76"/>
        <v>8.254783177873307</v>
      </c>
      <c r="AM152" s="110">
        <f t="shared" si="77"/>
        <v>10.188466434287824</v>
      </c>
      <c r="AN152" s="74"/>
      <c r="AO152" s="60" t="s">
        <v>271</v>
      </c>
      <c r="AP152" s="74">
        <f t="shared" si="80"/>
        <v>-7.7078637324215364</v>
      </c>
      <c r="AQ152" s="74">
        <f t="shared" si="81"/>
        <v>3.7013368663703861E-2</v>
      </c>
      <c r="AR152" s="74">
        <f t="shared" si="82"/>
        <v>2.8933810775739421E-2</v>
      </c>
      <c r="AS152" s="74">
        <f t="shared" si="83"/>
        <v>0.65284532401085205</v>
      </c>
      <c r="AT152" s="74">
        <f t="shared" si="84"/>
        <v>0</v>
      </c>
      <c r="AU152" s="286">
        <f t="shared" si="85"/>
        <v>5.0388000000000002E-2</v>
      </c>
      <c r="AV152" s="74">
        <f t="shared" si="86"/>
        <v>0.65284532401085205</v>
      </c>
      <c r="AW152" t="str">
        <f t="shared" si="79"/>
        <v>Non-Ag Irr</v>
      </c>
      <c r="AX152" s="179">
        <f t="shared" si="87"/>
        <v>4</v>
      </c>
    </row>
    <row r="153" spans="1:50" x14ac:dyDescent="0.2">
      <c r="A153" s="60" t="s">
        <v>245</v>
      </c>
      <c r="B153" s="107">
        <f t="shared" si="68"/>
        <v>0.25</v>
      </c>
      <c r="C153" s="297">
        <v>2006</v>
      </c>
      <c r="D153" s="103">
        <f>+LFM*VLOOKUP(+A153,'HUC11 data'!$E$6:$K$156,7,FALSE)</f>
        <v>2.5000000000000001E-5</v>
      </c>
      <c r="E153" s="103">
        <f t="shared" si="69"/>
        <v>4.8135985547662942E-4</v>
      </c>
      <c r="F153" s="113">
        <f t="shared" si="70"/>
        <v>19.254394219065176</v>
      </c>
      <c r="G153" s="103">
        <f t="shared" si="71"/>
        <v>0</v>
      </c>
      <c r="H153" s="104" t="str">
        <f t="shared" si="78"/>
        <v>Potable</v>
      </c>
      <c r="I153" s="76">
        <v>0</v>
      </c>
      <c r="J153" s="76">
        <v>0</v>
      </c>
      <c r="K153" s="77">
        <v>3.0583416298846622E-3</v>
      </c>
      <c r="L153" s="78">
        <v>0</v>
      </c>
      <c r="M153" s="79">
        <v>0</v>
      </c>
      <c r="N153" s="76">
        <v>0</v>
      </c>
      <c r="O153" s="76">
        <v>0</v>
      </c>
      <c r="P153" s="78">
        <v>0</v>
      </c>
      <c r="Q153" s="79">
        <v>0</v>
      </c>
      <c r="R153" s="76">
        <v>0</v>
      </c>
      <c r="S153" s="76">
        <v>0</v>
      </c>
      <c r="T153" s="112">
        <f t="shared" si="72"/>
        <v>2.7525074668961961E-3</v>
      </c>
      <c r="U153" s="109">
        <f t="shared" si="73"/>
        <v>0</v>
      </c>
      <c r="V153" s="108">
        <f>VLOOKUP(+A153,'HUC11 data'!$E$6:$L$156,8,FALSE)</f>
        <v>0</v>
      </c>
      <c r="W153" s="108">
        <f t="shared" si="74"/>
        <v>2.7525074668961961E-3</v>
      </c>
      <c r="X153" s="283">
        <v>0</v>
      </c>
      <c r="Y153" s="257">
        <v>0</v>
      </c>
      <c r="Z153" s="257">
        <v>0</v>
      </c>
      <c r="AA153" s="257">
        <v>0</v>
      </c>
      <c r="AB153" s="80">
        <v>2.2711476114195667E-3</v>
      </c>
      <c r="AC153" s="81">
        <v>0</v>
      </c>
      <c r="AD153" s="82">
        <v>0</v>
      </c>
      <c r="AE153" s="257">
        <v>0</v>
      </c>
      <c r="AF153" s="257">
        <v>0</v>
      </c>
      <c r="AG153" s="81">
        <v>0</v>
      </c>
      <c r="AH153" s="82">
        <v>0</v>
      </c>
      <c r="AI153" s="257">
        <v>0</v>
      </c>
      <c r="AJ153" s="257">
        <v>0</v>
      </c>
      <c r="AK153" s="111">
        <f t="shared" si="75"/>
        <v>2.2711476114195667E-3</v>
      </c>
      <c r="AL153" s="110">
        <f t="shared" si="76"/>
        <v>0</v>
      </c>
      <c r="AM153" s="110">
        <f t="shared" si="77"/>
        <v>2.2711476114195667E-3</v>
      </c>
      <c r="AN153" s="74"/>
      <c r="AO153" s="60" t="s">
        <v>245</v>
      </c>
      <c r="AP153" s="74">
        <f t="shared" si="80"/>
        <v>7.8719401846509551E-4</v>
      </c>
      <c r="AQ153" s="74">
        <f t="shared" si="81"/>
        <v>0</v>
      </c>
      <c r="AR153" s="74">
        <f t="shared" si="82"/>
        <v>0</v>
      </c>
      <c r="AS153" s="74">
        <f t="shared" si="83"/>
        <v>0</v>
      </c>
      <c r="AT153" s="74">
        <f t="shared" si="84"/>
        <v>0</v>
      </c>
      <c r="AU153" s="286">
        <f t="shared" si="85"/>
        <v>0</v>
      </c>
      <c r="AV153" s="74">
        <f t="shared" si="86"/>
        <v>7.8719401846509551E-4</v>
      </c>
      <c r="AW153" t="str">
        <f t="shared" si="79"/>
        <v>Potable</v>
      </c>
      <c r="AX153" s="179">
        <f t="shared" si="87"/>
        <v>1</v>
      </c>
    </row>
    <row r="154" spans="1:50" x14ac:dyDescent="0.2">
      <c r="A154" s="60" t="s">
        <v>261</v>
      </c>
      <c r="B154" s="107">
        <f t="shared" si="68"/>
        <v>0.25</v>
      </c>
      <c r="C154" s="297">
        <v>2005</v>
      </c>
      <c r="D154" s="103">
        <f>+LFM*VLOOKUP(+A154,'HUC11 data'!$E$6:$K$156,7,FALSE)</f>
        <v>2.5000000000000001E-5</v>
      </c>
      <c r="E154" s="103">
        <f t="shared" si="69"/>
        <v>-26.145428712685952</v>
      </c>
      <c r="F154" s="113" t="str">
        <f t="shared" si="70"/>
        <v>Net Gain</v>
      </c>
      <c r="G154" s="103">
        <f t="shared" si="71"/>
        <v>26.145453712685953</v>
      </c>
      <c r="H154" s="104" t="str">
        <f t="shared" si="78"/>
        <v>Ag Irr</v>
      </c>
      <c r="I154" s="76">
        <v>0</v>
      </c>
      <c r="J154" s="76">
        <v>0</v>
      </c>
      <c r="K154" s="77">
        <v>2.7170960968847171E-7</v>
      </c>
      <c r="L154" s="78">
        <v>0</v>
      </c>
      <c r="M154" s="79">
        <v>0</v>
      </c>
      <c r="N154" s="76">
        <v>0</v>
      </c>
      <c r="O154" s="76">
        <v>0</v>
      </c>
      <c r="P154" s="78">
        <v>0</v>
      </c>
      <c r="Q154" s="79">
        <v>0</v>
      </c>
      <c r="R154" s="76">
        <v>0</v>
      </c>
      <c r="S154" s="76">
        <v>0</v>
      </c>
      <c r="T154" s="112">
        <f t="shared" si="72"/>
        <v>2.4453864871962454E-7</v>
      </c>
      <c r="U154" s="109">
        <f t="shared" si="73"/>
        <v>0</v>
      </c>
      <c r="V154" s="108">
        <f>VLOOKUP(+A154,'HUC11 data'!$E$6:$L$156,8,FALSE)</f>
        <v>0</v>
      </c>
      <c r="W154" s="108">
        <f t="shared" si="74"/>
        <v>2.4453864871962454E-7</v>
      </c>
      <c r="X154" s="283">
        <v>0</v>
      </c>
      <c r="Y154" s="257">
        <v>0</v>
      </c>
      <c r="Z154" s="257">
        <v>0</v>
      </c>
      <c r="AA154" s="257">
        <v>25.432018258884902</v>
      </c>
      <c r="AB154" s="80">
        <v>2.016085321379227E-7</v>
      </c>
      <c r="AC154" s="81">
        <v>0.71341049673116508</v>
      </c>
      <c r="AD154" s="82">
        <v>0</v>
      </c>
      <c r="AE154" s="257">
        <v>0</v>
      </c>
      <c r="AF154" s="257">
        <v>0</v>
      </c>
      <c r="AG154" s="81">
        <v>0</v>
      </c>
      <c r="AH154" s="82">
        <v>0</v>
      </c>
      <c r="AI154" s="257">
        <v>0</v>
      </c>
      <c r="AJ154" s="257">
        <v>0</v>
      </c>
      <c r="AK154" s="111">
        <f t="shared" si="75"/>
        <v>0.71341069833969717</v>
      </c>
      <c r="AL154" s="110">
        <f t="shared" si="76"/>
        <v>25.432018258884902</v>
      </c>
      <c r="AM154" s="110">
        <f t="shared" si="77"/>
        <v>26.145428957224599</v>
      </c>
      <c r="AN154" s="74"/>
      <c r="AO154" s="60" t="s">
        <v>261</v>
      </c>
      <c r="AP154" s="74">
        <f t="shared" si="80"/>
        <v>-25.432018188783825</v>
      </c>
      <c r="AQ154" s="74">
        <f t="shared" si="81"/>
        <v>-0.71341049673116508</v>
      </c>
      <c r="AR154" s="74">
        <f t="shared" si="82"/>
        <v>0</v>
      </c>
      <c r="AS154" s="74">
        <f t="shared" si="83"/>
        <v>0</v>
      </c>
      <c r="AT154" s="74">
        <f t="shared" si="84"/>
        <v>0</v>
      </c>
      <c r="AU154" s="286">
        <f t="shared" si="85"/>
        <v>0</v>
      </c>
      <c r="AV154" s="74">
        <f t="shared" si="86"/>
        <v>0</v>
      </c>
      <c r="AW154" t="str">
        <f t="shared" si="79"/>
        <v>Ag Irr</v>
      </c>
      <c r="AX154" s="179">
        <f t="shared" si="87"/>
        <v>3</v>
      </c>
    </row>
    <row r="155" spans="1:50" x14ac:dyDescent="0.2">
      <c r="A155" s="60" t="s">
        <v>263</v>
      </c>
      <c r="B155" s="107">
        <f t="shared" si="68"/>
        <v>0.25</v>
      </c>
      <c r="C155" s="297">
        <v>2000</v>
      </c>
      <c r="D155" s="103">
        <f>+LFM*VLOOKUP(+A155,'HUC11 data'!$E$6:$K$156,7,FALSE)</f>
        <v>2.5000000000000001E-5</v>
      </c>
      <c r="E155" s="103">
        <f t="shared" si="69"/>
        <v>4.3359417197769322E-6</v>
      </c>
      <c r="F155" s="113">
        <f t="shared" si="70"/>
        <v>0.17343766879107728</v>
      </c>
      <c r="G155" s="103">
        <f t="shared" si="71"/>
        <v>2.0664058280223069E-5</v>
      </c>
      <c r="H155" s="104" t="str">
        <f t="shared" si="78"/>
        <v>Potable</v>
      </c>
      <c r="I155" s="76">
        <v>0</v>
      </c>
      <c r="J155" s="76">
        <v>0</v>
      </c>
      <c r="K155" s="77">
        <v>2.744267023059288E-5</v>
      </c>
      <c r="L155" s="78">
        <v>0</v>
      </c>
      <c r="M155" s="79">
        <v>0</v>
      </c>
      <c r="N155" s="76">
        <v>0</v>
      </c>
      <c r="O155" s="76">
        <v>0</v>
      </c>
      <c r="P155" s="78">
        <v>0</v>
      </c>
      <c r="Q155" s="79">
        <v>0</v>
      </c>
      <c r="R155" s="76">
        <v>0</v>
      </c>
      <c r="S155" s="76">
        <v>0</v>
      </c>
      <c r="T155" s="112">
        <f t="shared" si="72"/>
        <v>2.4698403207533594E-5</v>
      </c>
      <c r="U155" s="109">
        <f t="shared" si="73"/>
        <v>0</v>
      </c>
      <c r="V155" s="108">
        <f>VLOOKUP(+A155,'HUC11 data'!$E$6:$L$156,8,FALSE)</f>
        <v>0</v>
      </c>
      <c r="W155" s="108">
        <f t="shared" si="74"/>
        <v>2.4698403207533594E-5</v>
      </c>
      <c r="X155" s="283">
        <v>0</v>
      </c>
      <c r="Y155" s="257">
        <v>0</v>
      </c>
      <c r="Z155" s="257">
        <v>0</v>
      </c>
      <c r="AA155" s="257">
        <v>0</v>
      </c>
      <c r="AB155" s="80">
        <v>2.0362461487756662E-5</v>
      </c>
      <c r="AC155" s="81">
        <v>0</v>
      </c>
      <c r="AD155" s="82">
        <v>0</v>
      </c>
      <c r="AE155" s="257">
        <v>0</v>
      </c>
      <c r="AF155" s="257">
        <v>0</v>
      </c>
      <c r="AG155" s="81">
        <v>0</v>
      </c>
      <c r="AH155" s="82">
        <v>0</v>
      </c>
      <c r="AI155" s="257">
        <v>0</v>
      </c>
      <c r="AJ155" s="257">
        <v>0</v>
      </c>
      <c r="AK155" s="111">
        <f t="shared" si="75"/>
        <v>2.0362461487756662E-5</v>
      </c>
      <c r="AL155" s="110">
        <f t="shared" si="76"/>
        <v>0</v>
      </c>
      <c r="AM155" s="110">
        <f t="shared" si="77"/>
        <v>2.0362461487756662E-5</v>
      </c>
      <c r="AN155" s="74"/>
      <c r="AO155" s="60" t="s">
        <v>263</v>
      </c>
      <c r="AP155" s="74">
        <f t="shared" si="80"/>
        <v>7.0802087428362182E-6</v>
      </c>
      <c r="AQ155" s="74">
        <f t="shared" si="81"/>
        <v>0</v>
      </c>
      <c r="AR155" s="74">
        <f t="shared" si="82"/>
        <v>0</v>
      </c>
      <c r="AS155" s="74">
        <f t="shared" si="83"/>
        <v>0</v>
      </c>
      <c r="AT155" s="74">
        <f t="shared" si="84"/>
        <v>0</v>
      </c>
      <c r="AU155" s="286">
        <f t="shared" si="85"/>
        <v>0</v>
      </c>
      <c r="AV155" s="74">
        <f t="shared" si="86"/>
        <v>7.0802087428362182E-6</v>
      </c>
      <c r="AW155" t="str">
        <f t="shared" si="79"/>
        <v>Potable</v>
      </c>
      <c r="AX155" s="179">
        <f t="shared" si="87"/>
        <v>1</v>
      </c>
    </row>
    <row r="156" spans="1:50" ht="13.5" thickBot="1" x14ac:dyDescent="0.25">
      <c r="A156" s="261" t="s">
        <v>273</v>
      </c>
      <c r="B156" s="262">
        <f t="shared" si="68"/>
        <v>0.25</v>
      </c>
      <c r="C156" s="263">
        <v>2009</v>
      </c>
      <c r="D156" s="264">
        <f>+LFM*VLOOKUP(+A156,'HUC11 data'!$E$6:$K$156,7,FALSE)</f>
        <v>2.5000000000000001E-5</v>
      </c>
      <c r="E156" s="264">
        <f t="shared" si="69"/>
        <v>1.0993435462552749E-2</v>
      </c>
      <c r="F156" s="265">
        <f t="shared" si="70"/>
        <v>439.73741850210996</v>
      </c>
      <c r="G156" s="264">
        <f t="shared" si="71"/>
        <v>0</v>
      </c>
      <c r="H156" s="266" t="str">
        <f t="shared" si="78"/>
        <v>Potable</v>
      </c>
      <c r="I156" s="316">
        <v>0</v>
      </c>
      <c r="J156" s="267">
        <v>0</v>
      </c>
      <c r="K156" s="268">
        <v>6.9847953936956919E-2</v>
      </c>
      <c r="L156" s="269">
        <v>0</v>
      </c>
      <c r="M156" s="270">
        <v>0</v>
      </c>
      <c r="N156" s="267">
        <v>0</v>
      </c>
      <c r="O156" s="267">
        <v>0</v>
      </c>
      <c r="P156" s="269">
        <v>0</v>
      </c>
      <c r="Q156" s="270">
        <v>0</v>
      </c>
      <c r="R156" s="267">
        <v>0</v>
      </c>
      <c r="S156" s="267">
        <v>0</v>
      </c>
      <c r="T156" s="271">
        <f t="shared" si="72"/>
        <v>6.286315854326123E-2</v>
      </c>
      <c r="U156" s="272">
        <f t="shared" si="73"/>
        <v>0</v>
      </c>
      <c r="V156" s="267">
        <f>VLOOKUP(+A156,'HUC11 data'!$E$6:$L$156,8,FALSE)</f>
        <v>0</v>
      </c>
      <c r="W156" s="267">
        <f t="shared" si="74"/>
        <v>6.286315854326123E-2</v>
      </c>
      <c r="X156" s="284">
        <v>0</v>
      </c>
      <c r="Y156" s="273">
        <v>0</v>
      </c>
      <c r="Z156" s="273">
        <v>0</v>
      </c>
      <c r="AA156" s="273">
        <v>0</v>
      </c>
      <c r="AB156" s="274">
        <v>5.1869723080708481E-2</v>
      </c>
      <c r="AC156" s="275">
        <v>0</v>
      </c>
      <c r="AD156" s="276">
        <v>0</v>
      </c>
      <c r="AE156" s="273">
        <v>0</v>
      </c>
      <c r="AF156" s="273">
        <v>0</v>
      </c>
      <c r="AG156" s="275">
        <v>0</v>
      </c>
      <c r="AH156" s="276">
        <v>0</v>
      </c>
      <c r="AI156" s="273">
        <v>0</v>
      </c>
      <c r="AJ156" s="276">
        <v>0</v>
      </c>
      <c r="AK156" s="277">
        <f t="shared" si="75"/>
        <v>5.1869723080708481E-2</v>
      </c>
      <c r="AL156" s="278">
        <f t="shared" si="76"/>
        <v>0</v>
      </c>
      <c r="AM156" s="278">
        <f t="shared" si="77"/>
        <v>5.1869723080708481E-2</v>
      </c>
      <c r="AN156" s="279"/>
      <c r="AO156" s="261" t="s">
        <v>273</v>
      </c>
      <c r="AP156" s="279">
        <f t="shared" si="80"/>
        <v>1.7978230856248438E-2</v>
      </c>
      <c r="AQ156" s="279">
        <f t="shared" si="81"/>
        <v>0</v>
      </c>
      <c r="AR156" s="279">
        <f t="shared" si="82"/>
        <v>0</v>
      </c>
      <c r="AS156" s="279">
        <f t="shared" si="83"/>
        <v>0</v>
      </c>
      <c r="AT156" s="279">
        <f t="shared" si="84"/>
        <v>0</v>
      </c>
      <c r="AU156" s="287">
        <f t="shared" si="85"/>
        <v>0</v>
      </c>
      <c r="AV156" s="279">
        <f t="shared" si="86"/>
        <v>1.7978230856248438E-2</v>
      </c>
      <c r="AW156" s="280" t="str">
        <f t="shared" si="79"/>
        <v>Potable</v>
      </c>
      <c r="AX156" s="281">
        <f t="shared" si="87"/>
        <v>1</v>
      </c>
    </row>
    <row r="157" spans="1:50" x14ac:dyDescent="0.2">
      <c r="D157" s="105"/>
      <c r="E157" s="105"/>
      <c r="F157" s="105"/>
      <c r="G157" s="105"/>
      <c r="H157" s="105"/>
      <c r="I157" s="74"/>
      <c r="J157" s="74"/>
      <c r="K157" s="74"/>
      <c r="L157" s="74"/>
      <c r="M157" s="74"/>
      <c r="N157" s="74"/>
      <c r="O157" s="74"/>
      <c r="P157" s="74"/>
      <c r="Q157" s="74"/>
      <c r="R157" s="74"/>
      <c r="S157" s="74"/>
      <c r="T157" s="74"/>
      <c r="U157" s="74"/>
      <c r="V157" s="74"/>
      <c r="W157" s="74"/>
      <c r="X157" s="74"/>
      <c r="Y157" s="74"/>
      <c r="Z157" s="74"/>
      <c r="AA157" s="74"/>
      <c r="AB157" s="74"/>
      <c r="AC157" s="74"/>
      <c r="AD157" s="74"/>
      <c r="AE157" s="74"/>
      <c r="AF157" s="74"/>
      <c r="AG157" s="74"/>
      <c r="AH157" s="74"/>
      <c r="AI157" s="74"/>
      <c r="AJ157" s="74"/>
      <c r="AK157" s="74"/>
      <c r="AL157" s="74"/>
      <c r="AM157" s="74"/>
      <c r="AN157" s="74"/>
    </row>
    <row r="158" spans="1:50" x14ac:dyDescent="0.2">
      <c r="D158" s="105"/>
      <c r="E158" s="105"/>
      <c r="F158" s="105"/>
      <c r="G158" s="105"/>
      <c r="H158" s="105"/>
      <c r="I158" s="74"/>
      <c r="J158" s="74"/>
      <c r="K158" s="74"/>
      <c r="L158" s="74"/>
      <c r="M158" s="74"/>
      <c r="N158" s="74"/>
      <c r="O158" s="74"/>
      <c r="P158" s="74"/>
      <c r="Q158" s="74"/>
      <c r="R158" s="74"/>
      <c r="S158" s="74"/>
      <c r="T158" s="74"/>
      <c r="U158" s="74"/>
      <c r="V158" s="74"/>
      <c r="W158" s="74"/>
      <c r="X158" s="74"/>
      <c r="Y158" s="74"/>
      <c r="Z158" s="74"/>
      <c r="AA158" s="74"/>
      <c r="AB158" s="74"/>
      <c r="AC158" s="74"/>
      <c r="AD158" s="74"/>
      <c r="AE158" s="74"/>
      <c r="AF158" s="74"/>
      <c r="AG158" s="74"/>
      <c r="AH158" s="74"/>
      <c r="AI158" s="74"/>
      <c r="AJ158" s="74"/>
      <c r="AK158" s="74"/>
      <c r="AL158" s="74"/>
      <c r="AM158" s="74"/>
      <c r="AN158" s="74"/>
    </row>
    <row r="159" spans="1:50" x14ac:dyDescent="0.2">
      <c r="D159" s="105"/>
      <c r="E159" s="105"/>
      <c r="F159" s="105"/>
      <c r="G159" s="105"/>
      <c r="H159" s="105"/>
      <c r="I159" s="74"/>
      <c r="J159" s="74"/>
      <c r="K159" s="74"/>
      <c r="L159" s="74"/>
      <c r="M159" s="74"/>
      <c r="N159" s="74"/>
      <c r="O159" s="74"/>
      <c r="P159" s="74"/>
      <c r="Q159" s="74"/>
      <c r="R159" s="74"/>
      <c r="S159" s="74"/>
      <c r="T159" s="74"/>
      <c r="U159" s="74"/>
      <c r="V159" s="74"/>
      <c r="W159" s="74"/>
      <c r="X159" s="74"/>
      <c r="Y159" s="74"/>
      <c r="Z159" s="74"/>
      <c r="AA159" s="74"/>
      <c r="AB159" s="74"/>
      <c r="AC159" s="74"/>
      <c r="AD159" s="74"/>
      <c r="AE159" s="74"/>
      <c r="AF159" s="74"/>
      <c r="AG159" s="74"/>
      <c r="AH159" s="74"/>
      <c r="AI159" s="74"/>
      <c r="AJ159" s="74"/>
      <c r="AK159" s="74"/>
      <c r="AL159" s="74"/>
      <c r="AM159" s="74"/>
      <c r="AN159" s="74"/>
    </row>
    <row r="160" spans="1:50" x14ac:dyDescent="0.2">
      <c r="D160" s="105"/>
      <c r="E160" s="105"/>
      <c r="F160" s="105"/>
      <c r="G160" s="105"/>
      <c r="H160" s="105"/>
      <c r="I160" s="74"/>
      <c r="J160" s="74"/>
      <c r="K160" s="74"/>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row>
    <row r="161" spans="4:40" x14ac:dyDescent="0.2">
      <c r="D161" s="105"/>
      <c r="E161" s="105"/>
      <c r="F161" s="105"/>
      <c r="G161" s="105"/>
      <c r="H161" s="105"/>
      <c r="I161" s="74"/>
      <c r="J161" s="74"/>
      <c r="K161" s="74"/>
      <c r="L161" s="74"/>
      <c r="M161" s="74"/>
      <c r="N161" s="74"/>
      <c r="O161" s="74"/>
      <c r="P161" s="74"/>
      <c r="Q161" s="74"/>
      <c r="R161" s="74"/>
      <c r="S161" s="74"/>
      <c r="T161" s="74"/>
      <c r="U161" s="74"/>
      <c r="V161" s="74"/>
      <c r="W161" s="74"/>
      <c r="X161" s="74"/>
      <c r="Y161" s="74"/>
      <c r="Z161" s="74"/>
      <c r="AA161" s="74"/>
      <c r="AB161" s="74"/>
      <c r="AC161" s="74"/>
      <c r="AD161" s="74"/>
      <c r="AE161" s="74"/>
      <c r="AF161" s="74"/>
      <c r="AG161" s="74"/>
      <c r="AH161" s="74"/>
      <c r="AI161" s="74"/>
      <c r="AJ161" s="74"/>
      <c r="AK161" s="74"/>
      <c r="AL161" s="74"/>
      <c r="AM161" s="74"/>
      <c r="AN161" s="74"/>
    </row>
  </sheetData>
  <sortState ref="A6:AQ156">
    <sortCondition ref="A6:A156"/>
  </sortState>
  <mergeCells count="18">
    <mergeCell ref="L4:M4"/>
    <mergeCell ref="N4:O4"/>
    <mergeCell ref="P4:Q4"/>
    <mergeCell ref="R4:S4"/>
    <mergeCell ref="AP4:AU4"/>
    <mergeCell ref="AP3:AW3"/>
    <mergeCell ref="B2:X2"/>
    <mergeCell ref="Y3:AM3"/>
    <mergeCell ref="Y4:AA4"/>
    <mergeCell ref="AC4:AD4"/>
    <mergeCell ref="AE4:AF4"/>
    <mergeCell ref="AG4:AH4"/>
    <mergeCell ref="AI4:AJ4"/>
    <mergeCell ref="AK4:AM4"/>
    <mergeCell ref="B3:H4"/>
    <mergeCell ref="T4:X4"/>
    <mergeCell ref="I3:X3"/>
    <mergeCell ref="I4:J4"/>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D157"/>
  <sheetViews>
    <sheetView workbookViewId="0">
      <selection activeCell="C1" sqref="C1:C1048576"/>
    </sheetView>
  </sheetViews>
  <sheetFormatPr defaultRowHeight="12.75" x14ac:dyDescent="0.2"/>
  <cols>
    <col min="1" max="1" width="16.28515625" style="242" customWidth="1"/>
    <col min="2" max="2" width="11.42578125" style="242" customWidth="1"/>
    <col min="3" max="3" width="19.28515625" style="242" customWidth="1"/>
    <col min="4" max="4" width="16.5703125" style="242" customWidth="1"/>
  </cols>
  <sheetData>
    <row r="2" spans="1:4" ht="15" x14ac:dyDescent="0.2">
      <c r="A2" s="255" t="s">
        <v>590</v>
      </c>
    </row>
    <row r="3" spans="1:4" x14ac:dyDescent="0.2">
      <c r="A3" s="250"/>
    </row>
    <row r="4" spans="1:4" x14ac:dyDescent="0.2">
      <c r="A4" s="250"/>
    </row>
    <row r="5" spans="1:4" x14ac:dyDescent="0.2">
      <c r="A5" s="251" t="s">
        <v>1</v>
      </c>
      <c r="B5" s="251" t="s">
        <v>538</v>
      </c>
      <c r="C5" s="252" t="s">
        <v>544</v>
      </c>
      <c r="D5" s="254"/>
    </row>
    <row r="6" spans="1:4" x14ac:dyDescent="0.2">
      <c r="A6" s="242" t="s">
        <v>94</v>
      </c>
      <c r="B6" s="253">
        <v>1.1958303562910791E-2</v>
      </c>
      <c r="C6" s="242" t="s">
        <v>564</v>
      </c>
    </row>
    <row r="7" spans="1:4" x14ac:dyDescent="0.2">
      <c r="A7" s="242" t="s">
        <v>96</v>
      </c>
      <c r="B7" s="253">
        <v>4.115723986852907</v>
      </c>
      <c r="C7" s="242" t="s">
        <v>545</v>
      </c>
    </row>
    <row r="8" spans="1:4" x14ac:dyDescent="0.2">
      <c r="A8" s="242" t="s">
        <v>98</v>
      </c>
      <c r="B8" s="253">
        <v>1.7769044639445131</v>
      </c>
      <c r="C8" s="242" t="s">
        <v>367</v>
      </c>
    </row>
    <row r="9" spans="1:4" x14ac:dyDescent="0.2">
      <c r="A9" s="242" t="s">
        <v>100</v>
      </c>
      <c r="B9" s="253">
        <v>0.63275396777696358</v>
      </c>
      <c r="C9" s="242" t="s">
        <v>545</v>
      </c>
    </row>
    <row r="10" spans="1:4" x14ac:dyDescent="0.2">
      <c r="A10" s="242" t="s">
        <v>102</v>
      </c>
      <c r="B10" s="253">
        <v>6.0902665445287241</v>
      </c>
      <c r="C10" s="318" t="s">
        <v>596</v>
      </c>
    </row>
    <row r="11" spans="1:4" x14ac:dyDescent="0.2">
      <c r="A11" s="242" t="s">
        <v>119</v>
      </c>
      <c r="B11" s="253">
        <v>-21.885265170638561</v>
      </c>
      <c r="C11" s="242" t="s">
        <v>368</v>
      </c>
    </row>
    <row r="12" spans="1:4" x14ac:dyDescent="0.2">
      <c r="A12" s="242" t="s">
        <v>126</v>
      </c>
      <c r="B12" s="253">
        <v>37.10804110612365</v>
      </c>
      <c r="C12" s="242" t="s">
        <v>545</v>
      </c>
    </row>
    <row r="13" spans="1:4" x14ac:dyDescent="0.2">
      <c r="A13" s="242" t="s">
        <v>128</v>
      </c>
      <c r="B13" s="253">
        <v>16.980306011849756</v>
      </c>
      <c r="C13" s="242" t="s">
        <v>545</v>
      </c>
    </row>
    <row r="14" spans="1:4" x14ac:dyDescent="0.2">
      <c r="A14" s="242" t="s">
        <v>130</v>
      </c>
      <c r="B14" s="253">
        <v>0.66700433596495978</v>
      </c>
      <c r="C14" s="242" t="s">
        <v>545</v>
      </c>
    </row>
    <row r="15" spans="1:4" x14ac:dyDescent="0.2">
      <c r="A15" s="242" t="s">
        <v>132</v>
      </c>
      <c r="B15" s="253">
        <v>0.45407134919737779</v>
      </c>
      <c r="C15" s="242" t="s">
        <v>545</v>
      </c>
    </row>
    <row r="16" spans="1:4" x14ac:dyDescent="0.2">
      <c r="A16" s="242" t="s">
        <v>105</v>
      </c>
      <c r="B16" s="253">
        <v>4.3085764182803699</v>
      </c>
      <c r="C16" s="242" t="s">
        <v>545</v>
      </c>
    </row>
    <row r="17" spans="1:3" x14ac:dyDescent="0.2">
      <c r="A17" s="242" t="s">
        <v>107</v>
      </c>
      <c r="B17" s="253">
        <v>3.2422190418272088</v>
      </c>
      <c r="C17" s="242" t="s">
        <v>545</v>
      </c>
    </row>
    <row r="18" spans="1:3" x14ac:dyDescent="0.2">
      <c r="A18" s="242" t="s">
        <v>109</v>
      </c>
      <c r="B18" s="253">
        <v>11.181635038317316</v>
      </c>
      <c r="C18" s="242" t="s">
        <v>545</v>
      </c>
    </row>
    <row r="19" spans="1:3" x14ac:dyDescent="0.2">
      <c r="A19" s="242" t="s">
        <v>111</v>
      </c>
      <c r="B19" s="253">
        <v>1.3053505431903529</v>
      </c>
      <c r="C19" s="242" t="s">
        <v>545</v>
      </c>
    </row>
    <row r="20" spans="1:3" x14ac:dyDescent="0.2">
      <c r="A20" s="242" t="s">
        <v>113</v>
      </c>
      <c r="B20" s="253">
        <v>13.127055239770669</v>
      </c>
      <c r="C20" s="242" t="s">
        <v>596</v>
      </c>
    </row>
    <row r="21" spans="1:3" x14ac:dyDescent="0.2">
      <c r="A21" s="242" t="s">
        <v>115</v>
      </c>
      <c r="B21" s="253">
        <v>12.68722571945748</v>
      </c>
      <c r="C21" s="242" t="s">
        <v>545</v>
      </c>
    </row>
    <row r="22" spans="1:3" x14ac:dyDescent="0.2">
      <c r="A22" s="242" t="s">
        <v>117</v>
      </c>
      <c r="B22" s="253">
        <v>4.3382908981915485</v>
      </c>
      <c r="C22" s="242" t="s">
        <v>545</v>
      </c>
    </row>
    <row r="23" spans="1:3" x14ac:dyDescent="0.2">
      <c r="A23" s="242" t="s">
        <v>121</v>
      </c>
      <c r="B23" s="253">
        <v>4.6809455161153588</v>
      </c>
      <c r="C23" s="242" t="s">
        <v>368</v>
      </c>
    </row>
    <row r="24" spans="1:3" x14ac:dyDescent="0.2">
      <c r="A24" s="242" t="s">
        <v>123</v>
      </c>
      <c r="B24" s="253">
        <v>-72.351994937532979</v>
      </c>
      <c r="C24" s="242" t="s">
        <v>368</v>
      </c>
    </row>
    <row r="25" spans="1:3" x14ac:dyDescent="0.2">
      <c r="A25" s="242" t="s">
        <v>134</v>
      </c>
      <c r="B25" s="253">
        <v>-209.07964678224059</v>
      </c>
      <c r="C25" s="242" t="s">
        <v>368</v>
      </c>
    </row>
    <row r="26" spans="1:3" x14ac:dyDescent="0.2">
      <c r="A26" s="242" t="s">
        <v>136</v>
      </c>
      <c r="B26" s="253">
        <v>-45.194249190190455</v>
      </c>
      <c r="C26" s="242" t="s">
        <v>545</v>
      </c>
    </row>
    <row r="27" spans="1:3" x14ac:dyDescent="0.2">
      <c r="A27" s="242" t="s">
        <v>138</v>
      </c>
      <c r="B27" s="253">
        <v>0.74291593100223041</v>
      </c>
      <c r="C27" s="242" t="s">
        <v>368</v>
      </c>
    </row>
    <row r="28" spans="1:3" x14ac:dyDescent="0.2">
      <c r="A28" s="242" t="s">
        <v>140</v>
      </c>
      <c r="B28" s="253">
        <v>-3.2110861800263124</v>
      </c>
      <c r="C28" s="242" t="s">
        <v>545</v>
      </c>
    </row>
    <row r="29" spans="1:3" x14ac:dyDescent="0.2">
      <c r="A29" s="242" t="s">
        <v>185</v>
      </c>
      <c r="B29" s="253">
        <v>0.43828306852905174</v>
      </c>
      <c r="C29" s="242" t="s">
        <v>367</v>
      </c>
    </row>
    <row r="30" spans="1:3" x14ac:dyDescent="0.2">
      <c r="A30" s="242" t="s">
        <v>187</v>
      </c>
      <c r="B30" s="253">
        <v>1.892077302628127</v>
      </c>
      <c r="C30" s="242" t="s">
        <v>367</v>
      </c>
    </row>
    <row r="31" spans="1:3" x14ac:dyDescent="0.2">
      <c r="A31" s="242" t="s">
        <v>189</v>
      </c>
      <c r="B31" s="253">
        <v>0.52982186267815368</v>
      </c>
      <c r="C31" s="242" t="s">
        <v>368</v>
      </c>
    </row>
    <row r="32" spans="1:3" x14ac:dyDescent="0.2">
      <c r="A32" s="242" t="s">
        <v>191</v>
      </c>
      <c r="B32" s="253">
        <v>1.6138791628403477</v>
      </c>
      <c r="C32" s="242" t="s">
        <v>368</v>
      </c>
    </row>
    <row r="33" spans="1:3" x14ac:dyDescent="0.2">
      <c r="A33" s="242" t="s">
        <v>193</v>
      </c>
      <c r="B33" s="253">
        <v>1.6602019088297721</v>
      </c>
      <c r="C33" s="242" t="s">
        <v>368</v>
      </c>
    </row>
    <row r="34" spans="1:3" x14ac:dyDescent="0.2">
      <c r="A34" s="242" t="s">
        <v>195</v>
      </c>
      <c r="B34" s="253">
        <v>-97.961327460582638</v>
      </c>
      <c r="C34" s="242" t="s">
        <v>546</v>
      </c>
    </row>
    <row r="35" spans="1:3" x14ac:dyDescent="0.2">
      <c r="A35" s="242" t="s">
        <v>197</v>
      </c>
      <c r="B35" s="253">
        <v>-24.199466086075351</v>
      </c>
      <c r="C35" s="242" t="s">
        <v>564</v>
      </c>
    </row>
    <row r="36" spans="1:3" x14ac:dyDescent="0.2">
      <c r="A36" s="242" t="s">
        <v>199</v>
      </c>
      <c r="B36" s="253">
        <v>-15.229279426149333</v>
      </c>
      <c r="C36" s="242" t="s">
        <v>564</v>
      </c>
    </row>
    <row r="37" spans="1:3" x14ac:dyDescent="0.2">
      <c r="A37" s="242" t="s">
        <v>142</v>
      </c>
      <c r="B37" s="253">
        <v>10.213331890057413</v>
      </c>
      <c r="C37" s="242" t="s">
        <v>545</v>
      </c>
    </row>
    <row r="38" spans="1:3" x14ac:dyDescent="0.2">
      <c r="A38" s="242" t="s">
        <v>144</v>
      </c>
      <c r="B38" s="253">
        <v>2.560917667123439</v>
      </c>
      <c r="C38" s="242" t="s">
        <v>545</v>
      </c>
    </row>
    <row r="39" spans="1:3" x14ac:dyDescent="0.2">
      <c r="A39" s="242" t="s">
        <v>146</v>
      </c>
      <c r="B39" s="253">
        <v>2.2691129931266056</v>
      </c>
      <c r="C39" s="242" t="s">
        <v>368</v>
      </c>
    </row>
    <row r="40" spans="1:3" x14ac:dyDescent="0.2">
      <c r="A40" s="242" t="s">
        <v>148</v>
      </c>
      <c r="B40" s="253">
        <v>1.4425194298379922</v>
      </c>
      <c r="C40" s="242" t="s">
        <v>368</v>
      </c>
    </row>
    <row r="41" spans="1:3" x14ac:dyDescent="0.2">
      <c r="A41" s="242" t="s">
        <v>150</v>
      </c>
      <c r="B41" s="253">
        <v>9.4391011780143561</v>
      </c>
      <c r="C41" s="242" t="s">
        <v>545</v>
      </c>
    </row>
    <row r="42" spans="1:3" x14ac:dyDescent="0.2">
      <c r="A42" s="242" t="s">
        <v>152</v>
      </c>
      <c r="B42" s="253">
        <v>-5.9279524759062618E-2</v>
      </c>
      <c r="C42" s="242" t="s">
        <v>368</v>
      </c>
    </row>
    <row r="43" spans="1:3" x14ac:dyDescent="0.2">
      <c r="A43" s="242" t="s">
        <v>154</v>
      </c>
      <c r="B43" s="253">
        <v>0.57425080154434749</v>
      </c>
      <c r="C43" s="242" t="s">
        <v>545</v>
      </c>
    </row>
    <row r="44" spans="1:3" x14ac:dyDescent="0.2">
      <c r="A44" s="242" t="s">
        <v>157</v>
      </c>
      <c r="B44" s="253">
        <v>-7.9628035734101275</v>
      </c>
      <c r="C44" s="242" t="s">
        <v>367</v>
      </c>
    </row>
    <row r="45" spans="1:3" x14ac:dyDescent="0.2">
      <c r="A45" s="242" t="s">
        <v>169</v>
      </c>
      <c r="B45" s="253">
        <v>3.9529866019664013</v>
      </c>
      <c r="C45" s="242" t="s">
        <v>545</v>
      </c>
    </row>
    <row r="46" spans="1:3" x14ac:dyDescent="0.2">
      <c r="A46" s="242" t="s">
        <v>171</v>
      </c>
      <c r="B46" s="253">
        <v>23.503926077926671</v>
      </c>
      <c r="C46" s="242" t="s">
        <v>367</v>
      </c>
    </row>
    <row r="47" spans="1:3" x14ac:dyDescent="0.2">
      <c r="A47" s="242" t="s">
        <v>173</v>
      </c>
      <c r="B47" s="253">
        <v>-4.0903935068371382</v>
      </c>
      <c r="C47" s="242" t="s">
        <v>368</v>
      </c>
    </row>
    <row r="48" spans="1:3" x14ac:dyDescent="0.2">
      <c r="A48" s="242" t="s">
        <v>159</v>
      </c>
      <c r="B48" s="253">
        <v>35.735600355089346</v>
      </c>
      <c r="C48" s="242" t="s">
        <v>545</v>
      </c>
    </row>
    <row r="49" spans="1:3" x14ac:dyDescent="0.2">
      <c r="A49" s="242" t="s">
        <v>161</v>
      </c>
      <c r="B49" s="253">
        <v>13.436086044425661</v>
      </c>
      <c r="C49" s="242" t="s">
        <v>545</v>
      </c>
    </row>
    <row r="50" spans="1:3" x14ac:dyDescent="0.2">
      <c r="A50" s="242" t="s">
        <v>163</v>
      </c>
      <c r="B50" s="253">
        <v>6.6178641116067061</v>
      </c>
      <c r="C50" s="242" t="s">
        <v>545</v>
      </c>
    </row>
    <row r="51" spans="1:3" x14ac:dyDescent="0.2">
      <c r="A51" s="242" t="s">
        <v>165</v>
      </c>
      <c r="B51" s="253">
        <v>7.0159247713577653</v>
      </c>
      <c r="C51" s="242" t="s">
        <v>545</v>
      </c>
    </row>
    <row r="52" spans="1:3" x14ac:dyDescent="0.2">
      <c r="A52" s="242" t="s">
        <v>167</v>
      </c>
      <c r="B52" s="253">
        <v>19.209594212328909</v>
      </c>
      <c r="C52" s="242" t="s">
        <v>545</v>
      </c>
    </row>
    <row r="53" spans="1:3" x14ac:dyDescent="0.2">
      <c r="A53" s="242" t="s">
        <v>56</v>
      </c>
      <c r="B53" s="253">
        <v>0.46993933836245361</v>
      </c>
      <c r="C53" s="242" t="s">
        <v>545</v>
      </c>
    </row>
    <row r="54" spans="1:3" x14ac:dyDescent="0.2">
      <c r="A54" s="242" t="s">
        <v>58</v>
      </c>
      <c r="B54" s="253">
        <v>6.1514418522070444E-2</v>
      </c>
      <c r="C54" s="242" t="s">
        <v>545</v>
      </c>
    </row>
    <row r="55" spans="1:3" x14ac:dyDescent="0.2">
      <c r="A55" s="242" t="s">
        <v>60</v>
      </c>
      <c r="B55" s="253">
        <v>2.7573947524743334E-2</v>
      </c>
      <c r="C55" s="242" t="s">
        <v>564</v>
      </c>
    </row>
    <row r="56" spans="1:3" x14ac:dyDescent="0.2">
      <c r="A56" s="242" t="s">
        <v>62</v>
      </c>
      <c r="B56" s="253">
        <v>5.5606381704700267E-2</v>
      </c>
      <c r="C56" s="242" t="s">
        <v>564</v>
      </c>
    </row>
    <row r="57" spans="1:3" x14ac:dyDescent="0.2">
      <c r="A57" s="242" t="s">
        <v>64</v>
      </c>
      <c r="B57" s="253">
        <v>9.8600242397271602E-3</v>
      </c>
      <c r="C57" s="242" t="s">
        <v>564</v>
      </c>
    </row>
    <row r="58" spans="1:3" x14ac:dyDescent="0.2">
      <c r="A58" s="242" t="s">
        <v>66</v>
      </c>
      <c r="B58" s="253">
        <v>2.3613545093432969E-2</v>
      </c>
      <c r="C58" s="242" t="s">
        <v>564</v>
      </c>
    </row>
    <row r="59" spans="1:3" x14ac:dyDescent="0.2">
      <c r="A59" s="242" t="s">
        <v>68</v>
      </c>
      <c r="B59" s="253">
        <v>0.10375556530375729</v>
      </c>
      <c r="C59" s="242" t="s">
        <v>564</v>
      </c>
    </row>
    <row r="60" spans="1:3" x14ac:dyDescent="0.2">
      <c r="A60" s="242" t="s">
        <v>70</v>
      </c>
      <c r="B60" s="253">
        <v>2.7785735090809154</v>
      </c>
      <c r="C60" s="242" t="s">
        <v>545</v>
      </c>
    </row>
    <row r="61" spans="1:3" x14ac:dyDescent="0.2">
      <c r="A61" s="242" t="s">
        <v>72</v>
      </c>
      <c r="B61" s="253">
        <v>0.56556113599593572</v>
      </c>
      <c r="C61" s="242" t="s">
        <v>367</v>
      </c>
    </row>
    <row r="62" spans="1:3" x14ac:dyDescent="0.2">
      <c r="A62" s="242" t="s">
        <v>74</v>
      </c>
      <c r="B62" s="253">
        <v>0.24360936741772513</v>
      </c>
      <c r="C62" s="242" t="s">
        <v>367</v>
      </c>
    </row>
    <row r="63" spans="1:3" x14ac:dyDescent="0.2">
      <c r="A63" s="242" t="s">
        <v>76</v>
      </c>
      <c r="B63" s="253">
        <v>3.4879046353713674</v>
      </c>
      <c r="C63" s="242" t="s">
        <v>545</v>
      </c>
    </row>
    <row r="64" spans="1:3" x14ac:dyDescent="0.2">
      <c r="A64" s="242" t="s">
        <v>78</v>
      </c>
      <c r="B64" s="253">
        <v>0.29126665466620127</v>
      </c>
      <c r="C64" s="242" t="s">
        <v>545</v>
      </c>
    </row>
    <row r="65" spans="1:3" x14ac:dyDescent="0.2">
      <c r="A65" s="242" t="s">
        <v>80</v>
      </c>
      <c r="B65" s="253">
        <v>4.7934724468838859</v>
      </c>
      <c r="C65" s="242" t="s">
        <v>367</v>
      </c>
    </row>
    <row r="66" spans="1:3" x14ac:dyDescent="0.2">
      <c r="A66" s="242" t="s">
        <v>82</v>
      </c>
      <c r="B66" s="253">
        <v>1.3860286191449773</v>
      </c>
      <c r="C66" s="242" t="s">
        <v>367</v>
      </c>
    </row>
    <row r="67" spans="1:3" x14ac:dyDescent="0.2">
      <c r="A67" s="242" t="s">
        <v>84</v>
      </c>
      <c r="B67" s="253">
        <v>1.0122384381701113</v>
      </c>
      <c r="C67" s="242" t="s">
        <v>545</v>
      </c>
    </row>
    <row r="68" spans="1:3" x14ac:dyDescent="0.2">
      <c r="A68" s="242" t="s">
        <v>86</v>
      </c>
      <c r="B68" s="253">
        <v>-0.15541539374721935</v>
      </c>
      <c r="C68" s="242" t="s">
        <v>367</v>
      </c>
    </row>
    <row r="69" spans="1:3" x14ac:dyDescent="0.2">
      <c r="A69" s="242" t="s">
        <v>88</v>
      </c>
      <c r="B69" s="253">
        <v>2.4469933141819449</v>
      </c>
      <c r="C69" s="242" t="s">
        <v>545</v>
      </c>
    </row>
    <row r="70" spans="1:3" x14ac:dyDescent="0.2">
      <c r="A70" s="242" t="s">
        <v>90</v>
      </c>
      <c r="B70" s="253">
        <v>5.9284939558250791</v>
      </c>
      <c r="C70" s="242" t="s">
        <v>545</v>
      </c>
    </row>
    <row r="71" spans="1:3" x14ac:dyDescent="0.2">
      <c r="A71" s="242" t="s">
        <v>92</v>
      </c>
      <c r="B71" s="253">
        <v>4.0116265471282908</v>
      </c>
      <c r="C71" s="242" t="s">
        <v>367</v>
      </c>
    </row>
    <row r="72" spans="1:3" x14ac:dyDescent="0.2">
      <c r="A72" s="242" t="s">
        <v>175</v>
      </c>
      <c r="B72" s="253">
        <v>1.3837088426644639</v>
      </c>
      <c r="C72" s="242" t="s">
        <v>545</v>
      </c>
    </row>
    <row r="73" spans="1:3" x14ac:dyDescent="0.2">
      <c r="A73" s="242" t="s">
        <v>177</v>
      </c>
      <c r="B73" s="253">
        <v>1.9976965277552798</v>
      </c>
      <c r="C73" s="242" t="s">
        <v>367</v>
      </c>
    </row>
    <row r="74" spans="1:3" x14ac:dyDescent="0.2">
      <c r="A74" s="242" t="s">
        <v>179</v>
      </c>
      <c r="B74" s="253">
        <v>1.2051911574543941</v>
      </c>
      <c r="C74" s="242" t="s">
        <v>545</v>
      </c>
    </row>
    <row r="75" spans="1:3" x14ac:dyDescent="0.2">
      <c r="A75" s="242" t="s">
        <v>181</v>
      </c>
      <c r="B75" s="253">
        <v>2.318980640428268</v>
      </c>
      <c r="C75" s="242" t="s">
        <v>367</v>
      </c>
    </row>
    <row r="76" spans="1:3" x14ac:dyDescent="0.2">
      <c r="A76" s="242" t="s">
        <v>183</v>
      </c>
      <c r="B76" s="253">
        <v>-0.28847564118558089</v>
      </c>
      <c r="C76" s="242" t="s">
        <v>545</v>
      </c>
    </row>
    <row r="77" spans="1:3" x14ac:dyDescent="0.2">
      <c r="A77" s="242" t="s">
        <v>344</v>
      </c>
      <c r="B77" s="253">
        <v>-9.6540959579390453</v>
      </c>
      <c r="C77" s="242" t="s">
        <v>564</v>
      </c>
    </row>
    <row r="78" spans="1:3" x14ac:dyDescent="0.2">
      <c r="A78" s="242" t="s">
        <v>346</v>
      </c>
      <c r="B78" s="253">
        <v>2.2787917942356235</v>
      </c>
      <c r="C78" s="242" t="s">
        <v>367</v>
      </c>
    </row>
    <row r="79" spans="1:3" x14ac:dyDescent="0.2">
      <c r="A79" s="242" t="s">
        <v>348</v>
      </c>
      <c r="B79" s="253">
        <v>10.460000257165357</v>
      </c>
      <c r="C79" s="242" t="s">
        <v>367</v>
      </c>
    </row>
    <row r="80" spans="1:3" x14ac:dyDescent="0.2">
      <c r="A80" s="242" t="s">
        <v>350</v>
      </c>
      <c r="B80" s="253">
        <v>6.2105222843718462</v>
      </c>
      <c r="C80" s="242" t="s">
        <v>367</v>
      </c>
    </row>
    <row r="81" spans="1:3" x14ac:dyDescent="0.2">
      <c r="A81" s="242" t="s">
        <v>352</v>
      </c>
      <c r="B81" s="253">
        <v>-5.2099591924364086</v>
      </c>
      <c r="C81" s="242" t="s">
        <v>545</v>
      </c>
    </row>
    <row r="82" spans="1:3" x14ac:dyDescent="0.2">
      <c r="A82" s="242" t="s">
        <v>354</v>
      </c>
      <c r="B82" s="253">
        <v>5.8647842117396571</v>
      </c>
      <c r="C82" s="242" t="s">
        <v>367</v>
      </c>
    </row>
    <row r="83" spans="1:3" x14ac:dyDescent="0.2">
      <c r="A83" s="242" t="s">
        <v>356</v>
      </c>
      <c r="B83" s="253">
        <v>1.0626554046211505</v>
      </c>
      <c r="C83" s="242" t="s">
        <v>545</v>
      </c>
    </row>
    <row r="84" spans="1:3" x14ac:dyDescent="0.2">
      <c r="A84" s="242" t="s">
        <v>358</v>
      </c>
      <c r="B84" s="253">
        <v>3.4685536238194064</v>
      </c>
      <c r="C84" s="242" t="s">
        <v>367</v>
      </c>
    </row>
    <row r="85" spans="1:3" x14ac:dyDescent="0.2">
      <c r="A85" s="242" t="s">
        <v>360</v>
      </c>
      <c r="B85" s="253">
        <v>-3.3401005717700851</v>
      </c>
      <c r="C85" s="242" t="s">
        <v>545</v>
      </c>
    </row>
    <row r="86" spans="1:3" x14ac:dyDescent="0.2">
      <c r="A86" s="242" t="s">
        <v>329</v>
      </c>
      <c r="B86" s="253">
        <v>4.1003296505294813</v>
      </c>
      <c r="C86" s="242" t="s">
        <v>545</v>
      </c>
    </row>
    <row r="87" spans="1:3" x14ac:dyDescent="0.2">
      <c r="A87" s="242" t="s">
        <v>331</v>
      </c>
      <c r="B87" s="253">
        <v>1.4795449292392107</v>
      </c>
      <c r="C87" s="242" t="s">
        <v>596</v>
      </c>
    </row>
    <row r="88" spans="1:3" x14ac:dyDescent="0.2">
      <c r="A88" s="242" t="s">
        <v>333</v>
      </c>
      <c r="B88" s="253">
        <v>-1.5573420501843183</v>
      </c>
      <c r="C88" s="242" t="s">
        <v>367</v>
      </c>
    </row>
    <row r="89" spans="1:3" x14ac:dyDescent="0.2">
      <c r="A89" s="242" t="s">
        <v>335</v>
      </c>
      <c r="B89" s="253">
        <v>13.561335438075854</v>
      </c>
      <c r="C89" s="242" t="s">
        <v>367</v>
      </c>
    </row>
    <row r="90" spans="1:3" x14ac:dyDescent="0.2">
      <c r="A90" s="242" t="s">
        <v>337</v>
      </c>
      <c r="B90" s="253">
        <v>2.4628165027286171</v>
      </c>
      <c r="C90" s="242" t="s">
        <v>367</v>
      </c>
    </row>
    <row r="91" spans="1:3" x14ac:dyDescent="0.2">
      <c r="A91" s="242" t="s">
        <v>339</v>
      </c>
      <c r="B91" s="253">
        <v>1.2960008492850623</v>
      </c>
      <c r="C91" s="242" t="s">
        <v>367</v>
      </c>
    </row>
    <row r="92" spans="1:3" x14ac:dyDescent="0.2">
      <c r="A92" s="242" t="s">
        <v>341</v>
      </c>
      <c r="B92" s="253">
        <v>-7.5410055915939491</v>
      </c>
      <c r="C92" s="242" t="s">
        <v>368</v>
      </c>
    </row>
    <row r="93" spans="1:3" x14ac:dyDescent="0.2">
      <c r="A93" s="242" t="s">
        <v>313</v>
      </c>
      <c r="B93" s="253">
        <v>-1.0831598115117831</v>
      </c>
      <c r="C93" s="242" t="s">
        <v>367</v>
      </c>
    </row>
    <row r="94" spans="1:3" x14ac:dyDescent="0.2">
      <c r="A94" s="242" t="s">
        <v>315</v>
      </c>
      <c r="B94" s="253">
        <v>2.5449125892291851</v>
      </c>
      <c r="C94" s="242" t="s">
        <v>545</v>
      </c>
    </row>
    <row r="95" spans="1:3" x14ac:dyDescent="0.2">
      <c r="A95" s="242" t="s">
        <v>317</v>
      </c>
      <c r="B95" s="253">
        <v>13.460512670094342</v>
      </c>
      <c r="C95" s="242" t="s">
        <v>545</v>
      </c>
    </row>
    <row r="96" spans="1:3" x14ac:dyDescent="0.2">
      <c r="A96" s="242" t="s">
        <v>319</v>
      </c>
      <c r="B96" s="253">
        <v>-54.753602048564261</v>
      </c>
      <c r="C96" s="242" t="s">
        <v>545</v>
      </c>
    </row>
    <row r="97" spans="1:3" x14ac:dyDescent="0.2">
      <c r="A97" s="242" t="s">
        <v>321</v>
      </c>
      <c r="B97" s="253">
        <v>15.585534018792188</v>
      </c>
      <c r="C97" s="242" t="s">
        <v>367</v>
      </c>
    </row>
    <row r="98" spans="1:3" x14ac:dyDescent="0.2">
      <c r="A98" s="242" t="s">
        <v>323</v>
      </c>
      <c r="B98" s="253">
        <v>9.0896449229993781</v>
      </c>
      <c r="C98" s="242" t="s">
        <v>367</v>
      </c>
    </row>
    <row r="99" spans="1:3" x14ac:dyDescent="0.2">
      <c r="A99" s="242" t="s">
        <v>325</v>
      </c>
      <c r="B99" s="253">
        <v>19.003739390228436</v>
      </c>
      <c r="C99" s="242" t="s">
        <v>367</v>
      </c>
    </row>
    <row r="100" spans="1:3" x14ac:dyDescent="0.2">
      <c r="A100" s="242" t="s">
        <v>327</v>
      </c>
      <c r="B100" s="253">
        <v>21.172876654231967</v>
      </c>
      <c r="C100" s="242" t="s">
        <v>367</v>
      </c>
    </row>
    <row r="101" spans="1:3" x14ac:dyDescent="0.2">
      <c r="A101" s="242" t="s">
        <v>275</v>
      </c>
      <c r="B101" s="253">
        <v>0</v>
      </c>
      <c r="C101" s="242" t="s">
        <v>564</v>
      </c>
    </row>
    <row r="102" spans="1:3" x14ac:dyDescent="0.2">
      <c r="A102" s="242" t="s">
        <v>277</v>
      </c>
      <c r="B102" s="253">
        <v>-6.2266821901527241</v>
      </c>
      <c r="C102" s="242" t="s">
        <v>545</v>
      </c>
    </row>
    <row r="103" spans="1:3" x14ac:dyDescent="0.2">
      <c r="A103" s="242" t="s">
        <v>279</v>
      </c>
      <c r="B103" s="253">
        <v>19.760400591741504</v>
      </c>
      <c r="C103" s="242" t="s">
        <v>367</v>
      </c>
    </row>
    <row r="104" spans="1:3" x14ac:dyDescent="0.2">
      <c r="A104" s="242" t="s">
        <v>281</v>
      </c>
      <c r="B104" s="253">
        <v>12.274087707649809</v>
      </c>
      <c r="C104" s="242" t="s">
        <v>367</v>
      </c>
    </row>
    <row r="105" spans="1:3" x14ac:dyDescent="0.2">
      <c r="A105" s="242" t="s">
        <v>283</v>
      </c>
      <c r="B105" s="253">
        <v>6.1018770359264591</v>
      </c>
      <c r="C105" s="242" t="s">
        <v>367</v>
      </c>
    </row>
    <row r="106" spans="1:3" x14ac:dyDescent="0.2">
      <c r="A106" s="242" t="s">
        <v>285</v>
      </c>
      <c r="B106" s="253">
        <v>13.539645071210884</v>
      </c>
      <c r="C106" s="242" t="s">
        <v>367</v>
      </c>
    </row>
    <row r="107" spans="1:3" x14ac:dyDescent="0.2">
      <c r="A107" s="242" t="s">
        <v>287</v>
      </c>
      <c r="B107" s="253">
        <v>57.782681370142349</v>
      </c>
      <c r="C107" s="242" t="s">
        <v>367</v>
      </c>
    </row>
    <row r="108" spans="1:3" x14ac:dyDescent="0.2">
      <c r="A108" s="242" t="s">
        <v>289</v>
      </c>
      <c r="B108" s="253">
        <v>35.822931416504971</v>
      </c>
      <c r="C108" s="242" t="s">
        <v>367</v>
      </c>
    </row>
    <row r="109" spans="1:3" x14ac:dyDescent="0.2">
      <c r="A109" s="242" t="s">
        <v>291</v>
      </c>
      <c r="B109" s="253">
        <v>23.552705102194018</v>
      </c>
      <c r="C109" s="242" t="s">
        <v>367</v>
      </c>
    </row>
    <row r="110" spans="1:3" x14ac:dyDescent="0.2">
      <c r="A110" s="242" t="s">
        <v>293</v>
      </c>
      <c r="B110" s="253">
        <v>29.834171263254447</v>
      </c>
      <c r="C110" s="242" t="s">
        <v>596</v>
      </c>
    </row>
    <row r="111" spans="1:3" x14ac:dyDescent="0.2">
      <c r="A111" s="242" t="s">
        <v>295</v>
      </c>
      <c r="B111" s="253">
        <v>12.941716277113985</v>
      </c>
      <c r="C111" s="242" t="s">
        <v>367</v>
      </c>
    </row>
    <row r="112" spans="1:3" x14ac:dyDescent="0.2">
      <c r="A112" s="242" t="s">
        <v>297</v>
      </c>
      <c r="B112" s="253">
        <v>5.4724604139902269</v>
      </c>
      <c r="C112" s="242" t="s">
        <v>545</v>
      </c>
    </row>
    <row r="113" spans="1:3" x14ac:dyDescent="0.2">
      <c r="A113" s="242" t="s">
        <v>299</v>
      </c>
      <c r="B113" s="253">
        <v>27.642736700937874</v>
      </c>
      <c r="C113" s="242" t="s">
        <v>545</v>
      </c>
    </row>
    <row r="114" spans="1:3" x14ac:dyDescent="0.2">
      <c r="A114" s="242" t="s">
        <v>301</v>
      </c>
      <c r="B114" s="253">
        <v>39.53999660690468</v>
      </c>
      <c r="C114" s="242" t="s">
        <v>367</v>
      </c>
    </row>
    <row r="115" spans="1:3" x14ac:dyDescent="0.2">
      <c r="A115" s="242" t="s">
        <v>303</v>
      </c>
      <c r="B115" s="253">
        <v>7.3686277540507596</v>
      </c>
      <c r="C115" s="242" t="s">
        <v>367</v>
      </c>
    </row>
    <row r="116" spans="1:3" x14ac:dyDescent="0.2">
      <c r="A116" s="242" t="s">
        <v>305</v>
      </c>
      <c r="B116" s="253">
        <v>7.9036873557781258</v>
      </c>
      <c r="C116" s="242" t="s">
        <v>545</v>
      </c>
    </row>
    <row r="117" spans="1:3" x14ac:dyDescent="0.2">
      <c r="A117" s="242" t="s">
        <v>307</v>
      </c>
      <c r="B117" s="253">
        <v>25.024734762248336</v>
      </c>
      <c r="C117" s="242" t="s">
        <v>367</v>
      </c>
    </row>
    <row r="118" spans="1:3" x14ac:dyDescent="0.2">
      <c r="A118" s="242" t="s">
        <v>309</v>
      </c>
      <c r="B118" s="253">
        <v>5.6555168823167907</v>
      </c>
      <c r="C118" s="242" t="s">
        <v>367</v>
      </c>
    </row>
    <row r="119" spans="1:3" x14ac:dyDescent="0.2">
      <c r="A119" s="242" t="s">
        <v>311</v>
      </c>
      <c r="B119" s="253">
        <v>4.0022613595500358</v>
      </c>
      <c r="C119" s="242" t="s">
        <v>596</v>
      </c>
    </row>
    <row r="120" spans="1:3" x14ac:dyDescent="0.2">
      <c r="A120" s="242" t="s">
        <v>265</v>
      </c>
      <c r="B120" s="253">
        <v>2.7709348820328366</v>
      </c>
      <c r="C120" s="242" t="s">
        <v>367</v>
      </c>
    </row>
    <row r="121" spans="1:3" x14ac:dyDescent="0.2">
      <c r="A121" s="242" t="s">
        <v>267</v>
      </c>
      <c r="B121" s="253">
        <v>2.9189918548120124</v>
      </c>
      <c r="C121" s="242" t="s">
        <v>367</v>
      </c>
    </row>
    <row r="122" spans="1:3" x14ac:dyDescent="0.2">
      <c r="A122" s="242" t="s">
        <v>269</v>
      </c>
      <c r="B122" s="253">
        <v>-1.6492137344243415E-2</v>
      </c>
      <c r="C122" s="242" t="s">
        <v>367</v>
      </c>
    </row>
    <row r="123" spans="1:3" x14ac:dyDescent="0.2">
      <c r="A123" s="242" t="s">
        <v>201</v>
      </c>
      <c r="B123" s="253">
        <v>0.5827815762529891</v>
      </c>
      <c r="C123" s="242" t="s">
        <v>368</v>
      </c>
    </row>
    <row r="124" spans="1:3" x14ac:dyDescent="0.2">
      <c r="A124" s="242" t="s">
        <v>203</v>
      </c>
      <c r="B124" s="253">
        <v>2.0930091866941996</v>
      </c>
      <c r="C124" s="242" t="s">
        <v>368</v>
      </c>
    </row>
    <row r="125" spans="1:3" x14ac:dyDescent="0.2">
      <c r="A125" s="242" t="s">
        <v>205</v>
      </c>
      <c r="B125" s="253">
        <v>2.862090705363963</v>
      </c>
      <c r="C125" s="242" t="s">
        <v>545</v>
      </c>
    </row>
    <row r="126" spans="1:3" x14ac:dyDescent="0.2">
      <c r="A126" s="242" t="s">
        <v>207</v>
      </c>
      <c r="B126" s="253">
        <v>5.6008502841846273</v>
      </c>
      <c r="C126" s="242" t="s">
        <v>545</v>
      </c>
    </row>
    <row r="127" spans="1:3" x14ac:dyDescent="0.2">
      <c r="A127" s="242" t="s">
        <v>209</v>
      </c>
      <c r="B127" s="253">
        <v>6.1514235901710466</v>
      </c>
      <c r="C127" s="242" t="s">
        <v>368</v>
      </c>
    </row>
    <row r="128" spans="1:3" x14ac:dyDescent="0.2">
      <c r="A128" s="242" t="s">
        <v>211</v>
      </c>
      <c r="B128" s="253">
        <v>5.1606330932284541</v>
      </c>
      <c r="C128" s="242" t="s">
        <v>545</v>
      </c>
    </row>
    <row r="129" spans="1:3" x14ac:dyDescent="0.2">
      <c r="A129" s="242" t="s">
        <v>213</v>
      </c>
      <c r="B129" s="253">
        <v>17.429618002474196</v>
      </c>
      <c r="C129" s="242" t="s">
        <v>545</v>
      </c>
    </row>
    <row r="130" spans="1:3" x14ac:dyDescent="0.2">
      <c r="A130" s="242" t="s">
        <v>215</v>
      </c>
      <c r="B130" s="253">
        <v>3.8209215579786706</v>
      </c>
      <c r="C130" s="242" t="s">
        <v>545</v>
      </c>
    </row>
    <row r="131" spans="1:3" x14ac:dyDescent="0.2">
      <c r="A131" s="242" t="s">
        <v>217</v>
      </c>
      <c r="B131" s="253">
        <v>0.64414308126573538</v>
      </c>
      <c r="C131" s="242" t="s">
        <v>545</v>
      </c>
    </row>
    <row r="132" spans="1:3" x14ac:dyDescent="0.2">
      <c r="A132" s="242" t="s">
        <v>219</v>
      </c>
      <c r="B132" s="253">
        <v>3.6394018373037755</v>
      </c>
      <c r="C132" s="242" t="s">
        <v>545</v>
      </c>
    </row>
    <row r="133" spans="1:3" x14ac:dyDescent="0.2">
      <c r="A133" s="242" t="s">
        <v>221</v>
      </c>
      <c r="B133" s="253">
        <v>3.0411951883984072</v>
      </c>
      <c r="C133" s="242" t="s">
        <v>545</v>
      </c>
    </row>
    <row r="134" spans="1:3" x14ac:dyDescent="0.2">
      <c r="A134" s="242" t="s">
        <v>223</v>
      </c>
      <c r="B134" s="253">
        <v>6.38007022782541</v>
      </c>
      <c r="C134" s="242" t="s">
        <v>545</v>
      </c>
    </row>
    <row r="135" spans="1:3" x14ac:dyDescent="0.2">
      <c r="A135" s="242" t="s">
        <v>225</v>
      </c>
      <c r="B135" s="253">
        <v>1.2149578436265394</v>
      </c>
      <c r="C135" s="242" t="s">
        <v>368</v>
      </c>
    </row>
    <row r="136" spans="1:3" x14ac:dyDescent="0.2">
      <c r="A136" s="242" t="s">
        <v>231</v>
      </c>
      <c r="B136" s="253">
        <v>23.158277061473115</v>
      </c>
      <c r="C136" s="242" t="s">
        <v>367</v>
      </c>
    </row>
    <row r="137" spans="1:3" x14ac:dyDescent="0.2">
      <c r="A137" s="242" t="s">
        <v>233</v>
      </c>
      <c r="B137" s="253">
        <v>30.402982590151705</v>
      </c>
      <c r="C137" s="242" t="s">
        <v>367</v>
      </c>
    </row>
    <row r="138" spans="1:3" x14ac:dyDescent="0.2">
      <c r="A138" s="242" t="s">
        <v>235</v>
      </c>
      <c r="B138" s="253">
        <v>19.559271025329327</v>
      </c>
      <c r="C138" s="242" t="s">
        <v>367</v>
      </c>
    </row>
    <row r="139" spans="1:3" x14ac:dyDescent="0.2">
      <c r="A139" s="242" t="s">
        <v>237</v>
      </c>
      <c r="B139" s="253">
        <v>0.95003276668479919</v>
      </c>
      <c r="C139" s="242" t="s">
        <v>596</v>
      </c>
    </row>
    <row r="140" spans="1:3" x14ac:dyDescent="0.2">
      <c r="A140" s="242" t="s">
        <v>239</v>
      </c>
      <c r="B140" s="253">
        <v>7.021317087159586</v>
      </c>
      <c r="C140" s="242" t="s">
        <v>367</v>
      </c>
    </row>
    <row r="141" spans="1:3" x14ac:dyDescent="0.2">
      <c r="A141" s="242" t="s">
        <v>241</v>
      </c>
      <c r="B141" s="253">
        <v>7.5510075099383167</v>
      </c>
      <c r="C141" s="242" t="s">
        <v>545</v>
      </c>
    </row>
    <row r="142" spans="1:3" x14ac:dyDescent="0.2">
      <c r="A142" s="242" t="s">
        <v>243</v>
      </c>
      <c r="B142" s="253">
        <v>0.16059895292925119</v>
      </c>
      <c r="C142" s="242" t="s">
        <v>368</v>
      </c>
    </row>
    <row r="143" spans="1:3" x14ac:dyDescent="0.2">
      <c r="A143" s="242" t="s">
        <v>227</v>
      </c>
      <c r="B143" s="253">
        <v>-41.517963540795868</v>
      </c>
      <c r="C143" s="242" t="s">
        <v>545</v>
      </c>
    </row>
    <row r="144" spans="1:3" x14ac:dyDescent="0.2">
      <c r="A144" s="242" t="s">
        <v>229</v>
      </c>
      <c r="B144" s="253">
        <v>-6.8469887277507056</v>
      </c>
      <c r="C144" s="242" t="s">
        <v>564</v>
      </c>
    </row>
    <row r="145" spans="1:3" x14ac:dyDescent="0.2">
      <c r="A145" s="242" t="s">
        <v>247</v>
      </c>
      <c r="B145" s="253">
        <v>1.0893978448729134</v>
      </c>
      <c r="C145" s="242" t="s">
        <v>368</v>
      </c>
    </row>
    <row r="146" spans="1:3" x14ac:dyDescent="0.2">
      <c r="A146" s="242" t="s">
        <v>249</v>
      </c>
      <c r="B146" s="253">
        <v>29.786266060241921</v>
      </c>
      <c r="C146" s="242" t="s">
        <v>545</v>
      </c>
    </row>
    <row r="147" spans="1:3" x14ac:dyDescent="0.2">
      <c r="A147" s="242" t="s">
        <v>251</v>
      </c>
      <c r="B147" s="253">
        <v>20.953567773652019</v>
      </c>
      <c r="C147" s="242" t="s">
        <v>367</v>
      </c>
    </row>
    <row r="148" spans="1:3" x14ac:dyDescent="0.2">
      <c r="A148" s="242" t="s">
        <v>253</v>
      </c>
      <c r="B148" s="253">
        <v>27.728385273067278</v>
      </c>
      <c r="C148" s="242" t="s">
        <v>367</v>
      </c>
    </row>
    <row r="149" spans="1:3" x14ac:dyDescent="0.2">
      <c r="A149" s="242" t="s">
        <v>255</v>
      </c>
      <c r="B149" s="253">
        <v>8.3066581038227074</v>
      </c>
      <c r="C149" s="242" t="s">
        <v>545</v>
      </c>
    </row>
    <row r="150" spans="1:3" x14ac:dyDescent="0.2">
      <c r="A150" s="242" t="s">
        <v>257</v>
      </c>
      <c r="B150" s="253">
        <v>11.698986976022965</v>
      </c>
      <c r="C150" s="242" t="s">
        <v>545</v>
      </c>
    </row>
    <row r="151" spans="1:3" x14ac:dyDescent="0.2">
      <c r="A151" s="242" t="s">
        <v>259</v>
      </c>
      <c r="B151" s="253">
        <v>6.5914092304808367</v>
      </c>
      <c r="C151" s="242" t="s">
        <v>367</v>
      </c>
    </row>
    <row r="152" spans="1:3" x14ac:dyDescent="0.2">
      <c r="A152" s="242" t="s">
        <v>271</v>
      </c>
      <c r="B152" s="253">
        <v>-2.4061382184330089</v>
      </c>
      <c r="C152" s="242" t="s">
        <v>368</v>
      </c>
    </row>
    <row r="153" spans="1:3" x14ac:dyDescent="0.2">
      <c r="A153" s="242" t="s">
        <v>245</v>
      </c>
      <c r="B153" s="253">
        <v>7.8691361415489337E-4</v>
      </c>
      <c r="C153" s="242" t="s">
        <v>564</v>
      </c>
    </row>
    <row r="154" spans="1:3" x14ac:dyDescent="0.2">
      <c r="A154" s="242" t="s">
        <v>261</v>
      </c>
      <c r="B154" s="253">
        <v>-26.47412351330307</v>
      </c>
      <c r="C154" s="242" t="s">
        <v>545</v>
      </c>
    </row>
    <row r="155" spans="1:3" x14ac:dyDescent="0.2">
      <c r="A155" s="242" t="s">
        <v>263</v>
      </c>
      <c r="B155" s="253">
        <v>8.6224323673398982E-6</v>
      </c>
      <c r="C155" s="242" t="s">
        <v>545</v>
      </c>
    </row>
    <row r="156" spans="1:3" ht="13.5" thickBot="1" x14ac:dyDescent="0.25">
      <c r="A156" s="294" t="s">
        <v>273</v>
      </c>
      <c r="B156" s="295">
        <v>1.737410103958973E-2</v>
      </c>
      <c r="C156" s="294" t="s">
        <v>545</v>
      </c>
    </row>
    <row r="157" spans="1:3" x14ac:dyDescent="0.2">
      <c r="B157" s="253"/>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Users Guide</vt:lpstr>
      <vt:lpstr>WMA Summary</vt:lpstr>
      <vt:lpstr>HUC11 data</vt:lpstr>
      <vt:lpstr>LookUp</vt:lpstr>
      <vt:lpstr>Current Withdrawals</vt:lpstr>
      <vt:lpstr>Full Allocation</vt:lpstr>
      <vt:lpstr>LFM</vt:lpstr>
      <vt:lpstr>LFM_Percent</vt:lpstr>
      <vt:lpstr>'WMA Summary'!Print_Area</vt:lpstr>
    </vt:vector>
  </TitlesOfParts>
  <Company>NJDEP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NJ Geological Survey</dc:creator>
  <cp:lastModifiedBy>Suhas Ghatge</cp:lastModifiedBy>
  <cp:lastPrinted>2014-03-18T19:25:18Z</cp:lastPrinted>
  <dcterms:created xsi:type="dcterms:W3CDTF">2010-12-20T15:03:14Z</dcterms:created>
  <dcterms:modified xsi:type="dcterms:W3CDTF">2014-06-10T14:59:44Z</dcterms:modified>
</cp:coreProperties>
</file>