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668" yWindow="32767" windowWidth="22704" windowHeight="9384" activeTab="0"/>
  </bookViews>
  <sheets>
    <sheet name="DATENTER" sheetId="1" r:id="rId1"/>
    <sheet name="CHEMPROPS" sheetId="2" r:id="rId2"/>
    <sheet name="INTERCALCS" sheetId="3" r:id="rId3"/>
    <sheet name="RESULTS" sheetId="4" r:id="rId4"/>
    <sheet name="VLOOKUP" sheetId="5" r:id="rId5"/>
  </sheets>
  <definedNames>
    <definedName name="CAS_No">'VLOOKUP'!$A$25:$A$223</definedName>
    <definedName name="Chemical_Data">'VLOOKUP'!$A$25:$P$223</definedName>
    <definedName name="_xlnm.Print_Area" localSheetId="0">'DATENTER'!$A$1:$K$60</definedName>
    <definedName name="_xlnm.Print_Area" localSheetId="2">'INTERCALCS'!$A$1:$L$32</definedName>
    <definedName name="Soil_Data">'VLOOKUP'!$A$3:$J$14</definedName>
    <definedName name="Soil_Type">'VLOOKUP'!$A$3:$A$14</definedName>
  </definedNames>
  <calcPr fullCalcOnLoad="1"/>
</workbook>
</file>

<file path=xl/sharedStrings.xml><?xml version="1.0" encoding="utf-8"?>
<sst xmlns="http://schemas.openxmlformats.org/spreadsheetml/2006/main" count="585" uniqueCount="338">
  <si>
    <t>CALCULATE RISK-BASED GROUNDWATER CONCENTRATION (enter "X" in "YES" box)</t>
  </si>
  <si>
    <t>YES</t>
  </si>
  <si>
    <t>OR</t>
  </si>
  <si>
    <t>CALCULATE INCREMENTAL RISKS FROM ACTUAL GROUNDWATER CONCENTRATION</t>
  </si>
  <si>
    <t>(enter "X" in "YES" box and initial groundwater conc. below)</t>
  </si>
  <si>
    <t>ENTER</t>
  </si>
  <si>
    <t>Initial</t>
  </si>
  <si>
    <t>Chemical</t>
  </si>
  <si>
    <t>groundwater</t>
  </si>
  <si>
    <t>CAS No.</t>
  </si>
  <si>
    <t>conc.,</t>
  </si>
  <si>
    <t>(numbers only,</t>
  </si>
  <si>
    <r>
      <t>C</t>
    </r>
    <r>
      <rPr>
        <vertAlign val="subscript"/>
        <sz val="10"/>
        <color indexed="8"/>
        <rFont val="MS Sans Serif"/>
        <family val="2"/>
      </rPr>
      <t>W</t>
    </r>
  </si>
  <si>
    <t>no dashes)</t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</si>
  <si>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g/L)</t>
    </r>
  </si>
  <si>
    <t>Depth</t>
  </si>
  <si>
    <t>below grade</t>
  </si>
  <si>
    <t>Average</t>
  </si>
  <si>
    <t>to bottom</t>
  </si>
  <si>
    <t>soil/</t>
  </si>
  <si>
    <t>of enclosed</t>
  </si>
  <si>
    <t>SCS</t>
  </si>
  <si>
    <t>space floor,</t>
  </si>
  <si>
    <t>to water table,</t>
  </si>
  <si>
    <t>soil type</t>
  </si>
  <si>
    <t>temperature,</t>
  </si>
  <si>
    <r>
      <t>L</t>
    </r>
    <r>
      <rPr>
        <vertAlign val="subscript"/>
        <sz val="10"/>
        <color indexed="8"/>
        <rFont val="MS Sans Serif"/>
        <family val="2"/>
      </rPr>
      <t>F</t>
    </r>
  </si>
  <si>
    <r>
      <t>L</t>
    </r>
    <r>
      <rPr>
        <vertAlign val="subscript"/>
        <sz val="10"/>
        <color indexed="8"/>
        <rFont val="MS Sans Serif"/>
        <family val="2"/>
      </rPr>
      <t>WT</t>
    </r>
  </si>
  <si>
    <t>directly above</t>
  </si>
  <si>
    <r>
      <t>T</t>
    </r>
    <r>
      <rPr>
        <vertAlign val="subscript"/>
        <sz val="10"/>
        <color indexed="8"/>
        <rFont val="MS Sans Serif"/>
        <family val="2"/>
      </rPr>
      <t>S</t>
    </r>
  </si>
  <si>
    <t>(cm)</t>
  </si>
  <si>
    <t>water table</t>
  </si>
  <si>
    <r>
      <t>(</t>
    </r>
    <r>
      <rPr>
        <vertAlign val="superscript"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2"/>
      </rPr>
      <t>C)</t>
    </r>
  </si>
  <si>
    <t>SC</t>
  </si>
  <si>
    <t>Vadose zone</t>
  </si>
  <si>
    <t>User-defined</t>
  </si>
  <si>
    <t>soil vapor</t>
  </si>
  <si>
    <t>soil dry</t>
  </si>
  <si>
    <t>soil total</t>
  </si>
  <si>
    <t>soil water-filled</t>
  </si>
  <si>
    <t>(used to estimate</t>
  </si>
  <si>
    <t>permeability,</t>
  </si>
  <si>
    <t>bulk density,</t>
  </si>
  <si>
    <t>porosity,</t>
  </si>
  <si>
    <r>
      <t>k</t>
    </r>
    <r>
      <rPr>
        <vertAlign val="subscript"/>
        <sz val="10"/>
        <rFont val="MS Sans Serif"/>
        <family val="2"/>
      </rPr>
      <t>v</t>
    </r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</si>
  <si>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V</t>
    </r>
  </si>
  <si>
    <r>
      <t>n</t>
    </r>
    <r>
      <rPr>
        <vertAlign val="superscript"/>
        <sz val="10"/>
        <color indexed="8"/>
        <rFont val="MS Sans Serif"/>
        <family val="2"/>
      </rPr>
      <t>V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</si>
  <si>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V</t>
    </r>
  </si>
  <si>
    <t>permeability)</t>
  </si>
  <si>
    <r>
      <t>(cm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)</t>
    </r>
  </si>
  <si>
    <r>
      <t>(g/cm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</si>
  <si>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(unitless)</t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</si>
  <si>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</si>
  <si>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SCL</t>
  </si>
  <si>
    <t>Target</t>
  </si>
  <si>
    <t>Target hazard</t>
  </si>
  <si>
    <t>Averaging</t>
  </si>
  <si>
    <t>risk for</t>
  </si>
  <si>
    <t>quotient for</t>
  </si>
  <si>
    <t>time for</t>
  </si>
  <si>
    <t>Exposure</t>
  </si>
  <si>
    <t>carcinogens,</t>
  </si>
  <si>
    <t>noncarcinogens,</t>
  </si>
  <si>
    <t>duration,</t>
  </si>
  <si>
    <t>frequency,</t>
  </si>
  <si>
    <t>TR</t>
  </si>
  <si>
    <t>THQ</t>
  </si>
  <si>
    <r>
      <t>AT</t>
    </r>
    <r>
      <rPr>
        <vertAlign val="subscript"/>
        <sz val="10"/>
        <color indexed="8"/>
        <rFont val="MS Sans Serif"/>
        <family val="2"/>
      </rPr>
      <t>C</t>
    </r>
  </si>
  <si>
    <r>
      <t>AT</t>
    </r>
    <r>
      <rPr>
        <vertAlign val="subscript"/>
        <sz val="10"/>
        <color indexed="8"/>
        <rFont val="MS Sans Serif"/>
        <family val="2"/>
      </rPr>
      <t>NC</t>
    </r>
  </si>
  <si>
    <t>ED</t>
  </si>
  <si>
    <t>EF</t>
  </si>
  <si>
    <t>(yrs)</t>
  </si>
  <si>
    <t>(days/yr)</t>
  </si>
  <si>
    <t>Used to calculate risk-based</t>
  </si>
  <si>
    <t>groundwater concentration.</t>
  </si>
  <si>
    <t>Henry's</t>
  </si>
  <si>
    <t>Enthalpy of</t>
  </si>
  <si>
    <t>Organic</t>
  </si>
  <si>
    <t>Pure</t>
  </si>
  <si>
    <t>law constant</t>
  </si>
  <si>
    <t>vaporization at</t>
  </si>
  <si>
    <t>Normal</t>
  </si>
  <si>
    <t>carbon</t>
  </si>
  <si>
    <t>component</t>
  </si>
  <si>
    <t>Unit</t>
  </si>
  <si>
    <t>Diffusivity</t>
  </si>
  <si>
    <t>at reference</t>
  </si>
  <si>
    <t>reference</t>
  </si>
  <si>
    <t>the normal</t>
  </si>
  <si>
    <t>boiling</t>
  </si>
  <si>
    <t>Critical</t>
  </si>
  <si>
    <t>partition</t>
  </si>
  <si>
    <t>water</t>
  </si>
  <si>
    <t>risk</t>
  </si>
  <si>
    <t>Reference</t>
  </si>
  <si>
    <t>in air,</t>
  </si>
  <si>
    <t>in water,</t>
  </si>
  <si>
    <t>boiling point,</t>
  </si>
  <si>
    <t>point,</t>
  </si>
  <si>
    <t>coefficient,</t>
  </si>
  <si>
    <t>solubility,</t>
  </si>
  <si>
    <t>factor,</t>
  </si>
  <si>
    <r>
      <t>D</t>
    </r>
    <r>
      <rPr>
        <vertAlign val="subscript"/>
        <sz val="10"/>
        <color indexed="8"/>
        <rFont val="MS Sans Serif"/>
        <family val="2"/>
      </rPr>
      <t>a</t>
    </r>
  </si>
  <si>
    <r>
      <t>D</t>
    </r>
    <r>
      <rPr>
        <vertAlign val="subscript"/>
        <sz val="10"/>
        <color indexed="8"/>
        <rFont val="MS Sans Serif"/>
        <family val="2"/>
      </rPr>
      <t>w</t>
    </r>
  </si>
  <si>
    <t>H</t>
  </si>
  <si>
    <r>
      <t>T</t>
    </r>
    <r>
      <rPr>
        <vertAlign val="subscript"/>
        <sz val="10"/>
        <color indexed="8"/>
        <rFont val="MS Sans Serif"/>
        <family val="2"/>
      </rPr>
      <t>R</t>
    </r>
  </si>
  <si>
    <r>
      <t>D</t>
    </r>
    <r>
      <rPr>
        <sz val="10"/>
        <rFont val="MS Sans Serif"/>
        <family val="2"/>
      </rPr>
      <t>H</t>
    </r>
    <r>
      <rPr>
        <vertAlign val="subscript"/>
        <sz val="10"/>
        <rFont val="MS Sans Serif"/>
        <family val="2"/>
      </rPr>
      <t>v,b</t>
    </r>
  </si>
  <si>
    <r>
      <t>T</t>
    </r>
    <r>
      <rPr>
        <vertAlign val="subscript"/>
        <sz val="10"/>
        <rFont val="MS Sans Serif"/>
        <family val="2"/>
      </rPr>
      <t>B</t>
    </r>
  </si>
  <si>
    <r>
      <t>T</t>
    </r>
    <r>
      <rPr>
        <vertAlign val="subscript"/>
        <sz val="10"/>
        <rFont val="MS Sans Serif"/>
        <family val="2"/>
      </rPr>
      <t>C</t>
    </r>
  </si>
  <si>
    <r>
      <t>K</t>
    </r>
    <r>
      <rPr>
        <vertAlign val="subscript"/>
        <sz val="10"/>
        <color indexed="8"/>
        <rFont val="MS Sans Serif"/>
        <family val="2"/>
      </rPr>
      <t>oc</t>
    </r>
  </si>
  <si>
    <t>S</t>
  </si>
  <si>
    <t>URF</t>
  </si>
  <si>
    <t>RfC</t>
  </si>
  <si>
    <r>
      <t>(cm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/s)</t>
    </r>
  </si>
  <si>
    <r>
      <t>(atm-m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/mol)</t>
    </r>
  </si>
  <si>
    <t>(cal/mol)</t>
  </si>
  <si>
    <r>
      <t>(</t>
    </r>
    <r>
      <rPr>
        <vertAlign val="superscript"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2"/>
      </rPr>
      <t>K)</t>
    </r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</si>
  <si>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/g)</t>
    </r>
  </si>
  <si>
    <t>(mg/L)</t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</si>
  <si>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  <r>
      <rPr>
        <vertAlign val="superscript"/>
        <sz val="10"/>
        <color indexed="8"/>
        <rFont val="MS Sans Serif"/>
        <family val="2"/>
      </rPr>
      <t>-1</t>
    </r>
  </si>
  <si>
    <r>
      <t>(mg/m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</si>
  <si>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Vadose</t>
  </si>
  <si>
    <t>Total</t>
  </si>
  <si>
    <t>Air-filled</t>
  </si>
  <si>
    <t>Water-filled</t>
  </si>
  <si>
    <t>Floor-</t>
  </si>
  <si>
    <t>Source-</t>
  </si>
  <si>
    <t>zone soil</t>
  </si>
  <si>
    <t>effective</t>
  </si>
  <si>
    <t>soil</t>
  </si>
  <si>
    <t>Thickness of</t>
  </si>
  <si>
    <t>porosity in</t>
  </si>
  <si>
    <t>wall</t>
  </si>
  <si>
    <t>building</t>
  </si>
  <si>
    <t>air-filled</t>
  </si>
  <si>
    <t>total fluid</t>
  </si>
  <si>
    <t>intrinsic</t>
  </si>
  <si>
    <t>relative air</t>
  </si>
  <si>
    <t>effective vapor</t>
  </si>
  <si>
    <t>capillary</t>
  </si>
  <si>
    <t>seam</t>
  </si>
  <si>
    <t>separation,</t>
  </si>
  <si>
    <t>saturation,</t>
  </si>
  <si>
    <t>zone,</t>
  </si>
  <si>
    <t>perimeter,</t>
  </si>
  <si>
    <r>
      <t>L</t>
    </r>
    <r>
      <rPr>
        <vertAlign val="subscript"/>
        <sz val="10"/>
        <color indexed="8"/>
        <rFont val="MS Sans Serif"/>
        <family val="2"/>
      </rPr>
      <t>T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</si>
  <si>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V</t>
    </r>
  </si>
  <si>
    <r>
      <t>S</t>
    </r>
    <r>
      <rPr>
        <vertAlign val="subscript"/>
        <sz val="10"/>
        <rFont val="MS Sans Serif"/>
        <family val="2"/>
      </rPr>
      <t>te</t>
    </r>
  </si>
  <si>
    <r>
      <t>k</t>
    </r>
    <r>
      <rPr>
        <vertAlign val="subscript"/>
        <sz val="10"/>
        <rFont val="MS Sans Serif"/>
        <family val="2"/>
      </rPr>
      <t>i</t>
    </r>
  </si>
  <si>
    <r>
      <t>k</t>
    </r>
    <r>
      <rPr>
        <vertAlign val="subscript"/>
        <sz val="10"/>
        <rFont val="MS Sans Serif"/>
        <family val="2"/>
      </rPr>
      <t>rg</t>
    </r>
  </si>
  <si>
    <r>
      <t>k</t>
    </r>
    <r>
      <rPr>
        <vertAlign val="subscript"/>
        <sz val="10"/>
        <color indexed="8"/>
        <rFont val="MS Sans Serif"/>
        <family val="2"/>
      </rPr>
      <t>v</t>
    </r>
  </si>
  <si>
    <r>
      <t>L</t>
    </r>
    <r>
      <rPr>
        <vertAlign val="subscript"/>
        <sz val="10"/>
        <color indexed="8"/>
        <rFont val="MS Sans Serif"/>
        <family val="2"/>
      </rPr>
      <t>cz</t>
    </r>
  </si>
  <si>
    <r>
      <t>n</t>
    </r>
    <r>
      <rPr>
        <vertAlign val="subscript"/>
        <sz val="10"/>
        <color indexed="8"/>
        <rFont val="MS Sans Serif"/>
        <family val="2"/>
      </rPr>
      <t>cz</t>
    </r>
  </si>
  <si>
    <r>
      <t>q</t>
    </r>
    <r>
      <rPr>
        <vertAlign val="subscript"/>
        <sz val="10"/>
        <color indexed="8"/>
        <rFont val="MS Sans Serif"/>
        <family val="2"/>
      </rPr>
      <t>a,cz</t>
    </r>
  </si>
  <si>
    <r>
      <t>q</t>
    </r>
    <r>
      <rPr>
        <vertAlign val="subscript"/>
        <sz val="10"/>
        <color indexed="8"/>
        <rFont val="MS Sans Serif"/>
        <family val="2"/>
      </rPr>
      <t>w,cz</t>
    </r>
  </si>
  <si>
    <r>
      <t>X</t>
    </r>
    <r>
      <rPr>
        <vertAlign val="subscript"/>
        <sz val="10"/>
        <color indexed="8"/>
        <rFont val="MS Sans Serif"/>
        <family val="2"/>
      </rPr>
      <t>crack</t>
    </r>
  </si>
  <si>
    <r>
      <t>(cm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/cm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</si>
  <si>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t>Area of</t>
  </si>
  <si>
    <t>Capillary</t>
  </si>
  <si>
    <t>enclosed</t>
  </si>
  <si>
    <t>Crack-</t>
  </si>
  <si>
    <t>Crack</t>
  </si>
  <si>
    <t>Henry's law</t>
  </si>
  <si>
    <t>Vapor</t>
  </si>
  <si>
    <t>zone</t>
  </si>
  <si>
    <t>overall</t>
  </si>
  <si>
    <t>Bldg.</t>
  </si>
  <si>
    <t>space</t>
  </si>
  <si>
    <t>to-total</t>
  </si>
  <si>
    <t>depth</t>
  </si>
  <si>
    <t>constant at</t>
  </si>
  <si>
    <t>viscosity at</t>
  </si>
  <si>
    <t>ventilation</t>
  </si>
  <si>
    <t>below</t>
  </si>
  <si>
    <t>area</t>
  </si>
  <si>
    <t>ave. groundwater</t>
  </si>
  <si>
    <t>ave. soil</t>
  </si>
  <si>
    <t>diffusion</t>
  </si>
  <si>
    <t>rate,</t>
  </si>
  <si>
    <t>grade,</t>
  </si>
  <si>
    <t>ratio,</t>
  </si>
  <si>
    <r>
      <t>Q</t>
    </r>
    <r>
      <rPr>
        <vertAlign val="subscript"/>
        <sz val="10"/>
        <color indexed="8"/>
        <rFont val="MS Sans Serif"/>
        <family val="2"/>
      </rPr>
      <t>building</t>
    </r>
  </si>
  <si>
    <r>
      <t>A</t>
    </r>
    <r>
      <rPr>
        <vertAlign val="subscript"/>
        <sz val="10"/>
        <color indexed="8"/>
        <rFont val="MS Sans Serif"/>
        <family val="2"/>
      </rPr>
      <t>B</t>
    </r>
  </si>
  <si>
    <t>h</t>
  </si>
  <si>
    <r>
      <t>Z</t>
    </r>
    <r>
      <rPr>
        <vertAlign val="subscript"/>
        <sz val="10"/>
        <color indexed="8"/>
        <rFont val="MS Sans Serif"/>
        <family val="2"/>
      </rPr>
      <t>crack</t>
    </r>
  </si>
  <si>
    <r>
      <t>D</t>
    </r>
    <r>
      <rPr>
        <sz val="10"/>
        <rFont val="MS Sans Serif"/>
        <family val="2"/>
      </rPr>
      <t>H</t>
    </r>
    <r>
      <rPr>
        <vertAlign val="subscript"/>
        <sz val="10"/>
        <rFont val="MS Sans Serif"/>
        <family val="2"/>
      </rPr>
      <t>v,TS</t>
    </r>
  </si>
  <si>
    <r>
      <t>H</t>
    </r>
    <r>
      <rPr>
        <vertAlign val="subscript"/>
        <sz val="10"/>
        <color indexed="8"/>
        <rFont val="MS Sans Serif"/>
        <family val="2"/>
      </rPr>
      <t>TS</t>
    </r>
  </si>
  <si>
    <r>
      <t>H'</t>
    </r>
    <r>
      <rPr>
        <vertAlign val="subscript"/>
        <sz val="10"/>
        <color indexed="8"/>
        <rFont val="MS Sans Serif"/>
        <family val="2"/>
      </rPr>
      <t>TS</t>
    </r>
  </si>
  <si>
    <r>
      <t>m</t>
    </r>
    <r>
      <rPr>
        <vertAlign val="subscript"/>
        <sz val="10"/>
        <color indexed="8"/>
        <rFont val="MS Sans Serif"/>
        <family val="2"/>
      </rPr>
      <t>TS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</si>
  <si>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V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</si>
  <si>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cz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</si>
  <si>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T</t>
    </r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</si>
  <si>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/s)</t>
    </r>
  </si>
  <si>
    <t>(g/cm-s)</t>
  </si>
  <si>
    <t>Exponent of</t>
  </si>
  <si>
    <t>Infinite</t>
  </si>
  <si>
    <t>equivalent</t>
  </si>
  <si>
    <t>source</t>
  </si>
  <si>
    <t>Diffusion</t>
  </si>
  <si>
    <t>Convection</t>
  </si>
  <si>
    <t>Source</t>
  </si>
  <si>
    <t>vapor</t>
  </si>
  <si>
    <t>foundation</t>
  </si>
  <si>
    <t>indoor</t>
  </si>
  <si>
    <t>path</t>
  </si>
  <si>
    <t>flow rate</t>
  </si>
  <si>
    <t>Peclet</t>
  </si>
  <si>
    <t>attenuation</t>
  </si>
  <si>
    <t>bldg.</t>
  </si>
  <si>
    <t>length,</t>
  </si>
  <si>
    <t>radius,</t>
  </si>
  <si>
    <t>into bldg.,</t>
  </si>
  <si>
    <t>crack,</t>
  </si>
  <si>
    <t>number,</t>
  </si>
  <si>
    <r>
      <t>L</t>
    </r>
    <r>
      <rPr>
        <vertAlign val="subscript"/>
        <sz val="10"/>
        <color indexed="8"/>
        <rFont val="MS Sans Serif"/>
        <family val="2"/>
      </rPr>
      <t>d</t>
    </r>
  </si>
  <si>
    <r>
      <t>L</t>
    </r>
    <r>
      <rPr>
        <vertAlign val="subscript"/>
        <sz val="10"/>
        <color indexed="8"/>
        <rFont val="MS Sans Serif"/>
        <family val="2"/>
      </rPr>
      <t>p</t>
    </r>
  </si>
  <si>
    <r>
      <t>C</t>
    </r>
    <r>
      <rPr>
        <vertAlign val="subscript"/>
        <sz val="10"/>
        <color indexed="8"/>
        <rFont val="MS Sans Serif"/>
        <family val="2"/>
      </rPr>
      <t>source</t>
    </r>
  </si>
  <si>
    <r>
      <t>r</t>
    </r>
    <r>
      <rPr>
        <vertAlign val="subscript"/>
        <sz val="10"/>
        <color indexed="8"/>
        <rFont val="MS Sans Serif"/>
        <family val="2"/>
      </rPr>
      <t>crack</t>
    </r>
  </si>
  <si>
    <r>
      <t>Q</t>
    </r>
    <r>
      <rPr>
        <vertAlign val="subscript"/>
        <sz val="10"/>
        <color indexed="8"/>
        <rFont val="MS Sans Serif"/>
        <family val="2"/>
      </rPr>
      <t>soil</t>
    </r>
  </si>
  <si>
    <r>
      <t>D</t>
    </r>
    <r>
      <rPr>
        <vertAlign val="superscript"/>
        <sz val="10"/>
        <color indexed="8"/>
        <rFont val="MS Sans Serif"/>
        <family val="2"/>
      </rPr>
      <t>crack</t>
    </r>
  </si>
  <si>
    <r>
      <t>A</t>
    </r>
    <r>
      <rPr>
        <vertAlign val="subscript"/>
        <sz val="10"/>
        <color indexed="8"/>
        <rFont val="MS Sans Serif"/>
        <family val="2"/>
      </rPr>
      <t>crack</t>
    </r>
  </si>
  <si>
    <r>
      <t>exp(Pe</t>
    </r>
    <r>
      <rPr>
        <vertAlign val="superscript"/>
        <sz val="10"/>
        <color indexed="8"/>
        <rFont val="MS Sans Serif"/>
        <family val="2"/>
      </rPr>
      <t>f</t>
    </r>
    <r>
      <rPr>
        <sz val="10"/>
        <color indexed="8"/>
        <rFont val="MS Sans Serif"/>
        <family val="2"/>
      </rPr>
      <t>)</t>
    </r>
  </si>
  <si>
    <t>a</t>
  </si>
  <si>
    <r>
      <t>C</t>
    </r>
    <r>
      <rPr>
        <vertAlign val="subscript"/>
        <sz val="10"/>
        <color indexed="8"/>
        <rFont val="MS Sans Serif"/>
        <family val="2"/>
      </rPr>
      <t>building</t>
    </r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</si>
  <si>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</si>
  <si>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RISK-BASED GROUNDWATER CONCENTRATION CALCULATIONS:</t>
  </si>
  <si>
    <t>INCREMENTAL RISK CALCULATIONS:</t>
  </si>
  <si>
    <t>Incremental</t>
  </si>
  <si>
    <t>Hazard</t>
  </si>
  <si>
    <t>Indoor</t>
  </si>
  <si>
    <t>Risk-based</t>
  </si>
  <si>
    <t>Final</t>
  </si>
  <si>
    <t>risk from</t>
  </si>
  <si>
    <t>quotient</t>
  </si>
  <si>
    <t>exposure</t>
  </si>
  <si>
    <t>from vapor</t>
  </si>
  <si>
    <t>intrusion to</t>
  </si>
  <si>
    <t>indoor air,</t>
  </si>
  <si>
    <t>carcinogen</t>
  </si>
  <si>
    <t>noncarcinogen</t>
  </si>
  <si>
    <t>Soil Properties Lookup Table</t>
  </si>
  <si>
    <t>SCS Soil Type</t>
  </si>
  <si>
    <r>
      <t>K</t>
    </r>
    <r>
      <rPr>
        <vertAlign val="subscript"/>
        <sz val="10"/>
        <rFont val="MS Sans Serif"/>
        <family val="2"/>
      </rPr>
      <t>s</t>
    </r>
    <r>
      <rPr>
        <sz val="10"/>
        <rFont val="MS Sans Serif"/>
        <family val="2"/>
      </rPr>
      <t xml:space="preserve"> (cm/h)</t>
    </r>
  </si>
  <si>
    <t>N (unitless)</t>
  </si>
  <si>
    <t>M (unitless)</t>
  </si>
  <si>
    <r>
      <t>q</t>
    </r>
    <r>
      <rPr>
        <vertAlign val="subscript"/>
        <sz val="10"/>
        <rFont val="MS Sans Serif"/>
        <family val="2"/>
      </rPr>
      <t>r</t>
    </r>
    <r>
      <rPr>
        <sz val="10"/>
        <rFont val="MS Sans Serif"/>
        <family val="2"/>
      </rPr>
      <t xml:space="preserve"> (cm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/cm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</si>
  <si>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t>Mean Grain Diameter (cm)</t>
  </si>
  <si>
    <t>C</t>
  </si>
  <si>
    <t>CL</t>
  </si>
  <si>
    <t>L</t>
  </si>
  <si>
    <t>LS</t>
  </si>
  <si>
    <t>SI</t>
  </si>
  <si>
    <t>SIC</t>
  </si>
  <si>
    <t>SICL</t>
  </si>
  <si>
    <t>SIL</t>
  </si>
  <si>
    <t>SL</t>
  </si>
  <si>
    <t>H'</t>
  </si>
  <si>
    <r>
      <t>T</t>
    </r>
    <r>
      <rPr>
        <vertAlign val="subscript"/>
        <sz val="10"/>
        <color indexed="8"/>
        <rFont val="MS Sans Serif"/>
        <family val="2"/>
      </rPr>
      <t>B</t>
    </r>
  </si>
  <si>
    <r>
      <t>T</t>
    </r>
    <r>
      <rPr>
        <vertAlign val="subscript"/>
        <sz val="10"/>
        <color indexed="8"/>
        <rFont val="MS Sans Serif"/>
        <family val="2"/>
      </rPr>
      <t>C</t>
    </r>
  </si>
  <si>
    <r>
      <t>D</t>
    </r>
    <r>
      <rPr>
        <sz val="10"/>
        <color indexed="8"/>
        <rFont val="MS Sans Serif"/>
        <family val="2"/>
      </rPr>
      <t>H</t>
    </r>
    <r>
      <rPr>
        <vertAlign val="subscript"/>
        <sz val="10"/>
        <color indexed="8"/>
        <rFont val="MS Sans Serif"/>
        <family val="2"/>
      </rPr>
      <t>v,b</t>
    </r>
  </si>
  <si>
    <t>Carbon tetrachloride</t>
  </si>
  <si>
    <t>Chloroform</t>
  </si>
  <si>
    <t>Benzene</t>
  </si>
  <si>
    <t>1,1,1-Trichloroethane</t>
  </si>
  <si>
    <t>Carbon disulfide</t>
  </si>
  <si>
    <t>Bromoform</t>
  </si>
  <si>
    <t>1,1-Dichloroethane</t>
  </si>
  <si>
    <t>1,2-Dichloropropane</t>
  </si>
  <si>
    <t>1,1,2-Trichloroethane</t>
  </si>
  <si>
    <t>1,1,2,2-Tetrachloroethane</t>
  </si>
  <si>
    <t>Hexachloro-1,3-butadiene</t>
  </si>
  <si>
    <t>Naphthalene</t>
  </si>
  <si>
    <t>Ethylbenzene</t>
  </si>
  <si>
    <t>Styrene</t>
  </si>
  <si>
    <t>1,2-Dichloroethane</t>
  </si>
  <si>
    <t>Toluene</t>
  </si>
  <si>
    <t>Chlorobenzene</t>
  </si>
  <si>
    <t>1,2,4-Trichlorobenzene</t>
  </si>
  <si>
    <t>Mercury (elemental)</t>
  </si>
  <si>
    <t>MESSAGE SUMMARY BELOW:</t>
  </si>
  <si>
    <t>MORE</t>
  </si>
  <si>
    <t>ê</t>
  </si>
  <si>
    <t>END</t>
  </si>
  <si>
    <t>Bulk Density</t>
  </si>
  <si>
    <r>
      <t>(g/cm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</si>
  <si>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t>1,2,4-Trimethylbenzene</t>
  </si>
  <si>
    <t>Average vapor</t>
  </si>
  <si>
    <t>flow rate into bldg.</t>
  </si>
  <si>
    <t>(Leave blank to calculate)</t>
  </si>
  <si>
    <t>(L/m)</t>
  </si>
  <si>
    <t>vandose zone</t>
  </si>
  <si>
    <t>X</t>
  </si>
  <si>
    <r>
      <t>q</t>
    </r>
    <r>
      <rPr>
        <vertAlign val="subscript"/>
        <sz val="10"/>
        <rFont val="MS Sans Serif"/>
        <family val="2"/>
      </rPr>
      <t>w</t>
    </r>
    <r>
      <rPr>
        <sz val="10"/>
        <rFont val="MS Sans Serif"/>
        <family val="2"/>
      </rPr>
      <t xml:space="preserve"> (cm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/cm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</si>
  <si>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MS Sans Serif"/>
        <family val="2"/>
      </rPr>
      <t xml:space="preserve"> (1/cm)</t>
    </r>
  </si>
  <si>
    <r>
      <t>n (cm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/cm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</si>
  <si>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t>SCS Soil Name</t>
  </si>
  <si>
    <t>Clay</t>
  </si>
  <si>
    <t>Clay Loam</t>
  </si>
  <si>
    <t>Loam</t>
  </si>
  <si>
    <t>Loamy Sand</t>
  </si>
  <si>
    <t>Sand</t>
  </si>
  <si>
    <t>Sandy Clay</t>
  </si>
  <si>
    <t>Sandy Clay Loam</t>
  </si>
  <si>
    <t>Silt</t>
  </si>
  <si>
    <t>Silty Clay</t>
  </si>
  <si>
    <t>Silty Clay Loam</t>
  </si>
  <si>
    <t>Silt Loam</t>
  </si>
  <si>
    <t>Sandy Loam</t>
  </si>
  <si>
    <t>USEPA Version 3.1; 02/04</t>
  </si>
  <si>
    <t>Cyclohexane</t>
  </si>
  <si>
    <t>Acetone (2-Propanone)</t>
  </si>
  <si>
    <t>Bromomethane (Methyl bromide)</t>
  </si>
  <si>
    <t>Chloromethane (Methyl chloride)</t>
  </si>
  <si>
    <t>Chloroethane (Ethyl chloride)</t>
  </si>
  <si>
    <t>Vinyl chloride</t>
  </si>
  <si>
    <t>Methylene chloride (Dichloromethane)</t>
  </si>
  <si>
    <t>Bromodichloromethane (Dichlorobromomethane)</t>
  </si>
  <si>
    <t>1,1-Dichloroethene (1,1-Dichloroethylene)</t>
  </si>
  <si>
    <t>Trichlorofluoromethane (Freon 11)</t>
  </si>
  <si>
    <t>Dichlorodifluoromethane (Freon 12)</t>
  </si>
  <si>
    <t>1,1,2-Trichloro-1,2,2-trifluoroethane (Freon TF)</t>
  </si>
  <si>
    <t>2-Butanone (Methyl ethyl ketone) (MEK)</t>
  </si>
  <si>
    <t>Trichloroethene (TCE) (Trichloroethylene)</t>
  </si>
  <si>
    <t>1,2-Dichlorobenzene (o-Dichlorobenzene)</t>
  </si>
  <si>
    <t>1,4-Dichlorobenzene (p-Dichlorobenzene)</t>
  </si>
  <si>
    <t>1,2-Dibromoethane (Ethylene dibromide)</t>
  </si>
  <si>
    <t>4-Methyl-2-pentanone (MIBK)</t>
  </si>
  <si>
    <t>n-Hexane</t>
  </si>
  <si>
    <t>1,4-Dioxane</t>
  </si>
  <si>
    <t>Dibromochloromethane (Chlorodibromomethane)</t>
  </si>
  <si>
    <t>Tetrachloroethene (PCE) (Tetrachloroethylene)</t>
  </si>
  <si>
    <t>1,2-Dichloroethene (trans) (t-1,2-Dichloroethylene)</t>
  </si>
  <si>
    <t>1,3-Dichloropropene (total)</t>
  </si>
  <si>
    <t>Xylenes (total)</t>
  </si>
  <si>
    <t>Methyl tert-butyl ether (MTBE)</t>
  </si>
  <si>
    <t>1,2-Dichloroethene (cis) (c-1,2-Dichloroethylene)</t>
  </si>
  <si>
    <t>2019 Chemical Properties Lookup Table</t>
  </si>
  <si>
    <t>NJ-GW-SCREEN-2021-V1.0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</si>
</sst>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E+00"/>
    <numFmt numFmtId="167" formatCode="0.00000"/>
  </numFmts>
  <fonts count="58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Symbol"/>
      <family val="1"/>
    </font>
    <font>
      <vertAlign val="superscript"/>
      <sz val="10"/>
      <color indexed="8"/>
      <name val="MS Sans Serif"/>
      <family val="2"/>
    </font>
    <font>
      <vertAlign val="subscript"/>
      <sz val="10"/>
      <color indexed="8"/>
      <name val="MS Sans Serif"/>
      <family val="2"/>
    </font>
    <font>
      <sz val="10"/>
      <color indexed="8"/>
      <name val="Symbol"/>
      <family val="1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vertAlign val="subscript"/>
      <sz val="10"/>
      <name val="MS Sans Serif"/>
      <family val="2"/>
    </font>
    <font>
      <vertAlign val="superscript"/>
      <sz val="10"/>
      <name val="MS Sans Serif"/>
      <family val="2"/>
    </font>
    <font>
      <b/>
      <sz val="10"/>
      <color indexed="8"/>
      <name val="MS Sans Serif"/>
      <family val="2"/>
    </font>
    <font>
      <sz val="12"/>
      <name val="MS Sans Serif"/>
      <family val="2"/>
    </font>
    <font>
      <b/>
      <sz val="14"/>
      <color indexed="10"/>
      <name val="MS Sans Serif"/>
      <family val="2"/>
    </font>
    <font>
      <b/>
      <sz val="12"/>
      <color indexed="12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sz val="10"/>
      <name val="Wingdings"/>
      <family val="0"/>
    </font>
    <font>
      <vertAlign val="subscript"/>
      <sz val="10"/>
      <name val="Arial"/>
      <family val="2"/>
    </font>
    <font>
      <sz val="20"/>
      <color indexed="10"/>
      <name val="MS Sans Serif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1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centerContinuous"/>
      <protection/>
    </xf>
    <xf numFmtId="0" fontId="2" fillId="0" borderId="11" xfId="0" applyNumberFormat="1" applyFont="1" applyFill="1" applyBorder="1" applyAlignment="1" applyProtection="1">
      <alignment horizontal="centerContinuous"/>
      <protection/>
    </xf>
    <xf numFmtId="11" fontId="2" fillId="0" borderId="11" xfId="0" applyNumberFormat="1" applyFont="1" applyFill="1" applyBorder="1" applyAlignment="1" applyProtection="1">
      <alignment horizontal="centerContinuous"/>
      <protection/>
    </xf>
    <xf numFmtId="1" fontId="2" fillId="0" borderId="12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11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1" fontId="2" fillId="0" borderId="0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Alignment="1">
      <alignment horizontal="center"/>
    </xf>
    <xf numFmtId="11" fontId="9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1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11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2" fontId="2" fillId="0" borderId="0" xfId="0" applyNumberFormat="1" applyFont="1" applyFill="1" applyBorder="1" applyAlignment="1" applyProtection="1">
      <alignment horizontal="right" vertical="top" wrapText="1"/>
      <protection locked="0"/>
    </xf>
    <xf numFmtId="11" fontId="2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11" fontId="7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1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164" fontId="9" fillId="0" borderId="0" xfId="0" applyNumberFormat="1" applyFont="1" applyAlignment="1" applyProtection="1">
      <alignment horizontal="center"/>
      <protection/>
    </xf>
    <xf numFmtId="11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11" fontId="2" fillId="0" borderId="13" xfId="0" applyNumberFormat="1" applyFont="1" applyBorder="1" applyAlignment="1" applyProtection="1">
      <alignment horizontal="center"/>
      <protection/>
    </xf>
    <xf numFmtId="0" fontId="2" fillId="0" borderId="13" xfId="0" applyNumberFormat="1" applyFont="1" applyBorder="1" applyAlignment="1" applyProtection="1">
      <alignment horizontal="center"/>
      <protection/>
    </xf>
    <xf numFmtId="164" fontId="9" fillId="0" borderId="13" xfId="0" applyNumberFormat="1" applyFont="1" applyBorder="1" applyAlignment="1" applyProtection="1">
      <alignment horizontal="center"/>
      <protection/>
    </xf>
    <xf numFmtId="1" fontId="2" fillId="0" borderId="13" xfId="0" applyNumberFormat="1" applyFont="1" applyBorder="1" applyAlignment="1" applyProtection="1">
      <alignment horizontal="center"/>
      <protection/>
    </xf>
    <xf numFmtId="164" fontId="2" fillId="0" borderId="13" xfId="0" applyNumberFormat="1" applyFont="1" applyBorder="1" applyAlignment="1" applyProtection="1">
      <alignment horizontal="center"/>
      <protection/>
    </xf>
    <xf numFmtId="0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1" fontId="9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11" fontId="12" fillId="0" borderId="0" xfId="0" applyNumberFormat="1" applyFont="1" applyAlignment="1" applyProtection="1">
      <alignment horizontal="center"/>
      <protection/>
    </xf>
    <xf numFmtId="3" fontId="7" fillId="0" borderId="0" xfId="0" applyNumberFormat="1" applyFont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11" fontId="9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11" fontId="6" fillId="0" borderId="0" xfId="0" applyNumberFormat="1" applyFont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3" fontId="2" fillId="0" borderId="13" xfId="0" applyNumberFormat="1" applyFont="1" applyBorder="1" applyAlignment="1" applyProtection="1">
      <alignment horizontal="center"/>
      <protection/>
    </xf>
    <xf numFmtId="11" fontId="9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2" fontId="2" fillId="0" borderId="13" xfId="0" applyNumberFormat="1" applyFont="1" applyBorder="1" applyAlignment="1" applyProtection="1">
      <alignment horizontal="center"/>
      <protection/>
    </xf>
    <xf numFmtId="166" fontId="2" fillId="0" borderId="13" xfId="0" applyNumberFormat="1" applyFont="1" applyBorder="1" applyAlignment="1" applyProtection="1">
      <alignment horizontal="center"/>
      <protection/>
    </xf>
    <xf numFmtId="166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11" xfId="0" applyFont="1" applyBorder="1" applyAlignment="1" applyProtection="1">
      <alignment horizontal="centerContinuous"/>
      <protection/>
    </xf>
    <xf numFmtId="164" fontId="9" fillId="0" borderId="11" xfId="0" applyNumberFormat="1" applyFont="1" applyBorder="1" applyAlignment="1" applyProtection="1">
      <alignment horizontal="centerContinuous"/>
      <protection/>
    </xf>
    <xf numFmtId="2" fontId="9" fillId="0" borderId="11" xfId="0" applyNumberFormat="1" applyFont="1" applyBorder="1" applyAlignment="1" applyProtection="1">
      <alignment horizontal="centerContinuous"/>
      <protection/>
    </xf>
    <xf numFmtId="0" fontId="9" fillId="0" borderId="12" xfId="0" applyFont="1" applyBorder="1" applyAlignment="1" applyProtection="1">
      <alignment horizontal="center"/>
      <protection/>
    </xf>
    <xf numFmtId="164" fontId="3" fillId="0" borderId="13" xfId="0" applyNumberFormat="1" applyFont="1" applyBorder="1" applyAlignment="1" applyProtection="1">
      <alignment horizontal="center"/>
      <protection/>
    </xf>
    <xf numFmtId="2" fontId="9" fillId="0" borderId="13" xfId="0" applyNumberFormat="1" applyFont="1" applyBorder="1" applyAlignment="1" applyProtection="1">
      <alignment horizontal="center"/>
      <protection/>
    </xf>
    <xf numFmtId="2" fontId="3" fillId="0" borderId="13" xfId="0" applyNumberFormat="1" applyFont="1" applyBorder="1" applyAlignment="1" applyProtection="1">
      <alignment horizontal="center"/>
      <protection/>
    </xf>
    <xf numFmtId="49" fontId="9" fillId="0" borderId="14" xfId="0" applyNumberFormat="1" applyFont="1" applyBorder="1" applyAlignment="1" applyProtection="1" quotePrefix="1">
      <alignment/>
      <protection/>
    </xf>
    <xf numFmtId="2" fontId="9" fillId="0" borderId="0" xfId="0" applyNumberFormat="1" applyFont="1" applyBorder="1" applyAlignment="1" applyProtection="1">
      <alignment/>
      <protection/>
    </xf>
    <xf numFmtId="49" fontId="9" fillId="0" borderId="14" xfId="0" applyNumberFormat="1" applyFont="1" applyBorder="1" applyAlignment="1" applyProtection="1" quotePrefix="1">
      <alignment horizontal="left"/>
      <protection/>
    </xf>
    <xf numFmtId="2" fontId="9" fillId="0" borderId="0" xfId="0" applyNumberFormat="1" applyFont="1" applyBorder="1" applyAlignment="1" applyProtection="1">
      <alignment horizontal="right"/>
      <protection/>
    </xf>
    <xf numFmtId="164" fontId="9" fillId="0" borderId="0" xfId="0" applyNumberFormat="1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164" fontId="9" fillId="0" borderId="16" xfId="0" applyNumberFormat="1" applyFont="1" applyBorder="1" applyAlignment="1" applyProtection="1">
      <alignment/>
      <protection/>
    </xf>
    <xf numFmtId="2" fontId="9" fillId="0" borderId="16" xfId="0" applyNumberFormat="1" applyFont="1" applyBorder="1" applyAlignment="1" applyProtection="1">
      <alignment/>
      <protection/>
    </xf>
    <xf numFmtId="11" fontId="2" fillId="0" borderId="11" xfId="0" applyNumberFormat="1" applyFont="1" applyBorder="1" applyAlignment="1" applyProtection="1">
      <alignment horizontal="centerContinuous"/>
      <protection/>
    </xf>
    <xf numFmtId="2" fontId="2" fillId="0" borderId="11" xfId="0" applyNumberFormat="1" applyFont="1" applyBorder="1" applyAlignment="1" applyProtection="1">
      <alignment horizontal="centerContinuous"/>
      <protection/>
    </xf>
    <xf numFmtId="3" fontId="2" fillId="0" borderId="11" xfId="0" applyNumberFormat="1" applyFont="1" applyBorder="1" applyAlignment="1" applyProtection="1">
      <alignment horizontal="centerContinuous"/>
      <protection/>
    </xf>
    <xf numFmtId="166" fontId="2" fillId="0" borderId="11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"/>
      <protection/>
    </xf>
    <xf numFmtId="11" fontId="2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1" fontId="2" fillId="0" borderId="19" xfId="0" applyNumberFormat="1" applyFont="1" applyBorder="1" applyAlignment="1">
      <alignment horizontal="center"/>
    </xf>
    <xf numFmtId="11" fontId="2" fillId="0" borderId="14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0" xfId="0" applyFont="1" applyBorder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 applyProtection="1">
      <alignment horizontal="right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13" fillId="0" borderId="27" xfId="0" applyFont="1" applyFill="1" applyBorder="1" applyAlignment="1" applyProtection="1">
      <alignment horizontal="center"/>
      <protection locked="0"/>
    </xf>
    <xf numFmtId="0" fontId="16" fillId="0" borderId="28" xfId="0" applyNumberFormat="1" applyFont="1" applyFill="1" applyBorder="1" applyAlignment="1" applyProtection="1">
      <alignment horizontal="centerContinuous" vertical="top" wrapText="1"/>
      <protection/>
    </xf>
    <xf numFmtId="0" fontId="15" fillId="0" borderId="29" xfId="0" applyFont="1" applyFill="1" applyBorder="1" applyAlignment="1">
      <alignment horizontal="centerContinuous"/>
    </xf>
    <xf numFmtId="11" fontId="8" fillId="0" borderId="0" xfId="0" applyNumberFormat="1" applyFont="1" applyFill="1" applyBorder="1" applyAlignment="1" applyProtection="1">
      <alignment horizontal="centerContinuous" vertical="top" wrapText="1"/>
      <protection locked="0"/>
    </xf>
    <xf numFmtId="11" fontId="2" fillId="0" borderId="0" xfId="0" applyNumberFormat="1" applyFont="1" applyBorder="1" applyAlignment="1">
      <alignment horizontal="centerContinuous"/>
    </xf>
    <xf numFmtId="11" fontId="2" fillId="0" borderId="0" xfId="0" applyNumberFormat="1" applyFont="1" applyFill="1" applyBorder="1" applyAlignment="1" applyProtection="1">
      <alignment horizontal="centerContinuous" vertical="top" wrapText="1"/>
      <protection locked="0"/>
    </xf>
    <xf numFmtId="0" fontId="2" fillId="0" borderId="0" xfId="0" applyNumberFormat="1" applyFont="1" applyFill="1" applyBorder="1" applyAlignment="1" applyProtection="1">
      <alignment horizontal="centerContinuous" vertical="top" wrapText="1"/>
      <protection locked="0"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30" xfId="0" applyNumberFormat="1" applyFont="1" applyFill="1" applyBorder="1" applyAlignment="1" applyProtection="1">
      <alignment horizontal="center" vertical="top" wrapText="1"/>
      <protection locked="0"/>
    </xf>
    <xf numFmtId="0" fontId="2" fillId="0" borderId="31" xfId="0" applyNumberFormat="1" applyFont="1" applyFill="1" applyBorder="1" applyAlignment="1" applyProtection="1">
      <alignment horizontal="center" vertical="top" wrapText="1"/>
      <protection locked="0"/>
    </xf>
    <xf numFmtId="11" fontId="0" fillId="0" borderId="32" xfId="0" applyNumberFormat="1" applyFill="1" applyBorder="1" applyAlignment="1" applyProtection="1">
      <alignment horizontal="center"/>
      <protection locked="0"/>
    </xf>
    <xf numFmtId="0" fontId="2" fillId="0" borderId="30" xfId="0" applyNumberFormat="1" applyFont="1" applyFill="1" applyBorder="1" applyAlignment="1" applyProtection="1">
      <alignment horizontal="center"/>
      <protection locked="0"/>
    </xf>
    <xf numFmtId="166" fontId="2" fillId="0" borderId="30" xfId="0" applyNumberFormat="1" applyFont="1" applyFill="1" applyBorder="1" applyAlignment="1" applyProtection="1">
      <alignment horizontal="center" vertical="top" wrapText="1"/>
      <protection locked="0"/>
    </xf>
    <xf numFmtId="11" fontId="2" fillId="0" borderId="30" xfId="0" applyNumberFormat="1" applyFont="1" applyFill="1" applyBorder="1" applyAlignment="1" applyProtection="1">
      <alignment horizontal="center" vertical="top" wrapText="1"/>
      <protection/>
    </xf>
    <xf numFmtId="0" fontId="2" fillId="0" borderId="30" xfId="0" applyNumberFormat="1" applyFont="1" applyFill="1" applyBorder="1" applyAlignment="1" applyProtection="1">
      <alignment horizontal="center" vertical="top" wrapText="1"/>
      <protection/>
    </xf>
    <xf numFmtId="3" fontId="2" fillId="0" borderId="30" xfId="0" applyNumberFormat="1" applyFont="1" applyFill="1" applyBorder="1" applyAlignment="1" applyProtection="1">
      <alignment horizontal="center" vertical="top" wrapText="1"/>
      <protection/>
    </xf>
    <xf numFmtId="2" fontId="2" fillId="0" borderId="30" xfId="0" applyNumberFormat="1" applyFont="1" applyFill="1" applyBorder="1" applyAlignment="1" applyProtection="1">
      <alignment horizontal="center" vertical="top" wrapText="1"/>
      <protection/>
    </xf>
    <xf numFmtId="11" fontId="2" fillId="0" borderId="30" xfId="0" applyNumberFormat="1" applyFont="1" applyFill="1" applyBorder="1" applyAlignment="1" applyProtection="1">
      <alignment horizontal="center"/>
      <protection/>
    </xf>
    <xf numFmtId="166" fontId="2" fillId="0" borderId="30" xfId="0" applyNumberFormat="1" applyFont="1" applyFill="1" applyBorder="1" applyAlignment="1" applyProtection="1">
      <alignment horizontal="center" vertical="top" wrapText="1"/>
      <protection/>
    </xf>
    <xf numFmtId="164" fontId="2" fillId="0" borderId="30" xfId="0" applyNumberFormat="1" applyFont="1" applyFill="1" applyBorder="1" applyAlignment="1" applyProtection="1">
      <alignment horizontal="center"/>
      <protection/>
    </xf>
    <xf numFmtId="11" fontId="9" fillId="0" borderId="30" xfId="0" applyNumberFormat="1" applyFont="1" applyFill="1" applyBorder="1" applyAlignment="1" applyProtection="1">
      <alignment horizontal="center"/>
      <protection/>
    </xf>
    <xf numFmtId="164" fontId="9" fillId="0" borderId="30" xfId="0" applyNumberFormat="1" applyFont="1" applyFill="1" applyBorder="1" applyAlignment="1" applyProtection="1">
      <alignment horizontal="center"/>
      <protection/>
    </xf>
    <xf numFmtId="2" fontId="9" fillId="0" borderId="30" xfId="0" applyNumberFormat="1" applyFont="1" applyFill="1" applyBorder="1" applyAlignment="1" applyProtection="1">
      <alignment horizontal="center"/>
      <protection/>
    </xf>
    <xf numFmtId="0" fontId="9" fillId="0" borderId="30" xfId="0" applyNumberFormat="1" applyFont="1" applyFill="1" applyBorder="1" applyAlignment="1" applyProtection="1">
      <alignment horizontal="center"/>
      <protection/>
    </xf>
    <xf numFmtId="2" fontId="2" fillId="0" borderId="30" xfId="0" applyNumberFormat="1" applyFont="1" applyFill="1" applyBorder="1" applyAlignment="1" applyProtection="1">
      <alignment horizontal="center"/>
      <protection/>
    </xf>
    <xf numFmtId="166" fontId="2" fillId="0" borderId="30" xfId="0" applyNumberFormat="1" applyFont="1" applyFill="1" applyBorder="1" applyAlignment="1" applyProtection="1">
      <alignment horizontal="center"/>
      <protection/>
    </xf>
    <xf numFmtId="166" fontId="9" fillId="0" borderId="30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11" fontId="2" fillId="0" borderId="3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>
      <alignment/>
    </xf>
    <xf numFmtId="167" fontId="9" fillId="0" borderId="0" xfId="0" applyNumberFormat="1" applyFont="1" applyBorder="1" applyAlignment="1" applyProtection="1">
      <alignment/>
      <protection/>
    </xf>
    <xf numFmtId="165" fontId="9" fillId="0" borderId="0" xfId="0" applyNumberFormat="1" applyFont="1" applyBorder="1" applyAlignment="1" applyProtection="1">
      <alignment/>
      <protection/>
    </xf>
    <xf numFmtId="167" fontId="9" fillId="0" borderId="0" xfId="0" applyNumberFormat="1" applyFont="1" applyBorder="1" applyAlignment="1" applyProtection="1">
      <alignment horizontal="right"/>
      <protection/>
    </xf>
    <xf numFmtId="167" fontId="9" fillId="0" borderId="16" xfId="0" applyNumberFormat="1" applyFont="1" applyBorder="1" applyAlignment="1" applyProtection="1">
      <alignment/>
      <protection/>
    </xf>
    <xf numFmtId="165" fontId="9" fillId="0" borderId="16" xfId="0" applyNumberFormat="1" applyFont="1" applyBorder="1" applyAlignment="1" applyProtection="1">
      <alignment/>
      <protection/>
    </xf>
    <xf numFmtId="0" fontId="20" fillId="0" borderId="33" xfId="0" applyFont="1" applyBorder="1" applyAlignment="1" applyProtection="1">
      <alignment horizontal="center"/>
      <protection/>
    </xf>
    <xf numFmtId="0" fontId="21" fillId="0" borderId="34" xfId="0" applyFont="1" applyBorder="1" applyAlignment="1" applyProtection="1">
      <alignment horizontal="center"/>
      <protection/>
    </xf>
    <xf numFmtId="0" fontId="20" fillId="0" borderId="30" xfId="0" applyFont="1" applyBorder="1" applyAlignment="1" applyProtection="1">
      <alignment horizontal="center"/>
      <protection/>
    </xf>
    <xf numFmtId="11" fontId="9" fillId="0" borderId="0" xfId="0" applyNumberFormat="1" applyFont="1" applyBorder="1" applyAlignment="1">
      <alignment/>
    </xf>
    <xf numFmtId="166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>
      <alignment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1" fontId="0" fillId="0" borderId="0" xfId="0" applyNumberForma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11" fontId="2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30" xfId="0" applyFon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11" fontId="0" fillId="0" borderId="0" xfId="0" applyNumberForma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5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1" fontId="1" fillId="0" borderId="0" xfId="0" applyNumberFormat="1" applyFont="1" applyBorder="1" applyAlignment="1" applyProtection="1">
      <alignment horizontal="center"/>
      <protection/>
    </xf>
    <xf numFmtId="11" fontId="0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1" fontId="0" fillId="0" borderId="0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23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D74"/>
  <sheetViews>
    <sheetView showGridLines="0" tabSelected="1" zoomScale="60" zoomScaleNormal="60" zoomScalePageLayoutView="0" workbookViewId="0" topLeftCell="A1">
      <selection activeCell="E18" sqref="E18"/>
    </sheetView>
  </sheetViews>
  <sheetFormatPr defaultColWidth="9.140625" defaultRowHeight="12.75"/>
  <cols>
    <col min="1" max="1" width="3.140625" style="7" customWidth="1"/>
    <col min="2" max="2" width="11.7109375" style="7" customWidth="1"/>
    <col min="3" max="3" width="16.28125" style="7" customWidth="1"/>
    <col min="4" max="4" width="3.140625" style="7" customWidth="1"/>
    <col min="5" max="5" width="16.8515625" style="7" customWidth="1"/>
    <col min="6" max="6" width="15.421875" style="7" customWidth="1"/>
    <col min="7" max="7" width="13.7109375" style="7" customWidth="1"/>
    <col min="8" max="8" width="21.140625" style="7" customWidth="1"/>
    <col min="9" max="9" width="12.7109375" style="7" customWidth="1"/>
    <col min="10" max="10" width="14.8515625" style="7" customWidth="1"/>
    <col min="11" max="11" width="18.28125" style="7" customWidth="1"/>
    <col min="12" max="12" width="13.7109375" style="7" customWidth="1"/>
    <col min="13" max="13" width="14.8515625" style="7" customWidth="1"/>
    <col min="14" max="15" width="9.28125" style="7" customWidth="1"/>
    <col min="16" max="16" width="13.57421875" style="23" customWidth="1"/>
    <col min="17" max="17" width="9.28125" style="23" customWidth="1"/>
    <col min="18" max="18" width="9.28125" style="7" customWidth="1"/>
    <col min="19" max="19" width="13.57421875" style="23" customWidth="1"/>
    <col min="20" max="21" width="9.28125" style="23" customWidth="1"/>
    <col min="22" max="22" width="13.57421875" style="23" customWidth="1"/>
    <col min="23" max="24" width="10.00390625" style="7" customWidth="1"/>
    <col min="25" max="25" width="8.57421875" style="7" customWidth="1"/>
    <col min="26" max="26" width="10.57421875" style="7" customWidth="1"/>
    <col min="27" max="27" width="10.00390625" style="7" customWidth="1"/>
    <col min="28" max="28" width="6.7109375" style="7" customWidth="1"/>
    <col min="29" max="29" width="9.140625" style="30" customWidth="1"/>
    <col min="30" max="30" width="10.00390625" style="7" customWidth="1"/>
    <col min="31" max="31" width="9.00390625" style="7" customWidth="1"/>
    <col min="32" max="32" width="10.8515625" style="7" customWidth="1"/>
    <col min="33" max="33" width="10.28125" style="7" customWidth="1"/>
    <col min="34" max="34" width="10.00390625" style="7" customWidth="1"/>
    <col min="35" max="35" width="8.57421875" style="7" customWidth="1"/>
    <col min="36" max="36" width="10.00390625" style="7" customWidth="1"/>
    <col min="37" max="37" width="11.57421875" style="7" customWidth="1"/>
    <col min="38" max="38" width="13.7109375" style="7" customWidth="1"/>
    <col min="39" max="39" width="11.57421875" style="7" customWidth="1"/>
    <col min="40" max="40" width="10.421875" style="7" customWidth="1"/>
    <col min="41" max="41" width="11.00390625" style="7" customWidth="1"/>
    <col min="42" max="42" width="9.140625" style="7" customWidth="1"/>
    <col min="43" max="43" width="8.7109375" style="7" customWidth="1"/>
    <col min="44" max="44" width="5.57421875" style="7" customWidth="1"/>
    <col min="45" max="45" width="5.57421875" style="24" customWidth="1"/>
    <col min="46" max="46" width="4.57421875" style="34" customWidth="1"/>
    <col min="47" max="47" width="5.57421875" style="7" customWidth="1"/>
    <col min="48" max="48" width="4.57421875" style="34" customWidth="1"/>
    <col min="49" max="49" width="5.57421875" style="34" customWidth="1"/>
    <col min="50" max="50" width="6.57421875" style="24" customWidth="1"/>
    <col min="51" max="52" width="7.57421875" style="7" customWidth="1"/>
    <col min="53" max="53" width="4.140625" style="7" customWidth="1"/>
    <col min="54" max="56" width="5.57421875" style="7" customWidth="1"/>
    <col min="57" max="57" width="9.140625" style="7" customWidth="1"/>
    <col min="58" max="58" width="9.00390625" style="7" customWidth="1"/>
    <col min="59" max="59" width="24.421875" style="7" customWidth="1"/>
    <col min="60" max="60" width="10.00390625" style="7" customWidth="1"/>
    <col min="61" max="62" width="9.140625" style="7" customWidth="1"/>
    <col min="63" max="63" width="10.421875" style="7" customWidth="1"/>
    <col min="64" max="64" width="11.421875" style="7" customWidth="1"/>
    <col min="65" max="65" width="12.00390625" style="7" customWidth="1"/>
    <col min="66" max="66" width="11.421875" style="7" customWidth="1"/>
    <col min="67" max="67" width="7.28125" style="7" customWidth="1"/>
    <col min="68" max="68" width="11.421875" style="7" customWidth="1"/>
    <col min="69" max="69" width="13.421875" style="7" customWidth="1"/>
    <col min="70" max="70" width="8.7109375" style="7" customWidth="1"/>
    <col min="71" max="72" width="10.00390625" style="7" customWidth="1"/>
    <col min="73" max="16384" width="9.140625" style="7" customWidth="1"/>
  </cols>
  <sheetData>
    <row r="1" spans="1:15" ht="12">
      <c r="A1" s="223"/>
      <c r="I1" s="122"/>
      <c r="J1" s="122"/>
      <c r="K1" s="122"/>
      <c r="L1" s="122"/>
      <c r="M1" s="122"/>
      <c r="N1" s="122"/>
      <c r="O1" s="122"/>
    </row>
    <row r="2" spans="2:15" ht="15">
      <c r="B2" s="263" t="s">
        <v>337</v>
      </c>
      <c r="C2" s="264"/>
      <c r="E2" s="40" t="s">
        <v>0</v>
      </c>
      <c r="F2" s="17"/>
      <c r="G2" s="17"/>
      <c r="H2" s="17"/>
      <c r="I2" s="123"/>
      <c r="J2" s="123"/>
      <c r="K2" s="204"/>
      <c r="L2" s="122"/>
      <c r="M2" s="122"/>
      <c r="N2" s="122"/>
      <c r="O2" s="122"/>
    </row>
    <row r="3" spans="2:15" ht="15.75" thickBot="1">
      <c r="B3" s="265" t="s">
        <v>308</v>
      </c>
      <c r="C3" s="266"/>
      <c r="E3" s="40"/>
      <c r="F3" s="40"/>
      <c r="G3" s="40"/>
      <c r="H3" s="40"/>
      <c r="I3" s="124"/>
      <c r="J3" s="124"/>
      <c r="K3" s="204"/>
      <c r="L3" s="122"/>
      <c r="M3" s="122"/>
      <c r="N3" s="122"/>
      <c r="O3" s="122"/>
    </row>
    <row r="4" spans="6:15" ht="15.75" customHeight="1" thickBot="1">
      <c r="F4" s="18" t="s">
        <v>1</v>
      </c>
      <c r="G4" s="161" t="s">
        <v>291</v>
      </c>
      <c r="H4"/>
      <c r="I4" s="42"/>
      <c r="J4" s="122"/>
      <c r="K4" s="122"/>
      <c r="L4" s="122"/>
      <c r="M4" s="122"/>
      <c r="N4" s="122"/>
      <c r="O4" s="122"/>
    </row>
    <row r="5" spans="6:15" ht="18.75">
      <c r="F5" s="41"/>
      <c r="G5" s="43" t="s">
        <v>2</v>
      </c>
      <c r="H5"/>
      <c r="I5" s="42"/>
      <c r="J5" s="122"/>
      <c r="K5" s="122"/>
      <c r="L5" s="122"/>
      <c r="M5" s="122"/>
      <c r="N5" s="122"/>
      <c r="O5" s="122"/>
    </row>
    <row r="6" spans="5:15" ht="12.75">
      <c r="E6" s="40" t="s">
        <v>3</v>
      </c>
      <c r="F6" s="17"/>
      <c r="G6" s="17"/>
      <c r="H6" s="17"/>
      <c r="I6" s="123"/>
      <c r="J6" s="123"/>
      <c r="K6" s="123"/>
      <c r="L6" s="123"/>
      <c r="M6" s="123"/>
      <c r="N6" s="122"/>
      <c r="O6" s="122"/>
    </row>
    <row r="7" spans="5:15" ht="12.75">
      <c r="E7" s="40" t="s">
        <v>4</v>
      </c>
      <c r="F7" s="17"/>
      <c r="G7" s="17"/>
      <c r="H7" s="17"/>
      <c r="I7" s="123"/>
      <c r="J7" s="123"/>
      <c r="K7" s="123"/>
      <c r="L7" s="123"/>
      <c r="M7" s="123"/>
      <c r="N7" s="122"/>
      <c r="O7" s="122"/>
    </row>
    <row r="8" spans="5:15" ht="12.75" thickBot="1">
      <c r="E8" s="40"/>
      <c r="F8" s="17"/>
      <c r="G8" s="17"/>
      <c r="H8" s="17"/>
      <c r="I8" s="123"/>
      <c r="J8" s="123"/>
      <c r="K8" s="123"/>
      <c r="L8" s="123"/>
      <c r="M8" s="122"/>
      <c r="N8" s="122"/>
      <c r="O8" s="122"/>
    </row>
    <row r="9" spans="6:15" ht="15.75" customHeight="1" thickBot="1">
      <c r="F9" s="18" t="s">
        <v>1</v>
      </c>
      <c r="G9" s="161"/>
      <c r="H9" s="41"/>
      <c r="I9" s="42"/>
      <c r="J9" s="122"/>
      <c r="K9" s="122"/>
      <c r="L9" s="122"/>
      <c r="M9" s="122"/>
      <c r="N9" s="122"/>
      <c r="O9" s="122"/>
    </row>
    <row r="10" spans="9:15" ht="12">
      <c r="I10" s="255"/>
      <c r="J10" s="122"/>
      <c r="K10" s="122"/>
      <c r="L10" s="122"/>
      <c r="M10" s="122"/>
      <c r="N10" s="122"/>
      <c r="O10" s="122"/>
    </row>
    <row r="11" spans="5:50" ht="12">
      <c r="E11" s="47" t="s">
        <v>5</v>
      </c>
      <c r="F11" s="48" t="s">
        <v>5</v>
      </c>
      <c r="G11" s="153">
        <f>IF(AND(G4="",G9=""),"Enter X in appropriate YES box.","")</f>
      </c>
      <c r="I11" s="255"/>
      <c r="J11" s="122"/>
      <c r="K11" s="122"/>
      <c r="L11" s="122"/>
      <c r="M11" s="122"/>
      <c r="N11" s="122"/>
      <c r="O11" s="122"/>
      <c r="P11" s="7"/>
      <c r="Q11" s="7"/>
      <c r="S11" s="7"/>
      <c r="T11" s="7"/>
      <c r="U11" s="7"/>
      <c r="V11" s="7"/>
      <c r="AC11" s="7"/>
      <c r="AS11" s="7"/>
      <c r="AT11" s="7"/>
      <c r="AV11" s="7"/>
      <c r="AW11" s="7"/>
      <c r="AX11" s="7"/>
    </row>
    <row r="12" spans="5:50" ht="12.75">
      <c r="E12" s="2"/>
      <c r="F12" s="19" t="s">
        <v>6</v>
      </c>
      <c r="G12" s="152">
        <f>IF(AND(G4="",G9="X",F18=""),"Enter initial groundwater concentration.","")</f>
      </c>
      <c r="I12" s="255"/>
      <c r="J12" s="122"/>
      <c r="K12" s="122"/>
      <c r="L12" s="122"/>
      <c r="M12" s="122"/>
      <c r="N12" s="122"/>
      <c r="O12" s="122"/>
      <c r="P12" s="7"/>
      <c r="Q12" s="7"/>
      <c r="S12" s="7"/>
      <c r="T12" s="7"/>
      <c r="U12" s="7"/>
      <c r="V12" s="7"/>
      <c r="AC12" s="7"/>
      <c r="AS12" s="7"/>
      <c r="AT12" s="7"/>
      <c r="AV12" s="7"/>
      <c r="AW12" s="7"/>
      <c r="AX12" s="7"/>
    </row>
    <row r="13" spans="5:50" ht="12">
      <c r="E13" s="2" t="s">
        <v>7</v>
      </c>
      <c r="F13" s="19" t="s">
        <v>8</v>
      </c>
      <c r="G13" s="153">
        <f>IF(AND(G4&gt;0,G9&gt;0),"Cannot calculate risk-based concentration and incremental risk simultaneously.","")</f>
      </c>
      <c r="I13" s="122"/>
      <c r="J13" s="122"/>
      <c r="K13" s="122"/>
      <c r="L13" s="122"/>
      <c r="M13" s="122"/>
      <c r="N13" s="122"/>
      <c r="O13" s="122"/>
      <c r="P13" s="7"/>
      <c r="Q13" s="7"/>
      <c r="S13" s="7"/>
      <c r="T13" s="7"/>
      <c r="U13" s="7"/>
      <c r="V13" s="7"/>
      <c r="AC13" s="7"/>
      <c r="AS13" s="7"/>
      <c r="AT13" s="7"/>
      <c r="AV13" s="7"/>
      <c r="AW13" s="7"/>
      <c r="AX13" s="7"/>
    </row>
    <row r="14" spans="5:54" ht="12">
      <c r="E14" s="44" t="s">
        <v>9</v>
      </c>
      <c r="F14" s="19" t="s">
        <v>10</v>
      </c>
      <c r="G14" s="151"/>
      <c r="I14" s="122"/>
      <c r="J14" s="122"/>
      <c r="K14" s="122"/>
      <c r="L14" s="122"/>
      <c r="M14" s="122"/>
      <c r="N14" s="122"/>
      <c r="O14" s="122"/>
      <c r="P14" s="7"/>
      <c r="Q14" s="7"/>
      <c r="S14" s="7"/>
      <c r="T14" s="7"/>
      <c r="U14" s="7"/>
      <c r="V14" s="7"/>
      <c r="AC14" s="7"/>
      <c r="AS14" s="7"/>
      <c r="AT14" s="7"/>
      <c r="AV14" s="7"/>
      <c r="AW14" s="7"/>
      <c r="AX14" s="7"/>
      <c r="BB14" s="18"/>
    </row>
    <row r="15" spans="5:50" ht="13.5">
      <c r="E15" s="2" t="s">
        <v>11</v>
      </c>
      <c r="F15" s="19" t="s">
        <v>12</v>
      </c>
      <c r="H15" s="17"/>
      <c r="I15" s="123"/>
      <c r="J15" s="122"/>
      <c r="K15" s="122"/>
      <c r="L15" s="122"/>
      <c r="M15" s="122"/>
      <c r="N15" s="122"/>
      <c r="O15" s="122"/>
      <c r="P15" s="7"/>
      <c r="Q15" s="7"/>
      <c r="S15" s="7"/>
      <c r="T15" s="7"/>
      <c r="U15" s="7"/>
      <c r="V15" s="7"/>
      <c r="AC15" s="7"/>
      <c r="AS15" s="7"/>
      <c r="AT15" s="7"/>
      <c r="AV15" s="7"/>
      <c r="AW15" s="7"/>
      <c r="AX15" s="7"/>
    </row>
    <row r="16" spans="5:50" ht="13.5" thickBot="1">
      <c r="E16" s="45" t="s">
        <v>13</v>
      </c>
      <c r="F16" s="22" t="s">
        <v>14</v>
      </c>
      <c r="G16" s="262" t="s">
        <v>7</v>
      </c>
      <c r="H16" s="262"/>
      <c r="I16" s="124"/>
      <c r="J16" s="125"/>
      <c r="K16" s="122"/>
      <c r="L16" s="122"/>
      <c r="M16" s="122"/>
      <c r="N16" s="122"/>
      <c r="O16" s="122"/>
      <c r="P16" s="7"/>
      <c r="Q16" s="7"/>
      <c r="S16" s="7"/>
      <c r="T16" s="7"/>
      <c r="U16" s="7"/>
      <c r="V16" s="7"/>
      <c r="AC16" s="7"/>
      <c r="AS16" s="7"/>
      <c r="AT16" s="7"/>
      <c r="AV16" s="7"/>
      <c r="AW16" s="7"/>
      <c r="AX16" s="7"/>
    </row>
    <row r="17" spans="6:50" ht="14.25" thickBot="1" thickTop="1">
      <c r="F17" s="23"/>
      <c r="G17" s="40"/>
      <c r="I17" s="122"/>
      <c r="J17" s="125"/>
      <c r="K17" s="122"/>
      <c r="L17" s="122"/>
      <c r="M17" s="122"/>
      <c r="N17" s="122"/>
      <c r="O17" s="122"/>
      <c r="P17" s="7"/>
      <c r="Q17" s="7"/>
      <c r="S17" s="7"/>
      <c r="T17" s="7"/>
      <c r="U17" s="7"/>
      <c r="V17" s="7"/>
      <c r="AC17" s="7"/>
      <c r="AS17" s="7"/>
      <c r="AT17" s="7"/>
      <c r="AV17" s="7"/>
      <c r="AW17" s="7"/>
      <c r="AX17" s="7"/>
    </row>
    <row r="18" spans="5:56" ht="15" customHeight="1" thickBot="1">
      <c r="E18" s="169">
        <v>71432</v>
      </c>
      <c r="F18" s="189"/>
      <c r="G18" s="162" t="str">
        <f>IF(ISERROR(MATCH(E18,CAS_No,0)),"CAS No. not found",VLOOKUP(E18,Chemical_Data,2))</f>
        <v>Benzene</v>
      </c>
      <c r="H18" s="163"/>
      <c r="I18" s="49"/>
      <c r="J18" s="125"/>
      <c r="K18" s="122"/>
      <c r="L18" s="122"/>
      <c r="M18" s="122"/>
      <c r="N18" s="122"/>
      <c r="O18" s="122"/>
      <c r="P18" s="7"/>
      <c r="Q18" s="7"/>
      <c r="S18" s="7"/>
      <c r="T18" s="7"/>
      <c r="U18" s="7"/>
      <c r="V18" s="7"/>
      <c r="AC18" s="7"/>
      <c r="AP18" s="41"/>
      <c r="AS18" s="7"/>
      <c r="AT18" s="7"/>
      <c r="AV18" s="7"/>
      <c r="AW18" s="7"/>
      <c r="AX18" s="7"/>
      <c r="AY18" s="41"/>
      <c r="AZ18" s="41"/>
      <c r="BA18" s="41"/>
      <c r="BB18" s="41"/>
      <c r="BC18" s="41"/>
      <c r="BD18" s="41"/>
    </row>
    <row r="19" spans="9:50" ht="12">
      <c r="I19" s="122"/>
      <c r="J19" s="122"/>
      <c r="K19" s="122"/>
      <c r="L19" s="122"/>
      <c r="M19" s="122"/>
      <c r="N19" s="122"/>
      <c r="O19" s="122"/>
      <c r="AS19" s="7"/>
      <c r="AT19" s="7"/>
      <c r="AV19" s="7"/>
      <c r="AW19" s="7"/>
      <c r="AX19" s="7"/>
    </row>
    <row r="20" spans="5:27" ht="12.75">
      <c r="E20" s="47" t="s">
        <v>5</v>
      </c>
      <c r="F20" s="47" t="s">
        <v>5</v>
      </c>
      <c r="G20" s="47" t="s">
        <v>5</v>
      </c>
      <c r="H20" s="47" t="s">
        <v>5</v>
      </c>
      <c r="I20" s="125"/>
      <c r="J20" s="126"/>
      <c r="K20" s="126"/>
      <c r="L20" s="126"/>
      <c r="M20" s="126"/>
      <c r="N20" s="125"/>
      <c r="O20" s="125"/>
      <c r="P20" s="7"/>
      <c r="Q20" s="7"/>
      <c r="S20" s="7"/>
      <c r="T20" s="7"/>
      <c r="U20" s="7"/>
      <c r="V20" s="7"/>
      <c r="X20" s="25"/>
      <c r="AA20" s="39"/>
    </row>
    <row r="21" spans="3:46" ht="12.75">
      <c r="C21" s="196" t="s">
        <v>280</v>
      </c>
      <c r="D21" s="202"/>
      <c r="E21" s="19" t="s">
        <v>15</v>
      </c>
      <c r="F21" s="18"/>
      <c r="G21" s="2"/>
      <c r="H21" s="2"/>
      <c r="I21" s="125"/>
      <c r="J21" s="127"/>
      <c r="K21" s="123"/>
      <c r="L21" s="127"/>
      <c r="M21" s="128"/>
      <c r="N21" s="125"/>
      <c r="O21" s="125"/>
      <c r="P21" s="7"/>
      <c r="Q21" s="7"/>
      <c r="S21" s="7"/>
      <c r="T21" s="7"/>
      <c r="U21" s="7"/>
      <c r="V21" s="7"/>
      <c r="AA21" s="30"/>
      <c r="AR21" s="18"/>
      <c r="AS21" s="20"/>
      <c r="AT21" s="33"/>
    </row>
    <row r="22" spans="3:22" ht="12.75">
      <c r="C22" s="197" t="s">
        <v>281</v>
      </c>
      <c r="D22" s="203"/>
      <c r="E22" s="19" t="s">
        <v>16</v>
      </c>
      <c r="F22" s="18"/>
      <c r="G22" s="18"/>
      <c r="H22" s="2" t="s">
        <v>17</v>
      </c>
      <c r="I22" s="125"/>
      <c r="J22" s="224" t="s">
        <v>5</v>
      </c>
      <c r="L22" s="128"/>
      <c r="M22" s="42"/>
      <c r="N22" s="125"/>
      <c r="O22" s="125"/>
      <c r="P22" s="7"/>
      <c r="Q22" s="7"/>
      <c r="S22" s="7"/>
      <c r="T22" s="7"/>
      <c r="U22" s="7"/>
      <c r="V22" s="7"/>
    </row>
    <row r="23" spans="5:22" ht="12.75">
      <c r="E23" s="3" t="s">
        <v>18</v>
      </c>
      <c r="F23" s="18" t="s">
        <v>15</v>
      </c>
      <c r="G23" s="2"/>
      <c r="H23" s="18" t="s">
        <v>19</v>
      </c>
      <c r="I23" s="125"/>
      <c r="J23" s="56" t="s">
        <v>286</v>
      </c>
      <c r="L23" s="42"/>
      <c r="M23" s="128"/>
      <c r="N23" s="125"/>
      <c r="O23" s="125"/>
      <c r="P23" s="7"/>
      <c r="Q23" s="7"/>
      <c r="S23" s="7"/>
      <c r="T23" s="7"/>
      <c r="U23" s="7"/>
      <c r="V23" s="7"/>
    </row>
    <row r="24" spans="5:22" ht="12.75">
      <c r="E24" s="2" t="s">
        <v>20</v>
      </c>
      <c r="F24" s="2" t="s">
        <v>16</v>
      </c>
      <c r="G24" s="2" t="s">
        <v>21</v>
      </c>
      <c r="H24" s="2" t="s">
        <v>8</v>
      </c>
      <c r="I24" s="125"/>
      <c r="J24" s="56" t="s">
        <v>287</v>
      </c>
      <c r="L24" s="128"/>
      <c r="M24" s="128"/>
      <c r="N24" s="125"/>
      <c r="O24" s="125"/>
      <c r="P24" s="7"/>
      <c r="Q24" s="7"/>
      <c r="S24" s="7"/>
      <c r="T24" s="7"/>
      <c r="U24" s="7"/>
      <c r="V24" s="7"/>
    </row>
    <row r="25" spans="5:22" ht="12.75">
      <c r="E25" s="19" t="s">
        <v>22</v>
      </c>
      <c r="F25" s="2" t="s">
        <v>23</v>
      </c>
      <c r="G25" s="18" t="s">
        <v>24</v>
      </c>
      <c r="H25" s="2" t="s">
        <v>25</v>
      </c>
      <c r="I25" s="125"/>
      <c r="J25" s="56" t="s">
        <v>288</v>
      </c>
      <c r="L25" s="42"/>
      <c r="M25" s="128"/>
      <c r="N25" s="125"/>
      <c r="O25" s="125"/>
      <c r="P25" s="7"/>
      <c r="Q25" s="7"/>
      <c r="S25" s="7"/>
      <c r="T25" s="7"/>
      <c r="U25" s="7"/>
      <c r="V25" s="7"/>
    </row>
    <row r="26" spans="5:22" ht="13.5">
      <c r="E26" s="2" t="s">
        <v>26</v>
      </c>
      <c r="F26" s="2" t="s">
        <v>27</v>
      </c>
      <c r="G26" s="18" t="s">
        <v>28</v>
      </c>
      <c r="H26" s="2" t="s">
        <v>29</v>
      </c>
      <c r="I26" s="125"/>
      <c r="J26" s="56" t="s">
        <v>218</v>
      </c>
      <c r="L26" s="128"/>
      <c r="M26" s="42"/>
      <c r="N26" s="125"/>
      <c r="O26" s="125"/>
      <c r="P26" s="7"/>
      <c r="Q26" s="7"/>
      <c r="S26" s="7"/>
      <c r="T26" s="7"/>
      <c r="U26" s="7"/>
      <c r="V26" s="7"/>
    </row>
    <row r="27" spans="5:22" ht="15" thickBot="1">
      <c r="E27" s="205" t="s">
        <v>30</v>
      </c>
      <c r="F27" s="12" t="s">
        <v>30</v>
      </c>
      <c r="G27" s="12" t="s">
        <v>31</v>
      </c>
      <c r="H27" s="12" t="s">
        <v>32</v>
      </c>
      <c r="I27" s="125"/>
      <c r="J27" s="63" t="s">
        <v>289</v>
      </c>
      <c r="L27" s="128"/>
      <c r="M27" s="128"/>
      <c r="N27" s="125"/>
      <c r="O27" s="125"/>
      <c r="P27" s="7"/>
      <c r="Q27" s="7"/>
      <c r="S27" s="7"/>
      <c r="T27" s="7"/>
      <c r="U27" s="7"/>
      <c r="V27" s="7"/>
    </row>
    <row r="28" spans="9:22" ht="13.5" thickTop="1">
      <c r="I28" s="125"/>
      <c r="J28" s="72"/>
      <c r="L28" s="122"/>
      <c r="M28" s="122"/>
      <c r="N28" s="125"/>
      <c r="O28" s="125"/>
      <c r="P28" s="7"/>
      <c r="Q28" s="7"/>
      <c r="S28" s="7"/>
      <c r="T28" s="7"/>
      <c r="U28" s="7"/>
      <c r="V28" s="7"/>
    </row>
    <row r="29" spans="5:22" ht="12.75">
      <c r="E29" s="169">
        <v>200</v>
      </c>
      <c r="F29" s="169">
        <v>352.5</v>
      </c>
      <c r="G29" s="169" t="s">
        <v>110</v>
      </c>
      <c r="H29" s="169">
        <v>13</v>
      </c>
      <c r="I29" s="206"/>
      <c r="J29" s="172">
        <v>5</v>
      </c>
      <c r="L29" s="207"/>
      <c r="M29" s="207"/>
      <c r="N29" s="125"/>
      <c r="O29" s="125"/>
      <c r="P29" s="7"/>
      <c r="Q29" s="7"/>
      <c r="S29" s="7"/>
      <c r="T29" s="7"/>
      <c r="U29" s="7"/>
      <c r="V29" s="7"/>
    </row>
    <row r="30" spans="5:22" ht="12">
      <c r="E30" s="208">
        <f>IF(OR(E29=15,E29=200),"","Depth to bottom of enclosed space floor must be = 15 or 200 cm.")</f>
      </c>
      <c r="F30" s="207"/>
      <c r="G30" s="207"/>
      <c r="H30" s="207"/>
      <c r="I30" s="207"/>
      <c r="J30" s="207"/>
      <c r="L30" s="207"/>
      <c r="M30" s="207"/>
      <c r="N30" s="122"/>
      <c r="O30" s="122"/>
      <c r="P30" s="7"/>
      <c r="Q30" s="7"/>
      <c r="S30" s="7"/>
      <c r="T30" s="7"/>
      <c r="U30" s="7"/>
      <c r="V30" s="7"/>
    </row>
    <row r="31" spans="5:15" ht="12.75">
      <c r="E31" s="209">
        <f>IF(INTERCALCS!G10&gt;F29-E29,"ERROR:","")</f>
      </c>
      <c r="F31" s="52">
        <f>IF(INTERCALCS!G10&gt;F29-E29,"Calculated thickness of capillary fringe (cm) is:","")</f>
      </c>
      <c r="G31" s="210"/>
      <c r="H31" s="210"/>
      <c r="I31" s="211">
        <f>IF(INTERCALCS!G10&gt;F29-E29,INTERCALCS!G10,"")</f>
      </c>
      <c r="J31" s="212"/>
      <c r="K31" s="212"/>
      <c r="L31" s="212"/>
      <c r="M31" s="212"/>
      <c r="N31" s="125"/>
      <c r="O31" s="122"/>
    </row>
    <row r="32" spans="5:15" ht="12.75">
      <c r="E32" s="210"/>
      <c r="F32" s="52">
        <f>IF(INTERCALCS!G10&gt;F29-E29,"Depth to water table minus depth to bottom of floor must be &gt; thickness of capillary fringe.","")</f>
      </c>
      <c r="G32" s="210"/>
      <c r="H32" s="210"/>
      <c r="I32" s="213"/>
      <c r="J32" s="3"/>
      <c r="K32" s="3"/>
      <c r="L32" s="3"/>
      <c r="M32" s="3"/>
      <c r="N32" s="125"/>
      <c r="O32" s="122"/>
    </row>
    <row r="33" spans="5:15" ht="12.75">
      <c r="E33" s="210"/>
      <c r="F33" s="52">
        <f>IF(ISERROR(MATCH(G29,VLOOKUP!A3:A14,0)),"Enter correct SCS soil type.","")</f>
      </c>
      <c r="G33" s="210"/>
      <c r="H33" s="210"/>
      <c r="I33" s="213"/>
      <c r="J33" s="3"/>
      <c r="K33" s="3"/>
      <c r="L33" s="3"/>
      <c r="M33" s="3"/>
      <c r="N33" s="125"/>
      <c r="O33" s="122"/>
    </row>
    <row r="34" spans="3:15" ht="12.75">
      <c r="C34" s="196" t="s">
        <v>280</v>
      </c>
      <c r="D34" s="202"/>
      <c r="E34" s="210"/>
      <c r="F34" s="52">
        <f>IF(OR(E29="",F29="",H29=""),"Enter missing data.","")</f>
      </c>
      <c r="G34" s="210"/>
      <c r="H34" s="210"/>
      <c r="I34" s="213"/>
      <c r="J34" s="3"/>
      <c r="K34" s="3"/>
      <c r="L34" s="3"/>
      <c r="M34" s="3"/>
      <c r="N34" s="125"/>
      <c r="O34" s="122"/>
    </row>
    <row r="35" spans="3:15" ht="13.5" thickBot="1">
      <c r="C35" s="197" t="s">
        <v>281</v>
      </c>
      <c r="D35" s="203"/>
      <c r="E35"/>
      <c r="F35" s="152"/>
      <c r="G35"/>
      <c r="H35"/>
      <c r="I35" s="128"/>
      <c r="J35" s="129"/>
      <c r="K35" s="129"/>
      <c r="L35" s="129"/>
      <c r="M35" s="129"/>
      <c r="N35" s="125"/>
      <c r="O35" s="122"/>
    </row>
    <row r="36" spans="5:51" ht="12.75">
      <c r="E36" s="139" t="s">
        <v>5</v>
      </c>
      <c r="F36" s="140"/>
      <c r="G36" s="134" t="s">
        <v>5</v>
      </c>
      <c r="H36" s="225"/>
      <c r="I36"/>
      <c r="J36" s="128"/>
      <c r="K36" s="129"/>
      <c r="L36" s="129"/>
      <c r="M36" s="128"/>
      <c r="N36" s="129"/>
      <c r="O36" s="125"/>
      <c r="P36" s="122"/>
      <c r="R36" s="23"/>
      <c r="S36" s="7"/>
      <c r="W36" s="23"/>
      <c r="AC36" s="7"/>
      <c r="AD36" s="30"/>
      <c r="AS36" s="7"/>
      <c r="AT36" s="24"/>
      <c r="AU36" s="34"/>
      <c r="AV36" s="7"/>
      <c r="AX36" s="34"/>
      <c r="AY36" s="24"/>
    </row>
    <row r="37" spans="5:51" ht="12.75">
      <c r="E37" s="137" t="s">
        <v>34</v>
      </c>
      <c r="F37" s="141"/>
      <c r="G37" s="135" t="s">
        <v>35</v>
      </c>
      <c r="H37" s="225" t="s">
        <v>5</v>
      </c>
      <c r="I37" s="47" t="s">
        <v>5</v>
      </c>
      <c r="J37" s="48" t="s">
        <v>5</v>
      </c>
      <c r="K37" s="48" t="s">
        <v>5</v>
      </c>
      <c r="M37" s="128"/>
      <c r="N37" s="129"/>
      <c r="O37" s="125"/>
      <c r="P37" s="122"/>
      <c r="R37" s="23"/>
      <c r="S37" s="7"/>
      <c r="W37" s="23"/>
      <c r="AC37" s="7"/>
      <c r="AD37" s="30"/>
      <c r="AS37" s="7"/>
      <c r="AT37" s="24"/>
      <c r="AU37" s="34"/>
      <c r="AV37" s="7"/>
      <c r="AX37" s="34"/>
      <c r="AY37" s="24"/>
    </row>
    <row r="38" spans="5:51" ht="12.75">
      <c r="E38" s="137" t="s">
        <v>21</v>
      </c>
      <c r="F38" s="141"/>
      <c r="G38" s="135" t="s">
        <v>290</v>
      </c>
      <c r="H38" s="1" t="s">
        <v>34</v>
      </c>
      <c r="I38" s="1" t="s">
        <v>34</v>
      </c>
      <c r="J38" s="1" t="s">
        <v>34</v>
      </c>
      <c r="K38" s="19" t="s">
        <v>34</v>
      </c>
      <c r="M38" s="131"/>
      <c r="N38" s="129"/>
      <c r="O38" s="125"/>
      <c r="P38" s="122"/>
      <c r="R38" s="23"/>
      <c r="S38" s="7"/>
      <c r="W38" s="23"/>
      <c r="AC38" s="7"/>
      <c r="AD38" s="30"/>
      <c r="AS38" s="7"/>
      <c r="AT38" s="24"/>
      <c r="AU38" s="34"/>
      <c r="AV38" s="7"/>
      <c r="AX38" s="34"/>
      <c r="AY38" s="24"/>
    </row>
    <row r="39" spans="5:51" ht="12.75">
      <c r="E39" s="137" t="s">
        <v>24</v>
      </c>
      <c r="F39" s="141"/>
      <c r="G39" s="135" t="s">
        <v>36</v>
      </c>
      <c r="H39" s="226" t="s">
        <v>21</v>
      </c>
      <c r="I39" s="1" t="s">
        <v>37</v>
      </c>
      <c r="J39" s="1" t="s">
        <v>38</v>
      </c>
      <c r="K39" s="19" t="s">
        <v>39</v>
      </c>
      <c r="M39" s="129"/>
      <c r="N39" s="129"/>
      <c r="O39" s="125"/>
      <c r="P39" s="122"/>
      <c r="R39" s="23"/>
      <c r="S39" s="7"/>
      <c r="W39" s="23"/>
      <c r="AC39" s="7"/>
      <c r="AD39" s="30"/>
      <c r="AS39" s="7"/>
      <c r="AT39" s="24"/>
      <c r="AU39" s="34"/>
      <c r="AV39" s="7"/>
      <c r="AX39" s="34"/>
      <c r="AY39" s="24"/>
    </row>
    <row r="40" spans="5:51" ht="12.75">
      <c r="E40" s="137" t="s">
        <v>40</v>
      </c>
      <c r="F40" s="142" t="s">
        <v>2</v>
      </c>
      <c r="G40" s="135" t="s">
        <v>41</v>
      </c>
      <c r="H40" s="226" t="s">
        <v>24</v>
      </c>
      <c r="I40" s="2" t="s">
        <v>42</v>
      </c>
      <c r="J40" s="19" t="s">
        <v>43</v>
      </c>
      <c r="K40" s="19" t="s">
        <v>43</v>
      </c>
      <c r="M40" s="132"/>
      <c r="N40" s="132"/>
      <c r="O40" s="125"/>
      <c r="P40" s="122"/>
      <c r="R40" s="23"/>
      <c r="S40" s="7"/>
      <c r="W40" s="23"/>
      <c r="AC40" s="7"/>
      <c r="AD40" s="30"/>
      <c r="AS40" s="7"/>
      <c r="AT40" s="24"/>
      <c r="AU40" s="34"/>
      <c r="AV40" s="7"/>
      <c r="AX40" s="34"/>
      <c r="AY40" s="24"/>
    </row>
    <row r="41" spans="5:51" ht="15">
      <c r="E41" s="137" t="s">
        <v>36</v>
      </c>
      <c r="F41" s="141"/>
      <c r="G41" s="135" t="s">
        <v>44</v>
      </c>
      <c r="I41" s="5" t="s">
        <v>45</v>
      </c>
      <c r="J41" s="19" t="s">
        <v>46</v>
      </c>
      <c r="K41" s="6" t="s">
        <v>47</v>
      </c>
      <c r="M41" s="207"/>
      <c r="N41" s="51"/>
      <c r="O41" s="125"/>
      <c r="P41" s="122"/>
      <c r="R41" s="23"/>
      <c r="S41" s="7"/>
      <c r="W41" s="23"/>
      <c r="AC41" s="7"/>
      <c r="AD41" s="30"/>
      <c r="AS41" s="7"/>
      <c r="AT41" s="24"/>
      <c r="AU41" s="34"/>
      <c r="AV41" s="7"/>
      <c r="AX41" s="34"/>
      <c r="AY41" s="24"/>
    </row>
    <row r="42" spans="5:51" ht="15.75" thickBot="1">
      <c r="E42" s="138" t="s">
        <v>48</v>
      </c>
      <c r="F42" s="141"/>
      <c r="G42" s="136" t="s">
        <v>49</v>
      </c>
      <c r="H42" s="227"/>
      <c r="I42" s="12" t="s">
        <v>50</v>
      </c>
      <c r="J42" s="22" t="s">
        <v>51</v>
      </c>
      <c r="K42" s="22" t="s">
        <v>52</v>
      </c>
      <c r="M42" s="122"/>
      <c r="N42" s="122"/>
      <c r="O42" s="122"/>
      <c r="P42" s="122"/>
      <c r="R42" s="23"/>
      <c r="S42" s="7"/>
      <c r="W42" s="23"/>
      <c r="AC42" s="7"/>
      <c r="AD42" s="30"/>
      <c r="AS42" s="7"/>
      <c r="AT42" s="24"/>
      <c r="AU42" s="34"/>
      <c r="AV42" s="7"/>
      <c r="AX42" s="34"/>
      <c r="AY42" s="24"/>
    </row>
    <row r="43" spans="5:51" ht="13.5" thickTop="1">
      <c r="E43" s="143"/>
      <c r="F43" s="141"/>
      <c r="G43" s="144"/>
      <c r="J43" s="23"/>
      <c r="K43" s="23"/>
      <c r="M43" s="126"/>
      <c r="N43" s="126"/>
      <c r="O43" s="126"/>
      <c r="P43" s="126"/>
      <c r="R43" s="23"/>
      <c r="S43" s="7"/>
      <c r="W43" s="23"/>
      <c r="AC43" s="7"/>
      <c r="AD43" s="30"/>
      <c r="AS43" s="7"/>
      <c r="AT43" s="24"/>
      <c r="AU43" s="34"/>
      <c r="AV43" s="7"/>
      <c r="AX43" s="34"/>
      <c r="AY43" s="24"/>
    </row>
    <row r="44" spans="5:51" ht="13.5" thickBot="1">
      <c r="E44" s="170" t="s">
        <v>110</v>
      </c>
      <c r="F44" s="145"/>
      <c r="G44" s="171"/>
      <c r="H44" s="228" t="s">
        <v>110</v>
      </c>
      <c r="I44" s="169">
        <v>1.66</v>
      </c>
      <c r="J44" s="172">
        <v>0.375</v>
      </c>
      <c r="K44" s="172">
        <v>0.054</v>
      </c>
      <c r="M44" s="133"/>
      <c r="N44" s="128"/>
      <c r="O44" s="128"/>
      <c r="P44" s="128"/>
      <c r="R44" s="23"/>
      <c r="S44" s="7"/>
      <c r="W44" s="23"/>
      <c r="AC44" s="7"/>
      <c r="AD44" s="30"/>
      <c r="AS44" s="7"/>
      <c r="AT44" s="24"/>
      <c r="AU44" s="34"/>
      <c r="AV44" s="7"/>
      <c r="AX44" s="34"/>
      <c r="AY44" s="24"/>
    </row>
    <row r="45" spans="5:51" ht="12.75">
      <c r="E45" s="207"/>
      <c r="F45" s="206"/>
      <c r="G45" s="214"/>
      <c r="H45" s="214"/>
      <c r="I45" s="207"/>
      <c r="J45" s="215"/>
      <c r="K45" s="215"/>
      <c r="L45" s="212"/>
      <c r="M45" s="216"/>
      <c r="N45" s="213"/>
      <c r="O45" s="128"/>
      <c r="P45" s="128"/>
      <c r="R45" s="23"/>
      <c r="S45" s="7"/>
      <c r="W45" s="23"/>
      <c r="AC45" s="7"/>
      <c r="AD45" s="30"/>
      <c r="AS45" s="7"/>
      <c r="AT45" s="24"/>
      <c r="AU45" s="34"/>
      <c r="AV45" s="7"/>
      <c r="AX45" s="34"/>
      <c r="AY45" s="24"/>
    </row>
    <row r="46" spans="5:51" ht="12.75">
      <c r="E46" s="52">
        <f>IF(AND(G44&gt;0,E44=""),"",IF(ISERROR(MATCH(E44,Soil_Type,0)),"Enter correct SCS soil type, or user-defined permeability.",""))</f>
      </c>
      <c r="F46" s="53"/>
      <c r="G46" s="53"/>
      <c r="H46" s="53"/>
      <c r="I46" s="217">
        <f>IF(INTERCALCS!J10&gt;J44,"Capillary zone soil water-filled porosity &gt; vadose zone soil total porosity.","")</f>
      </c>
      <c r="J46" s="210"/>
      <c r="K46" s="210"/>
      <c r="L46" s="54"/>
      <c r="M46" s="57"/>
      <c r="N46" s="59"/>
      <c r="O46" s="2"/>
      <c r="P46" s="2"/>
      <c r="R46" s="23"/>
      <c r="S46" s="7"/>
      <c r="W46" s="23"/>
      <c r="AC46" s="7"/>
      <c r="AD46" s="30"/>
      <c r="AS46" s="7"/>
      <c r="AT46" s="24"/>
      <c r="AU46" s="34"/>
      <c r="AV46" s="7"/>
      <c r="AX46" s="34"/>
      <c r="AY46" s="24"/>
    </row>
    <row r="47" spans="5:51" ht="12.75">
      <c r="E47" s="52">
        <f>IF(AND(E44&gt;0,G44&gt;0),"Enter either a vadose zone SCS soil type OR a user-defined permeability.","")</f>
      </c>
      <c r="F47" s="210"/>
      <c r="G47" s="210"/>
      <c r="H47" s="210"/>
      <c r="I47" s="53"/>
      <c r="J47" s="217">
        <f>IF(INTERCALCS!J10&gt;J44,"Change value of vadose zone soil total porosity.","")</f>
      </c>
      <c r="K47" s="210"/>
      <c r="L47" s="54"/>
      <c r="M47" s="57"/>
      <c r="N47" s="59"/>
      <c r="O47" s="2"/>
      <c r="P47" s="2"/>
      <c r="R47" s="23"/>
      <c r="S47" s="7"/>
      <c r="W47" s="23"/>
      <c r="AC47" s="7"/>
      <c r="AD47" s="30"/>
      <c r="AS47" s="7"/>
      <c r="AT47" s="24"/>
      <c r="AU47" s="34"/>
      <c r="AV47" s="7"/>
      <c r="AX47" s="34"/>
      <c r="AY47" s="24"/>
    </row>
    <row r="48" spans="5:51" ht="12.75">
      <c r="E48" s="52">
        <f>IF(OR(I44="",J44="",K44=""),"Enter missing data.","")</f>
      </c>
      <c r="F48" s="210"/>
      <c r="G48" s="210"/>
      <c r="H48" s="210"/>
      <c r="I48" s="210"/>
      <c r="J48" s="210"/>
      <c r="K48" s="210"/>
      <c r="L48" s="54"/>
      <c r="M48" s="57"/>
      <c r="N48" s="59"/>
      <c r="O48" s="2"/>
      <c r="P48" s="2"/>
      <c r="R48" s="23"/>
      <c r="S48" s="7"/>
      <c r="W48" s="23"/>
      <c r="AC48" s="7"/>
      <c r="AD48" s="30"/>
      <c r="AS48" s="7"/>
      <c r="AT48" s="24"/>
      <c r="AU48" s="34"/>
      <c r="AV48" s="7"/>
      <c r="AX48" s="34"/>
      <c r="AY48" s="24"/>
    </row>
    <row r="49" spans="3:51" ht="12.75">
      <c r="C49" s="196" t="s">
        <v>280</v>
      </c>
      <c r="D49" s="202"/>
      <c r="E49" s="52"/>
      <c r="F49" s="210"/>
      <c r="G49" s="210"/>
      <c r="H49" s="210"/>
      <c r="I49" s="210"/>
      <c r="J49" s="210"/>
      <c r="K49" s="210"/>
      <c r="L49" s="54"/>
      <c r="M49" s="57"/>
      <c r="N49" s="59"/>
      <c r="O49" s="2"/>
      <c r="P49" s="2"/>
      <c r="R49" s="23"/>
      <c r="S49" s="7"/>
      <c r="W49" s="23"/>
      <c r="AC49" s="7"/>
      <c r="AD49" s="30"/>
      <c r="AS49" s="7"/>
      <c r="AT49" s="24"/>
      <c r="AU49" s="34"/>
      <c r="AV49" s="7"/>
      <c r="AX49" s="34"/>
      <c r="AY49" s="24"/>
    </row>
    <row r="50" spans="3:15" ht="12.75">
      <c r="C50" s="197" t="s">
        <v>281</v>
      </c>
      <c r="D50" s="203"/>
      <c r="E50" s="50" t="s">
        <v>5</v>
      </c>
      <c r="F50" s="48" t="s">
        <v>5</v>
      </c>
      <c r="G50" s="48" t="s">
        <v>5</v>
      </c>
      <c r="H50" s="48" t="s">
        <v>5</v>
      </c>
      <c r="I50" s="48" t="s">
        <v>5</v>
      </c>
      <c r="J50" s="48" t="s">
        <v>5</v>
      </c>
      <c r="K50" s="19"/>
      <c r="L50" s="21"/>
      <c r="M50" s="2"/>
      <c r="N50" s="2"/>
      <c r="O50" s="2"/>
    </row>
    <row r="51" spans="5:15" ht="12.75">
      <c r="E51" s="1" t="s">
        <v>54</v>
      </c>
      <c r="F51" s="19" t="s">
        <v>55</v>
      </c>
      <c r="G51" s="19" t="s">
        <v>56</v>
      </c>
      <c r="H51" s="19" t="s">
        <v>56</v>
      </c>
      <c r="I51" s="46"/>
      <c r="J51" s="19"/>
      <c r="K51" s="131"/>
      <c r="L51" s="133"/>
      <c r="M51" s="130"/>
      <c r="N51" s="128"/>
      <c r="O51" s="128"/>
    </row>
    <row r="52" spans="5:15" ht="12">
      <c r="E52" s="1" t="s">
        <v>57</v>
      </c>
      <c r="F52" s="46" t="s">
        <v>58</v>
      </c>
      <c r="G52" s="19" t="s">
        <v>59</v>
      </c>
      <c r="H52" s="19" t="s">
        <v>59</v>
      </c>
      <c r="I52" s="19" t="s">
        <v>60</v>
      </c>
      <c r="J52" s="19" t="s">
        <v>60</v>
      </c>
      <c r="K52" s="129"/>
      <c r="L52" s="133"/>
      <c r="M52" s="128"/>
      <c r="N52" s="128"/>
      <c r="O52" s="128"/>
    </row>
    <row r="53" spans="5:15" ht="12">
      <c r="E53" s="18" t="s">
        <v>61</v>
      </c>
      <c r="F53" s="19" t="s">
        <v>62</v>
      </c>
      <c r="G53" s="19" t="s">
        <v>61</v>
      </c>
      <c r="H53" s="19" t="s">
        <v>62</v>
      </c>
      <c r="I53" s="19" t="s">
        <v>63</v>
      </c>
      <c r="J53" s="19" t="s">
        <v>64</v>
      </c>
      <c r="K53" s="218"/>
      <c r="L53" s="219"/>
      <c r="M53" s="219"/>
      <c r="N53" s="219"/>
      <c r="O53" s="219"/>
    </row>
    <row r="54" spans="5:15" ht="13.5">
      <c r="E54" s="1" t="s">
        <v>65</v>
      </c>
      <c r="F54" s="46" t="s">
        <v>66</v>
      </c>
      <c r="G54" s="19" t="s">
        <v>67</v>
      </c>
      <c r="H54" s="19" t="s">
        <v>68</v>
      </c>
      <c r="I54" s="19" t="s">
        <v>69</v>
      </c>
      <c r="J54" s="19" t="s">
        <v>70</v>
      </c>
      <c r="K54" s="215"/>
      <c r="L54" s="207"/>
      <c r="M54" s="207"/>
      <c r="N54" s="207"/>
      <c r="O54" s="207"/>
    </row>
    <row r="55" spans="5:15" ht="12.75" thickBot="1">
      <c r="E55" s="13" t="s">
        <v>51</v>
      </c>
      <c r="F55" s="22" t="s">
        <v>51</v>
      </c>
      <c r="G55" s="22" t="s">
        <v>71</v>
      </c>
      <c r="H55" s="22" t="s">
        <v>71</v>
      </c>
      <c r="I55" s="22" t="s">
        <v>71</v>
      </c>
      <c r="J55" s="22" t="s">
        <v>72</v>
      </c>
      <c r="K55" s="207"/>
      <c r="L55" s="207"/>
      <c r="M55" s="207"/>
      <c r="N55" s="207"/>
      <c r="O55" s="220"/>
    </row>
    <row r="56" spans="5:15" ht="13.5" thickTop="1">
      <c r="E56" s="30"/>
      <c r="F56" s="23"/>
      <c r="G56" s="23"/>
      <c r="H56" s="23"/>
      <c r="I56" s="23"/>
      <c r="J56" s="23"/>
      <c r="K56" s="221"/>
      <c r="L56" s="221"/>
      <c r="M56" s="221"/>
      <c r="N56" s="206"/>
      <c r="O56" s="206"/>
    </row>
    <row r="57" spans="5:15" ht="12.75">
      <c r="E57" s="173">
        <v>1E-06</v>
      </c>
      <c r="F57" s="169">
        <v>1</v>
      </c>
      <c r="G57" s="169">
        <v>70</v>
      </c>
      <c r="H57" s="169">
        <v>26</v>
      </c>
      <c r="I57" s="169">
        <v>26</v>
      </c>
      <c r="J57" s="169">
        <v>350</v>
      </c>
      <c r="K57" s="213"/>
      <c r="L57" s="222"/>
      <c r="M57" s="213"/>
      <c r="N57" s="206"/>
      <c r="O57" s="206"/>
    </row>
    <row r="58" spans="5:15" ht="12.75">
      <c r="E58" s="155"/>
      <c r="F58" s="156"/>
      <c r="G58"/>
      <c r="H58"/>
      <c r="I58"/>
      <c r="J58"/>
      <c r="K58" s="213"/>
      <c r="L58" s="222"/>
      <c r="M58" s="213"/>
      <c r="N58" s="206"/>
      <c r="O58" s="206"/>
    </row>
    <row r="59" spans="5:15" ht="12.75">
      <c r="E59" s="157" t="s">
        <v>73</v>
      </c>
      <c r="F59" s="158"/>
      <c r="G59" s="152">
        <f>IF(AND(G4&gt;0,CHEMPROPS!J9&gt;0,E57=""),"Enter missing data.",IF(AND(G4&gt;0,CHEMPROPS!K9&gt;0,F57=""),"Enter missing data.",""))</f>
      </c>
      <c r="H59"/>
      <c r="I59"/>
      <c r="J59"/>
      <c r="K59" s="128"/>
      <c r="L59" s="42"/>
      <c r="M59" s="128"/>
      <c r="N59" s="125"/>
      <c r="O59" s="125"/>
    </row>
    <row r="60" spans="5:15" ht="12.75">
      <c r="E60" s="159" t="s">
        <v>74</v>
      </c>
      <c r="F60" s="160"/>
      <c r="G60" s="152">
        <f>IF(OR(I57="",J57=""),"Enter missing data.","")</f>
      </c>
      <c r="H60"/>
      <c r="I60"/>
      <c r="J60"/>
      <c r="K60" s="128"/>
      <c r="L60" s="42"/>
      <c r="M60" s="128"/>
      <c r="N60" s="125"/>
      <c r="O60" s="125"/>
    </row>
    <row r="61" spans="5:15" ht="12.75">
      <c r="E61" s="152"/>
      <c r="F61"/>
      <c r="G61" s="152">
        <f>IF(AND(CHEMPROPS!J9&gt;0,G57=""),"Enter missing data.",IF(AND(CHEMPROPS!K9&gt;0,H57=""),"Enter missing data.",""))</f>
      </c>
      <c r="H61"/>
      <c r="I61"/>
      <c r="J61"/>
      <c r="K61" s="213"/>
      <c r="L61" s="222"/>
      <c r="M61" s="213"/>
      <c r="N61" s="125"/>
      <c r="O61" s="125"/>
    </row>
    <row r="62" spans="2:15" ht="12.75">
      <c r="B62" s="223"/>
      <c r="C62" s="198" t="s">
        <v>282</v>
      </c>
      <c r="D62" s="202"/>
      <c r="E62" s="210"/>
      <c r="F62"/>
      <c r="G62"/>
      <c r="H62"/>
      <c r="I62"/>
      <c r="J62"/>
      <c r="K62" s="213"/>
      <c r="L62" s="222"/>
      <c r="M62" s="213"/>
      <c r="N62" s="125"/>
      <c r="O62" s="125"/>
    </row>
    <row r="63" spans="5:15" ht="12.75">
      <c r="E63"/>
      <c r="F63"/>
      <c r="G63"/>
      <c r="H63"/>
      <c r="I63"/>
      <c r="J63"/>
      <c r="K63" s="213"/>
      <c r="L63" s="222"/>
      <c r="M63" s="213"/>
      <c r="N63" s="125"/>
      <c r="O63" s="125"/>
    </row>
    <row r="64" spans="5:15" ht="12.75">
      <c r="E64"/>
      <c r="F64"/>
      <c r="G64"/>
      <c r="H64"/>
      <c r="I64"/>
      <c r="J64"/>
      <c r="K64" s="219"/>
      <c r="L64" s="219"/>
      <c r="M64" s="219"/>
      <c r="N64" s="125"/>
      <c r="O64" s="125"/>
    </row>
    <row r="65" spans="5:15" ht="12.75">
      <c r="E65"/>
      <c r="F65"/>
      <c r="G65"/>
      <c r="H65"/>
      <c r="I65"/>
      <c r="J65"/>
      <c r="K65" s="207"/>
      <c r="L65" s="220"/>
      <c r="M65" s="207"/>
      <c r="N65" s="125"/>
      <c r="O65" s="125"/>
    </row>
    <row r="66" spans="6:13" ht="12.75">
      <c r="F66"/>
      <c r="H66"/>
      <c r="I66"/>
      <c r="J66"/>
      <c r="K66" s="210"/>
      <c r="L66" s="53"/>
      <c r="M66" s="53"/>
    </row>
    <row r="67" spans="9:12" ht="12.75">
      <c r="I67"/>
      <c r="J67"/>
      <c r="K67"/>
      <c r="L67"/>
    </row>
    <row r="68" spans="9:12" ht="12.75">
      <c r="I68"/>
      <c r="J68"/>
      <c r="K68"/>
      <c r="L68"/>
    </row>
    <row r="69" spans="9:12" ht="12.75">
      <c r="I69"/>
      <c r="J69"/>
      <c r="K69"/>
      <c r="L69"/>
    </row>
    <row r="70" spans="9:12" ht="12.75">
      <c r="I70"/>
      <c r="J70"/>
      <c r="K70"/>
      <c r="L70"/>
    </row>
    <row r="71" spans="9:12" ht="12.75">
      <c r="I71"/>
      <c r="J71"/>
      <c r="K71"/>
      <c r="L71"/>
    </row>
    <row r="72" spans="9:12" ht="12.75">
      <c r="I72"/>
      <c r="J72"/>
      <c r="K72"/>
      <c r="L72"/>
    </row>
    <row r="73" spans="9:12" ht="12.75">
      <c r="I73"/>
      <c r="J73"/>
      <c r="K73"/>
      <c r="L73"/>
    </row>
    <row r="74" spans="9:12" ht="12.75">
      <c r="I74"/>
      <c r="J74"/>
      <c r="K74"/>
      <c r="L74"/>
    </row>
  </sheetData>
  <sheetProtection password="CDDA" sheet="1" objects="1" scenarios="1"/>
  <mergeCells count="3">
    <mergeCell ref="G16:H16"/>
    <mergeCell ref="B2:C2"/>
    <mergeCell ref="B3:C3"/>
  </mergeCells>
  <dataValidations count="3">
    <dataValidation type="list" allowBlank="1" sqref="E44 G29">
      <formula1>Soil_Type</formula1>
    </dataValidation>
    <dataValidation type="list" allowBlank="1" sqref="E18">
      <formula1>CAS_No</formula1>
    </dataValidation>
    <dataValidation type="list" allowBlank="1" showInputMessage="1" showErrorMessage="1" sqref="H44">
      <formula1>Soil_Type</formula1>
    </dataValidation>
  </dataValidations>
  <printOptions horizontalCentered="1"/>
  <pageMargins left="0.5" right="0.5" top="0.6" bottom="0.6" header="0.5" footer="0.5"/>
  <pageSetup horizontalDpi="300" verticalDpi="300" orientation="landscape" scale="65" r:id="rId2"/>
  <headerFooter alignWithMargins="0">
    <oddHeader>&amp;CDATA ENTRY SHEET</oddHeader>
    <oddFooter>&amp;C&amp;P of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14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2" width="10.421875" style="30" customWidth="1"/>
    <col min="3" max="3" width="12.7109375" style="30" customWidth="1"/>
    <col min="4" max="4" width="12.28125" style="7" customWidth="1"/>
    <col min="5" max="5" width="14.421875" style="7" customWidth="1"/>
    <col min="6" max="6" width="7.7109375" style="34" customWidth="1"/>
    <col min="7" max="7" width="12.28125" style="34" customWidth="1"/>
    <col min="8" max="9" width="11.140625" style="30" customWidth="1"/>
    <col min="10" max="10" width="9.421875" style="30" customWidth="1"/>
    <col min="11" max="11" width="10.140625" style="7" customWidth="1"/>
    <col min="12" max="16384" width="9.140625" style="7" customWidth="1"/>
  </cols>
  <sheetData>
    <row r="1" spans="1:11" ht="12">
      <c r="A1" s="26"/>
      <c r="B1" s="26"/>
      <c r="C1" s="1"/>
      <c r="D1" s="1"/>
      <c r="E1" s="27"/>
      <c r="F1" s="33"/>
      <c r="G1" s="33"/>
      <c r="H1" s="1"/>
      <c r="I1" s="1"/>
      <c r="J1" s="1"/>
      <c r="K1" s="1"/>
    </row>
    <row r="2" spans="1:11" ht="12">
      <c r="A2" s="1"/>
      <c r="B2" s="1"/>
      <c r="C2" s="1" t="s">
        <v>75</v>
      </c>
      <c r="D2" s="2" t="s">
        <v>75</v>
      </c>
      <c r="E2" s="29" t="s">
        <v>76</v>
      </c>
      <c r="F2" s="32"/>
      <c r="G2" s="32"/>
      <c r="H2" s="1" t="s">
        <v>77</v>
      </c>
      <c r="I2" s="1" t="s">
        <v>78</v>
      </c>
      <c r="J2" s="1"/>
      <c r="K2" s="1"/>
    </row>
    <row r="3" spans="1:11" ht="12">
      <c r="A3" s="1"/>
      <c r="B3" s="1"/>
      <c r="C3" s="1" t="s">
        <v>79</v>
      </c>
      <c r="D3" s="2" t="s">
        <v>79</v>
      </c>
      <c r="E3" s="29" t="s">
        <v>80</v>
      </c>
      <c r="F3" s="32" t="s">
        <v>81</v>
      </c>
      <c r="G3" s="32"/>
      <c r="H3" s="1" t="s">
        <v>82</v>
      </c>
      <c r="I3" s="1" t="s">
        <v>83</v>
      </c>
      <c r="J3" s="1" t="s">
        <v>84</v>
      </c>
      <c r="K3" s="1"/>
    </row>
    <row r="4" spans="1:11" ht="12">
      <c r="A4" s="1" t="s">
        <v>85</v>
      </c>
      <c r="B4" s="1" t="s">
        <v>85</v>
      </c>
      <c r="C4" s="28" t="s">
        <v>86</v>
      </c>
      <c r="D4" s="18" t="s">
        <v>87</v>
      </c>
      <c r="E4" s="29" t="s">
        <v>88</v>
      </c>
      <c r="F4" s="32" t="s">
        <v>89</v>
      </c>
      <c r="G4" s="32" t="s">
        <v>90</v>
      </c>
      <c r="H4" s="1" t="s">
        <v>91</v>
      </c>
      <c r="I4" s="1" t="s">
        <v>92</v>
      </c>
      <c r="J4" s="1" t="s">
        <v>93</v>
      </c>
      <c r="K4" s="1" t="s">
        <v>94</v>
      </c>
    </row>
    <row r="5" spans="1:11" ht="12">
      <c r="A5" s="1" t="s">
        <v>95</v>
      </c>
      <c r="B5" s="1" t="s">
        <v>96</v>
      </c>
      <c r="C5" s="28" t="s">
        <v>25</v>
      </c>
      <c r="D5" s="18" t="s">
        <v>25</v>
      </c>
      <c r="E5" s="27" t="s">
        <v>97</v>
      </c>
      <c r="F5" s="33" t="s">
        <v>98</v>
      </c>
      <c r="G5" s="33" t="s">
        <v>25</v>
      </c>
      <c r="H5" s="1" t="s">
        <v>99</v>
      </c>
      <c r="I5" s="1" t="s">
        <v>100</v>
      </c>
      <c r="J5" s="1" t="s">
        <v>101</v>
      </c>
      <c r="K5" s="1" t="s">
        <v>10</v>
      </c>
    </row>
    <row r="6" spans="1:11" ht="13.5">
      <c r="A6" s="1" t="s">
        <v>102</v>
      </c>
      <c r="B6" s="1" t="s">
        <v>103</v>
      </c>
      <c r="C6" s="1" t="s">
        <v>104</v>
      </c>
      <c r="D6" s="1" t="s">
        <v>105</v>
      </c>
      <c r="E6" s="4" t="s">
        <v>106</v>
      </c>
      <c r="F6" s="33" t="s">
        <v>107</v>
      </c>
      <c r="G6" s="33" t="s">
        <v>108</v>
      </c>
      <c r="H6" s="1" t="s">
        <v>109</v>
      </c>
      <c r="I6" s="1" t="s">
        <v>110</v>
      </c>
      <c r="J6" s="1" t="s">
        <v>111</v>
      </c>
      <c r="K6" s="1" t="s">
        <v>112</v>
      </c>
    </row>
    <row r="7" spans="1:11" ht="15" thickBot="1">
      <c r="A7" s="13" t="s">
        <v>113</v>
      </c>
      <c r="B7" s="13" t="s">
        <v>113</v>
      </c>
      <c r="C7" s="13" t="s">
        <v>114</v>
      </c>
      <c r="D7" s="13" t="s">
        <v>32</v>
      </c>
      <c r="E7" s="15" t="s">
        <v>115</v>
      </c>
      <c r="F7" s="14" t="s">
        <v>116</v>
      </c>
      <c r="G7" s="14" t="s">
        <v>116</v>
      </c>
      <c r="H7" s="13" t="s">
        <v>117</v>
      </c>
      <c r="I7" s="13" t="s">
        <v>118</v>
      </c>
      <c r="J7" s="13" t="s">
        <v>119</v>
      </c>
      <c r="K7" s="13" t="s">
        <v>120</v>
      </c>
    </row>
    <row r="8" ht="12.75" thickTop="1">
      <c r="E8" s="31"/>
    </row>
    <row r="9" spans="1:11" ht="12">
      <c r="A9" s="174">
        <f>VLOOKUP(DATENTER!E18,Chemical_Data,4,FALSE)</f>
        <v>0.089534</v>
      </c>
      <c r="B9" s="174">
        <f>VLOOKUP(DATENTER!E18,Chemical_Data,5,FALSE)</f>
        <v>1.0263E-05</v>
      </c>
      <c r="C9" s="174">
        <f>VLOOKUP(DATENTER!E18,Chemical_Data,8,FALSE)</f>
        <v>0.00555</v>
      </c>
      <c r="D9" s="175">
        <f>VLOOKUP(DATENTER!E18,Chemical_Data,9,FALSE)</f>
        <v>25</v>
      </c>
      <c r="E9" s="176">
        <f>VLOOKUP(DATENTER!E18,Chemical_Data,12,FALSE)</f>
        <v>7342</v>
      </c>
      <c r="F9" s="177">
        <f>VLOOKUP(DATENTER!E18,Chemical_Data,10,FALSE)</f>
        <v>353.15</v>
      </c>
      <c r="G9" s="177">
        <f>VLOOKUP(DATENTER!E18,Chemical_Data,11,FALSE)</f>
        <v>562</v>
      </c>
      <c r="H9" s="174">
        <f>VLOOKUP(DATENTER!E18,Chemical_Data,3,FALSE)</f>
        <v>145.8</v>
      </c>
      <c r="I9" s="178">
        <f>VLOOKUP(DATENTER!E18,Chemical_Data,6,FALSE)</f>
        <v>1790</v>
      </c>
      <c r="J9" s="179">
        <f>VLOOKUP(DATENTER!E18,Chemical_Data,13,FALSE)</f>
        <v>7.8E-06</v>
      </c>
      <c r="K9" s="179">
        <f>VLOOKUP(DATENTER!E18,Chemical_Data,14,FALSE)</f>
        <v>0.03</v>
      </c>
    </row>
    <row r="11" spans="1:12" ht="12">
      <c r="A11" s="198" t="s">
        <v>282</v>
      </c>
      <c r="B11" s="35"/>
      <c r="C11" s="35"/>
      <c r="D11" s="36"/>
      <c r="E11" s="37"/>
      <c r="F11" s="38"/>
      <c r="G11" s="38"/>
      <c r="H11" s="164">
        <f>IF(DATENTER!E18=7439976,"Listed value of Koc is actually value of Kd for mercury.","")</f>
      </c>
      <c r="I11" s="165"/>
      <c r="J11" s="166"/>
      <c r="K11" s="167"/>
      <c r="L11" s="17"/>
    </row>
    <row r="13" spans="1:6" ht="12">
      <c r="A13" s="1"/>
      <c r="B13" s="1"/>
      <c r="C13" s="1"/>
      <c r="D13" s="2"/>
      <c r="E13" s="2"/>
      <c r="F13" s="32"/>
    </row>
    <row r="14" spans="1:5" ht="12">
      <c r="A14" s="35"/>
      <c r="B14" s="35"/>
      <c r="C14" s="39"/>
      <c r="D14" s="24"/>
      <c r="E14" s="24"/>
    </row>
  </sheetData>
  <sheetProtection password="CDDA" sheet="1"/>
  <printOptions horizontalCentered="1"/>
  <pageMargins left="0.5" right="0.5" top="0.65" bottom="0.65" header="0.5" footer="0.5"/>
  <pageSetup horizontalDpi="300" verticalDpi="300" orientation="landscape" scale="70" r:id="rId1"/>
  <headerFooter alignWithMargins="0">
    <oddHeader>&amp;CCHEMICAL PROPERTIES SHEET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35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12.28125" style="7" customWidth="1"/>
    <col min="2" max="2" width="11.57421875" style="7" customWidth="1"/>
    <col min="3" max="3" width="10.7109375" style="7" customWidth="1"/>
    <col min="4" max="4" width="13.28125" style="7" customWidth="1"/>
    <col min="5" max="7" width="16.8515625" style="7" customWidth="1"/>
    <col min="8" max="8" width="12.8515625" style="7" customWidth="1"/>
    <col min="9" max="10" width="13.28125" style="7" customWidth="1"/>
    <col min="11" max="12" width="11.57421875" style="7" customWidth="1"/>
    <col min="13" max="13" width="12.421875" style="7" customWidth="1"/>
    <col min="14" max="14" width="10.421875" style="7" customWidth="1"/>
    <col min="15" max="15" width="9.57421875" style="7" customWidth="1"/>
    <col min="16" max="16" width="9.140625" style="7" customWidth="1"/>
    <col min="17" max="17" width="8.57421875" style="7" customWidth="1"/>
    <col min="18" max="18" width="6.57421875" style="7" customWidth="1"/>
    <col min="19" max="21" width="15.7109375" style="7" customWidth="1"/>
    <col min="22" max="22" width="11.7109375" style="7" customWidth="1"/>
    <col min="23" max="27" width="10.00390625" style="7" customWidth="1"/>
    <col min="28" max="28" width="8.57421875" style="7" customWidth="1"/>
    <col min="29" max="29" width="10.57421875" style="7" customWidth="1"/>
    <col min="30" max="30" width="10.00390625" style="7" customWidth="1"/>
    <col min="31" max="31" width="6.7109375" style="7" customWidth="1"/>
    <col min="32" max="32" width="9.140625" style="7" customWidth="1"/>
    <col min="33" max="33" width="10.00390625" style="7" customWidth="1"/>
    <col min="34" max="34" width="9.00390625" style="7" customWidth="1"/>
    <col min="35" max="35" width="10.8515625" style="7" customWidth="1"/>
    <col min="36" max="36" width="10.28125" style="7" customWidth="1"/>
    <col min="37" max="37" width="10.00390625" style="7" customWidth="1"/>
    <col min="38" max="38" width="8.57421875" style="7" customWidth="1"/>
    <col min="39" max="39" width="10.00390625" style="7" customWidth="1"/>
    <col min="40" max="16384" width="9.140625" style="7" customWidth="1"/>
  </cols>
  <sheetData>
    <row r="1" spans="1:14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/>
      <c r="M1"/>
      <c r="N1"/>
    </row>
    <row r="2" spans="1:14" ht="12.75">
      <c r="A2" s="54"/>
      <c r="B2" s="3"/>
      <c r="C2" s="55"/>
      <c r="D2" s="55"/>
      <c r="E2" s="55"/>
      <c r="F2" s="56"/>
      <c r="G2" s="57"/>
      <c r="H2"/>
      <c r="I2"/>
      <c r="J2"/>
      <c r="K2" s="59"/>
      <c r="L2"/>
      <c r="M2"/>
      <c r="N2"/>
    </row>
    <row r="3" spans="1:14" ht="12.75">
      <c r="A3" s="60"/>
      <c r="B3" s="58" t="s">
        <v>121</v>
      </c>
      <c r="C3" s="55" t="s">
        <v>34</v>
      </c>
      <c r="D3" s="55" t="s">
        <v>34</v>
      </c>
      <c r="E3" s="55" t="s">
        <v>34</v>
      </c>
      <c r="F3" s="55" t="s">
        <v>34</v>
      </c>
      <c r="G3"/>
      <c r="H3" s="54" t="s">
        <v>122</v>
      </c>
      <c r="I3" s="58" t="s">
        <v>123</v>
      </c>
      <c r="J3" s="54" t="s">
        <v>124</v>
      </c>
      <c r="K3" s="59" t="s">
        <v>125</v>
      </c>
      <c r="L3"/>
      <c r="M3"/>
      <c r="N3"/>
    </row>
    <row r="4" spans="1:14" ht="12.75">
      <c r="A4" s="54" t="s">
        <v>126</v>
      </c>
      <c r="B4" s="58" t="s">
        <v>127</v>
      </c>
      <c r="C4" s="55" t="s">
        <v>128</v>
      </c>
      <c r="D4" s="55" t="s">
        <v>129</v>
      </c>
      <c r="E4" s="60" t="s">
        <v>129</v>
      </c>
      <c r="F4" s="60" t="s">
        <v>129</v>
      </c>
      <c r="G4" s="57" t="s">
        <v>130</v>
      </c>
      <c r="H4" s="54" t="s">
        <v>131</v>
      </c>
      <c r="I4" s="58" t="s">
        <v>131</v>
      </c>
      <c r="J4" s="54" t="s">
        <v>131</v>
      </c>
      <c r="K4" s="59" t="s">
        <v>132</v>
      </c>
      <c r="L4"/>
      <c r="M4"/>
      <c r="N4"/>
    </row>
    <row r="5" spans="1:14" ht="12.75">
      <c r="A5" s="54" t="s">
        <v>133</v>
      </c>
      <c r="B5" s="58" t="s">
        <v>134</v>
      </c>
      <c r="C5" s="55" t="s">
        <v>135</v>
      </c>
      <c r="D5" s="55" t="s">
        <v>136</v>
      </c>
      <c r="E5" s="55" t="s">
        <v>137</v>
      </c>
      <c r="F5" s="56" t="s">
        <v>138</v>
      </c>
      <c r="G5" s="57" t="s">
        <v>139</v>
      </c>
      <c r="H5" s="54" t="s">
        <v>139</v>
      </c>
      <c r="I5" s="58" t="s">
        <v>139</v>
      </c>
      <c r="J5" s="54" t="s">
        <v>139</v>
      </c>
      <c r="K5" s="59" t="s">
        <v>140</v>
      </c>
      <c r="L5"/>
      <c r="M5"/>
      <c r="N5"/>
    </row>
    <row r="6" spans="1:14" ht="12.75">
      <c r="A6" s="54" t="s">
        <v>141</v>
      </c>
      <c r="B6" s="58" t="s">
        <v>43</v>
      </c>
      <c r="C6" s="55" t="s">
        <v>142</v>
      </c>
      <c r="D6" s="55" t="s">
        <v>41</v>
      </c>
      <c r="E6" s="55" t="s">
        <v>41</v>
      </c>
      <c r="F6" s="56" t="s">
        <v>41</v>
      </c>
      <c r="G6" s="57" t="s">
        <v>143</v>
      </c>
      <c r="H6" s="57" t="s">
        <v>143</v>
      </c>
      <c r="I6" s="57" t="s">
        <v>143</v>
      </c>
      <c r="J6" s="57" t="s">
        <v>143</v>
      </c>
      <c r="K6" s="59" t="s">
        <v>144</v>
      </c>
      <c r="L6"/>
      <c r="M6"/>
      <c r="N6"/>
    </row>
    <row r="7" spans="1:14" ht="15">
      <c r="A7" s="54" t="s">
        <v>145</v>
      </c>
      <c r="B7" s="61" t="s">
        <v>146</v>
      </c>
      <c r="C7" s="55" t="s">
        <v>147</v>
      </c>
      <c r="D7" s="55" t="s">
        <v>148</v>
      </c>
      <c r="E7" s="55" t="s">
        <v>149</v>
      </c>
      <c r="F7" s="56" t="s">
        <v>150</v>
      </c>
      <c r="G7" s="57" t="s">
        <v>151</v>
      </c>
      <c r="H7" s="54" t="s">
        <v>152</v>
      </c>
      <c r="I7" s="62" t="s">
        <v>153</v>
      </c>
      <c r="J7" s="61" t="s">
        <v>154</v>
      </c>
      <c r="K7" s="59" t="s">
        <v>155</v>
      </c>
      <c r="L7"/>
      <c r="M7"/>
      <c r="N7"/>
    </row>
    <row r="8" spans="1:14" ht="15" thickBot="1">
      <c r="A8" s="64" t="s">
        <v>30</v>
      </c>
      <c r="B8" s="45" t="s">
        <v>52</v>
      </c>
      <c r="C8" s="65" t="s">
        <v>156</v>
      </c>
      <c r="D8" s="63" t="s">
        <v>49</v>
      </c>
      <c r="E8" s="63" t="s">
        <v>49</v>
      </c>
      <c r="F8" s="63" t="s">
        <v>49</v>
      </c>
      <c r="G8" s="66" t="s">
        <v>30</v>
      </c>
      <c r="H8" s="64" t="s">
        <v>52</v>
      </c>
      <c r="I8" s="67" t="s">
        <v>52</v>
      </c>
      <c r="J8" s="45" t="s">
        <v>52</v>
      </c>
      <c r="K8" s="45" t="s">
        <v>30</v>
      </c>
      <c r="L8"/>
      <c r="M8"/>
      <c r="N8"/>
    </row>
    <row r="9" spans="1:14" ht="13.5" thickTop="1">
      <c r="A9" s="68"/>
      <c r="B9" s="53"/>
      <c r="C9" s="69"/>
      <c r="D9" s="69"/>
      <c r="E9" s="69"/>
      <c r="F9" s="53"/>
      <c r="G9" s="70"/>
      <c r="H9" s="68"/>
      <c r="I9" s="71"/>
      <c r="J9" s="68"/>
      <c r="K9" s="53"/>
      <c r="L9"/>
      <c r="M9"/>
      <c r="N9"/>
    </row>
    <row r="10" spans="1:14" ht="12.75">
      <c r="A10" s="175">
        <f>(DATENTER!F29-DATENTER!E29)</f>
        <v>152.5</v>
      </c>
      <c r="B10" s="180">
        <f>IF(OR(DATENTER!I44="",DATENTER!J44="",DATENTER!K44=""),"ERROR",DATENTER!J44-DATENTER!K44)</f>
        <v>0.321</v>
      </c>
      <c r="C10" s="180">
        <f>(DATENTER!K44-VLOOKUP(DATENTER!E44,Soil_Data,7,FALSE))/(DATENTER!J44-VLOOKUP(DATENTER!E44,Soil_Data,7,FALSE))</f>
        <v>0.003105590062111804</v>
      </c>
      <c r="D10" s="181">
        <f>((VLOOKUP(DATENTER!E44,Soil_Data,2,FALSE)*(1/3600)*(0.01307*((DATENTER!H29+273.15)/(283.15))^0.5))/(0.999*980.665))</f>
        <v>9.97668104048193E-08</v>
      </c>
      <c r="E10" s="182">
        <f>(1-C10)^0.5*(1-C10^(1/VLOOKUP(DATENTER!E44,Soil_Data,5,FALSE)))^(2*VLOOKUP(DATENTER!E44,Soil_Data,5,FALSE))</f>
        <v>0.9981466887006407</v>
      </c>
      <c r="F10" s="174">
        <f>IF(AND(DATENTER!E44&gt;0,DATENTER!G44&gt;0),"ERROR",IF(DATENTER!G44&gt;0,DATENTER!G44,D10*E10))</f>
        <v>9.958191144779501E-08</v>
      </c>
      <c r="G10" s="183">
        <f>0.15/(VLOOKUP(DATENTER!G29,Soil_Data,8,FALSE)*0.2)</f>
        <v>17.045454545454543</v>
      </c>
      <c r="H10" s="184">
        <f>VLOOKUP(DATENTER!G29,Soil_Data,6,FALSE)</f>
        <v>0.375</v>
      </c>
      <c r="I10" s="180">
        <f>H10-J10</f>
        <v>0.12174188741255254</v>
      </c>
      <c r="J10" s="182">
        <f>VLOOKUP(DATENTER!G29,Soil_Data,7,FALSE)+((VLOOKUP(DATENTER!G29,Soil_Data,6,FALSE)-VLOOKUP(DATENTER!G29,Soil_Data,7,FALSE))/(2^VLOOKUP(DATENTER!G29,Soil_Data,5,FALSE)))</f>
        <v>0.25325811258744746</v>
      </c>
      <c r="K10" s="176">
        <v>4000</v>
      </c>
      <c r="L10"/>
      <c r="M10"/>
      <c r="N10"/>
    </row>
    <row r="11" spans="1:14" ht="12.75">
      <c r="A11" s="53"/>
      <c r="B11" s="53"/>
      <c r="C11" s="53"/>
      <c r="D11" s="53"/>
      <c r="E11" s="53"/>
      <c r="F11" s="53"/>
      <c r="G11" s="53"/>
      <c r="H11" s="53"/>
      <c r="I11" s="53"/>
      <c r="J11"/>
      <c r="K11" s="72"/>
      <c r="L11"/>
      <c r="M11"/>
      <c r="N11"/>
    </row>
    <row r="12" spans="1:14" ht="12.75">
      <c r="A12" s="74"/>
      <c r="B12" s="75"/>
      <c r="C12" s="75"/>
      <c r="D12" s="74"/>
      <c r="E12" s="76"/>
      <c r="F12" s="75"/>
      <c r="G12" s="56"/>
      <c r="H12" s="58"/>
      <c r="I12" s="3"/>
      <c r="J12" s="3"/>
      <c r="K12" s="26"/>
      <c r="L12"/>
      <c r="M12"/>
      <c r="N12"/>
    </row>
    <row r="13" spans="1:14" ht="12.75">
      <c r="A13" s="59"/>
      <c r="B13" s="59" t="s">
        <v>157</v>
      </c>
      <c r="C13" s="56"/>
      <c r="D13" s="59"/>
      <c r="E13" s="77"/>
      <c r="F13" s="78"/>
      <c r="G13" s="78"/>
      <c r="H13" s="3"/>
      <c r="I13" s="59"/>
      <c r="J13" s="59" t="s">
        <v>158</v>
      </c>
      <c r="K13" s="78" t="s">
        <v>122</v>
      </c>
      <c r="L13"/>
      <c r="M13"/>
      <c r="N13"/>
    </row>
    <row r="14" spans="1:14" ht="12.75">
      <c r="A14" s="59"/>
      <c r="B14" s="59" t="s">
        <v>159</v>
      </c>
      <c r="C14" s="56" t="s">
        <v>160</v>
      </c>
      <c r="D14" s="59" t="s">
        <v>161</v>
      </c>
      <c r="E14" s="79" t="s">
        <v>76</v>
      </c>
      <c r="F14" s="26" t="s">
        <v>162</v>
      </c>
      <c r="G14" s="26" t="s">
        <v>162</v>
      </c>
      <c r="H14" s="58" t="s">
        <v>163</v>
      </c>
      <c r="I14" s="55" t="s">
        <v>34</v>
      </c>
      <c r="J14" s="59" t="s">
        <v>164</v>
      </c>
      <c r="K14" s="56" t="s">
        <v>165</v>
      </c>
      <c r="L14"/>
      <c r="M14"/>
      <c r="N14"/>
    </row>
    <row r="15" spans="1:14" ht="12.75">
      <c r="A15" s="59" t="s">
        <v>166</v>
      </c>
      <c r="B15" s="59" t="s">
        <v>167</v>
      </c>
      <c r="C15" s="56" t="s">
        <v>168</v>
      </c>
      <c r="D15" s="59" t="s">
        <v>169</v>
      </c>
      <c r="E15" s="79" t="s">
        <v>80</v>
      </c>
      <c r="F15" s="56" t="s">
        <v>170</v>
      </c>
      <c r="G15" s="56" t="s">
        <v>170</v>
      </c>
      <c r="H15" s="58" t="s">
        <v>171</v>
      </c>
      <c r="I15" s="59" t="s">
        <v>128</v>
      </c>
      <c r="J15" s="59" t="s">
        <v>128</v>
      </c>
      <c r="K15" s="56" t="s">
        <v>128</v>
      </c>
      <c r="L15"/>
      <c r="M15"/>
      <c r="N15"/>
    </row>
    <row r="16" spans="1:14" ht="12.75">
      <c r="A16" s="59" t="s">
        <v>172</v>
      </c>
      <c r="B16" s="59" t="s">
        <v>173</v>
      </c>
      <c r="C16" s="56" t="s">
        <v>174</v>
      </c>
      <c r="D16" s="59" t="s">
        <v>173</v>
      </c>
      <c r="E16" s="56" t="s">
        <v>175</v>
      </c>
      <c r="F16" s="56" t="s">
        <v>175</v>
      </c>
      <c r="G16" s="56" t="s">
        <v>175</v>
      </c>
      <c r="H16" s="56" t="s">
        <v>176</v>
      </c>
      <c r="I16" s="59" t="s">
        <v>177</v>
      </c>
      <c r="J16" s="59" t="s">
        <v>177</v>
      </c>
      <c r="K16" s="56" t="s">
        <v>177</v>
      </c>
      <c r="L16"/>
      <c r="M16"/>
      <c r="N16"/>
    </row>
    <row r="17" spans="1:14" ht="12.75">
      <c r="A17" s="59" t="s">
        <v>178</v>
      </c>
      <c r="B17" s="59" t="s">
        <v>179</v>
      </c>
      <c r="C17" s="56" t="s">
        <v>180</v>
      </c>
      <c r="D17" s="59" t="s">
        <v>179</v>
      </c>
      <c r="E17" s="77" t="s">
        <v>25</v>
      </c>
      <c r="F17" s="56" t="s">
        <v>25</v>
      </c>
      <c r="G17" s="56" t="s">
        <v>25</v>
      </c>
      <c r="H17" s="58" t="s">
        <v>25</v>
      </c>
      <c r="I17" s="59" t="s">
        <v>99</v>
      </c>
      <c r="J17" s="59" t="s">
        <v>99</v>
      </c>
      <c r="K17" s="56" t="s">
        <v>99</v>
      </c>
      <c r="L17"/>
      <c r="M17"/>
      <c r="N17"/>
    </row>
    <row r="18" spans="1:14" ht="15">
      <c r="A18" s="59" t="s">
        <v>181</v>
      </c>
      <c r="B18" s="56" t="s">
        <v>182</v>
      </c>
      <c r="C18" s="80" t="s">
        <v>183</v>
      </c>
      <c r="D18" s="59" t="s">
        <v>184</v>
      </c>
      <c r="E18" s="81" t="s">
        <v>185</v>
      </c>
      <c r="F18" s="56" t="s">
        <v>186</v>
      </c>
      <c r="G18" s="56" t="s">
        <v>187</v>
      </c>
      <c r="H18" s="61" t="s">
        <v>188</v>
      </c>
      <c r="I18" s="59" t="s">
        <v>189</v>
      </c>
      <c r="J18" s="59" t="s">
        <v>190</v>
      </c>
      <c r="K18" s="56" t="s">
        <v>191</v>
      </c>
      <c r="L18"/>
      <c r="M18"/>
      <c r="N18"/>
    </row>
    <row r="19" spans="1:14" ht="15" thickBot="1">
      <c r="A19" s="45" t="s">
        <v>192</v>
      </c>
      <c r="B19" s="63" t="s">
        <v>49</v>
      </c>
      <c r="C19" s="63" t="s">
        <v>51</v>
      </c>
      <c r="D19" s="45" t="s">
        <v>30</v>
      </c>
      <c r="E19" s="82" t="s">
        <v>115</v>
      </c>
      <c r="F19" s="63" t="s">
        <v>114</v>
      </c>
      <c r="G19" s="63" t="s">
        <v>51</v>
      </c>
      <c r="H19" s="63" t="s">
        <v>193</v>
      </c>
      <c r="I19" s="63" t="s">
        <v>113</v>
      </c>
      <c r="J19" s="63" t="s">
        <v>113</v>
      </c>
      <c r="K19" s="63" t="s">
        <v>113</v>
      </c>
      <c r="L19"/>
      <c r="M19"/>
      <c r="N19"/>
    </row>
    <row r="20" spans="1:14" ht="13.5" thickTop="1">
      <c r="A20" s="53"/>
      <c r="B20" s="53"/>
      <c r="C20" s="83"/>
      <c r="D20" s="53"/>
      <c r="E20" s="84"/>
      <c r="F20" s="83"/>
      <c r="G20" s="83"/>
      <c r="H20" s="53"/>
      <c r="I20" s="53"/>
      <c r="J20" s="53"/>
      <c r="K20" s="83"/>
      <c r="L20"/>
      <c r="M20"/>
      <c r="N20"/>
    </row>
    <row r="21" spans="1:14" ht="12.75">
      <c r="A21" s="174">
        <f>IF(DATENTER!E29&gt;15,25417,16944)</f>
        <v>25417</v>
      </c>
      <c r="B21" s="174">
        <f>IF(DATENTER!E29&gt;15,1800000,1000000)</f>
        <v>1800000</v>
      </c>
      <c r="C21" s="174">
        <f>400/B21</f>
        <v>0.00022222222222222223</v>
      </c>
      <c r="D21" s="175">
        <f>DATENTER!E29</f>
        <v>200</v>
      </c>
      <c r="E21" s="176">
        <f>IF(CHEMPROPS!F9/CHEMPROPS!G9&lt;0.57,CHEMPROPS!E9*((1-((DATENTER!H29+273.15)/CHEMPROPS!G9))/(1-(CHEMPROPS!F9/CHEMPROPS!G9)))^0.3,IF(AND(CHEMPROPS!F9/CHEMPROPS!G9&gt;=0.57,CHEMPROPS!F9/CHEMPROPS!G9&lt;=0.71),CHEMPROPS!E9*((1-((DATENTER!H29+273.15)/CHEMPROPS!G9))/(1-(CHEMPROPS!F9/CHEMPROPS!G9)))^(0.74*(CHEMPROPS!F9/CHEMPROPS!G9)-0.116),CHEMPROPS!E9*((1-((DATENTER!H29+273.15)/CHEMPROPS!G9))/(1-(CHEMPROPS!F9/CHEMPROPS!G9)))^0.41))</f>
        <v>8090.72117650171</v>
      </c>
      <c r="F21" s="174">
        <f>EXP(-1*((E21/1.9872)*((1/(DATENTER!H29+273.15))-(1/(CHEMPROPS!D9+273.15)))))*CHEMPROPS!C9</f>
        <v>0.003130322279101943</v>
      </c>
      <c r="G21" s="178">
        <f>IF(DATENTER!H29="","ERROR",F21/(0.00008206*(DATENTER!H29+273.15)))</f>
        <v>0.13331032564878897</v>
      </c>
      <c r="H21" s="178">
        <f>0.00018*((DATENTER!H29+273.15)/298.15)^0.5</f>
        <v>0.0001763404616365632</v>
      </c>
      <c r="I21" s="178">
        <f>(CHEMPROPS!A9*(B10^3.33/DATENTER!J44^2))+((CHEMPROPS!B9/G21)*(DATENTER!K44^3.33/DATENTER!J44^2))</f>
        <v>0.014473987627189688</v>
      </c>
      <c r="J21" s="178">
        <f>(CHEMPROPS!A9*(I10^3.33/H10^2))+((CHEMPROPS!B9/G21)*(J10^3.33/H10^2))</f>
        <v>0.0005790297953177309</v>
      </c>
      <c r="K21" s="178">
        <f>A10/(((DATENTER!F29-G10-DATENTER!E29)/I21)+(G10/J21))</f>
        <v>0.003930773123969188</v>
      </c>
      <c r="L21"/>
      <c r="M21"/>
      <c r="N21"/>
    </row>
    <row r="22" spans="1:14" ht="12">
      <c r="A22" s="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ht="12.75">
      <c r="A23" s="54"/>
      <c r="B23" s="54"/>
      <c r="C23" s="59"/>
      <c r="D23" s="85"/>
      <c r="E23" s="56"/>
      <c r="F23" s="59"/>
      <c r="G23" s="56"/>
      <c r="H23" s="78" t="s">
        <v>194</v>
      </c>
      <c r="I23" s="59" t="s">
        <v>195</v>
      </c>
      <c r="J23"/>
      <c r="K23" s="86"/>
      <c r="L23" s="56"/>
      <c r="M23" s="53"/>
      <c r="N23" s="53"/>
    </row>
    <row r="24" spans="1:14" ht="12.75">
      <c r="A24" s="54"/>
      <c r="B24" s="54"/>
      <c r="C24"/>
      <c r="D24" s="85"/>
      <c r="E24" s="56" t="s">
        <v>17</v>
      </c>
      <c r="F24" s="59" t="s">
        <v>161</v>
      </c>
      <c r="G24" s="56"/>
      <c r="H24" s="56" t="s">
        <v>196</v>
      </c>
      <c r="I24" s="59" t="s">
        <v>197</v>
      </c>
      <c r="J24" s="59" t="s">
        <v>195</v>
      </c>
      <c r="K24" s="86"/>
      <c r="L24" s="56"/>
      <c r="M24" s="53"/>
      <c r="N24" s="53"/>
    </row>
    <row r="25" spans="1:14" ht="12">
      <c r="A25" s="54" t="s">
        <v>198</v>
      </c>
      <c r="B25" s="54" t="s">
        <v>199</v>
      </c>
      <c r="C25" s="60" t="s">
        <v>200</v>
      </c>
      <c r="D25" s="85"/>
      <c r="E25" s="56" t="s">
        <v>201</v>
      </c>
      <c r="F25" s="59" t="s">
        <v>128</v>
      </c>
      <c r="G25" s="56"/>
      <c r="H25" s="56" t="s">
        <v>202</v>
      </c>
      <c r="I25" s="59" t="s">
        <v>203</v>
      </c>
      <c r="J25" s="59" t="s">
        <v>197</v>
      </c>
      <c r="K25" s="86" t="s">
        <v>84</v>
      </c>
      <c r="L25" s="56"/>
      <c r="M25" s="53"/>
      <c r="N25" s="53"/>
    </row>
    <row r="26" spans="1:14" ht="12">
      <c r="A26" s="54" t="s">
        <v>204</v>
      </c>
      <c r="B26" s="54" t="s">
        <v>204</v>
      </c>
      <c r="C26" s="60" t="s">
        <v>201</v>
      </c>
      <c r="D26" s="85" t="s">
        <v>161</v>
      </c>
      <c r="E26" s="56" t="s">
        <v>205</v>
      </c>
      <c r="F26" s="59" t="s">
        <v>177</v>
      </c>
      <c r="G26" s="56" t="s">
        <v>157</v>
      </c>
      <c r="H26" s="56" t="s">
        <v>206</v>
      </c>
      <c r="I26" s="59" t="s">
        <v>207</v>
      </c>
      <c r="J26" s="59" t="s">
        <v>208</v>
      </c>
      <c r="K26" s="86" t="s">
        <v>93</v>
      </c>
      <c r="L26" s="56" t="s">
        <v>94</v>
      </c>
      <c r="M26" s="53"/>
      <c r="N26" s="53"/>
    </row>
    <row r="27" spans="1:14" ht="12">
      <c r="A27" s="54" t="s">
        <v>209</v>
      </c>
      <c r="B27" s="54" t="s">
        <v>209</v>
      </c>
      <c r="C27" s="60" t="s">
        <v>10</v>
      </c>
      <c r="D27" s="85" t="s">
        <v>210</v>
      </c>
      <c r="E27" s="56" t="s">
        <v>211</v>
      </c>
      <c r="F27" s="59" t="s">
        <v>99</v>
      </c>
      <c r="G27" s="56" t="s">
        <v>212</v>
      </c>
      <c r="H27" s="56" t="s">
        <v>213</v>
      </c>
      <c r="I27" s="59" t="s">
        <v>99</v>
      </c>
      <c r="J27" s="59" t="s">
        <v>10</v>
      </c>
      <c r="K27" s="86" t="s">
        <v>101</v>
      </c>
      <c r="L27" s="56" t="s">
        <v>10</v>
      </c>
      <c r="M27" s="53"/>
      <c r="N27" s="53"/>
    </row>
    <row r="28" spans="1:14" ht="15">
      <c r="A28" s="54" t="s">
        <v>214</v>
      </c>
      <c r="B28" s="54" t="s">
        <v>215</v>
      </c>
      <c r="C28" s="59" t="s">
        <v>216</v>
      </c>
      <c r="D28" s="85" t="s">
        <v>217</v>
      </c>
      <c r="E28" s="56" t="s">
        <v>218</v>
      </c>
      <c r="F28" s="59" t="s">
        <v>219</v>
      </c>
      <c r="G28" s="56" t="s">
        <v>220</v>
      </c>
      <c r="H28" s="56" t="s">
        <v>221</v>
      </c>
      <c r="I28" s="87" t="s">
        <v>222</v>
      </c>
      <c r="J28" s="59" t="s">
        <v>223</v>
      </c>
      <c r="K28" s="86" t="s">
        <v>111</v>
      </c>
      <c r="L28" s="56" t="s">
        <v>112</v>
      </c>
      <c r="M28" s="53"/>
      <c r="N28" s="53"/>
    </row>
    <row r="29" spans="1:14" ht="15" thickBot="1">
      <c r="A29" s="64" t="s">
        <v>30</v>
      </c>
      <c r="B29" s="64" t="s">
        <v>30</v>
      </c>
      <c r="C29" s="168" t="s">
        <v>224</v>
      </c>
      <c r="D29" s="88" t="s">
        <v>30</v>
      </c>
      <c r="E29" s="63" t="s">
        <v>192</v>
      </c>
      <c r="F29" s="45" t="s">
        <v>113</v>
      </c>
      <c r="G29" s="63" t="s">
        <v>49</v>
      </c>
      <c r="H29" s="63" t="s">
        <v>51</v>
      </c>
      <c r="I29" s="45" t="s">
        <v>51</v>
      </c>
      <c r="J29" s="168" t="s">
        <v>224</v>
      </c>
      <c r="K29" s="89" t="s">
        <v>119</v>
      </c>
      <c r="L29" s="63" t="s">
        <v>120</v>
      </c>
      <c r="M29" s="53"/>
      <c r="N29" s="53"/>
    </row>
    <row r="30" spans="1:14" ht="12.75" thickTop="1">
      <c r="A30" s="53"/>
      <c r="B30" s="53"/>
      <c r="C30" s="53"/>
      <c r="D30" s="53"/>
      <c r="E30" s="83"/>
      <c r="F30" s="53"/>
      <c r="G30" s="53"/>
      <c r="H30" s="53"/>
      <c r="I30" s="53"/>
      <c r="J30" s="53"/>
      <c r="K30" s="90"/>
      <c r="L30" s="53"/>
      <c r="M30" s="53"/>
      <c r="N30" s="53"/>
    </row>
    <row r="31" spans="1:14" ht="12">
      <c r="A31" s="175">
        <f>(DATENTER!F29-DATENTER!E29)</f>
        <v>152.5</v>
      </c>
      <c r="B31" s="175">
        <f>D21</f>
        <v>200</v>
      </c>
      <c r="C31" s="178">
        <f>IF(AND(DATENTER!G4&gt;0,DATENTER!G9&gt;0),"ERROR",IF(DATENTER!G4&gt;0,G21*1000,IF(AND(DATENTER!G9&gt;0,DATENTER!F18&gt;0),MIN(DATENTER!F18,CHEMPROPS!I9*1000)*G21*1000,"ERRORS")))</f>
        <v>133.31032564878896</v>
      </c>
      <c r="D31" s="185">
        <f>C21*(B21/K10)</f>
        <v>0.1</v>
      </c>
      <c r="E31" s="178">
        <f>IF(ISBLANK(DATENTER!$J$29),(2*PI()*40*F10*K10)/(H21*LN(2*D21/D31)),DATENTER!$J$29*(1000/60))</f>
        <v>83.33333333333334</v>
      </c>
      <c r="F31" s="174">
        <f>I21</f>
        <v>0.014473987627189688</v>
      </c>
      <c r="G31" s="174">
        <f>B21*C21</f>
        <v>400</v>
      </c>
      <c r="H31" s="178">
        <f>EXP((E31*10)/(F31*G31))</f>
        <v>3.241709413895994E+62</v>
      </c>
      <c r="I31" s="178">
        <f>IF(ISERROR(H31),((K21*B21)/(A21*A10))/(((K21*B21)/(E31*A10))+1),(((K21*B21)/(A21*A10))*EXP((E31*10)/(F31*G31)))/(EXP((E31*10)/(F31*G31))+((K21*B21)/(A21*A10))+((K21*B21)/(E31*A10))*(EXP((E31*10)/(F31*G31))-1)))</f>
        <v>0.00117256488051024</v>
      </c>
      <c r="J31" s="178">
        <f>I31*C31</f>
        <v>0.15631500606515342</v>
      </c>
      <c r="K31" s="186">
        <f>IF(CHEMPROPS!J9=0,"NA",CHEMPROPS!J9)</f>
        <v>7.8E-06</v>
      </c>
      <c r="L31" s="186">
        <f>IF(CHEMPROPS!K9=0,"NA",CHEMPROPS!K9)</f>
        <v>0.03</v>
      </c>
      <c r="M31" s="53"/>
      <c r="N31" s="53"/>
    </row>
    <row r="32" spans="1:14" ht="12.75">
      <c r="A3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12">
      <c r="A33" s="198" t="s">
        <v>282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12">
      <c r="A34" s="53"/>
      <c r="B34" s="8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</sheetData>
  <sheetProtection password="CDDA" sheet="1" objects="1" scenarios="1"/>
  <printOptions horizontalCentered="1"/>
  <pageMargins left="0.5" right="0.5" top="0.65" bottom="0.65" header="0.5" footer="0.5"/>
  <pageSetup horizontalDpi="300" verticalDpi="300" orientation="landscape" scale="70" r:id="rId1"/>
  <headerFooter alignWithMargins="0">
    <oddHeader>&amp;CINTERMEDIATE CALCULATIONS SHEET</oddHead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25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3.57421875" style="7" customWidth="1"/>
    <col min="3" max="3" width="14.00390625" style="7" customWidth="1"/>
    <col min="4" max="4" width="12.57421875" style="7" customWidth="1"/>
    <col min="5" max="5" width="11.140625" style="7" customWidth="1"/>
    <col min="6" max="6" width="12.57421875" style="7" customWidth="1"/>
    <col min="7" max="7" width="9.140625" style="7" customWidth="1"/>
    <col min="8" max="8" width="13.421875" style="7" customWidth="1"/>
    <col min="9" max="9" width="14.00390625" style="7" customWidth="1"/>
    <col min="10" max="16384" width="9.140625" style="7" customWidth="1"/>
  </cols>
  <sheetData>
    <row r="1" spans="2:7" ht="12">
      <c r="B1" s="53"/>
      <c r="C1" s="53"/>
      <c r="D1" s="53"/>
      <c r="E1" s="53"/>
      <c r="F1" s="53"/>
      <c r="G1" s="53"/>
    </row>
    <row r="2" spans="2:12" ht="12">
      <c r="B2" s="91" t="s">
        <v>225</v>
      </c>
      <c r="C2" s="91"/>
      <c r="D2" s="91"/>
      <c r="E2" s="91"/>
      <c r="F2" s="91"/>
      <c r="G2" s="53"/>
      <c r="H2" s="53" t="s">
        <v>226</v>
      </c>
      <c r="I2" s="53"/>
      <c r="J2" s="53"/>
      <c r="K2" s="53"/>
      <c r="L2" s="53"/>
    </row>
    <row r="3" spans="2:12" ht="12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2">
      <c r="B4" s="56"/>
      <c r="C4" s="56"/>
      <c r="D4" s="56"/>
      <c r="E4" s="59"/>
      <c r="F4" s="59"/>
      <c r="G4" s="53"/>
      <c r="H4" s="53"/>
      <c r="I4" s="53"/>
      <c r="J4" s="53"/>
      <c r="K4" s="53"/>
      <c r="L4" s="53"/>
    </row>
    <row r="5" spans="2:12" ht="12">
      <c r="B5" s="56"/>
      <c r="C5" s="56"/>
      <c r="D5" s="56"/>
      <c r="E5" s="56"/>
      <c r="F5" s="53"/>
      <c r="G5" s="53"/>
      <c r="H5" s="60" t="s">
        <v>227</v>
      </c>
      <c r="I5" s="60" t="s">
        <v>228</v>
      </c>
      <c r="J5" s="53"/>
      <c r="K5" s="53"/>
      <c r="L5" s="53"/>
    </row>
    <row r="6" spans="2:12" ht="12">
      <c r="B6" s="59" t="s">
        <v>229</v>
      </c>
      <c r="C6" s="59" t="s">
        <v>229</v>
      </c>
      <c r="D6" s="56" t="s">
        <v>230</v>
      </c>
      <c r="E6" s="56" t="s">
        <v>78</v>
      </c>
      <c r="F6" s="59" t="s">
        <v>231</v>
      </c>
      <c r="G6" s="53"/>
      <c r="H6" s="60" t="s">
        <v>232</v>
      </c>
      <c r="I6" s="60" t="s">
        <v>233</v>
      </c>
      <c r="J6" s="53"/>
      <c r="K6" s="53"/>
      <c r="L6" s="53"/>
    </row>
    <row r="7" spans="2:12" ht="12">
      <c r="B7" s="59" t="s">
        <v>234</v>
      </c>
      <c r="C7" s="59" t="s">
        <v>234</v>
      </c>
      <c r="D7" s="3" t="s">
        <v>203</v>
      </c>
      <c r="E7" s="56" t="s">
        <v>83</v>
      </c>
      <c r="F7" s="59" t="s">
        <v>203</v>
      </c>
      <c r="G7" s="53"/>
      <c r="H7" s="60" t="s">
        <v>201</v>
      </c>
      <c r="I7" s="60" t="s">
        <v>235</v>
      </c>
      <c r="J7" s="53"/>
      <c r="K7" s="53"/>
      <c r="L7" s="53"/>
    </row>
    <row r="8" spans="2:12" ht="12">
      <c r="B8" s="59" t="s">
        <v>8</v>
      </c>
      <c r="C8" s="59" t="s">
        <v>8</v>
      </c>
      <c r="D8" s="56" t="s">
        <v>234</v>
      </c>
      <c r="E8" s="56" t="s">
        <v>92</v>
      </c>
      <c r="F8" s="56" t="s">
        <v>234</v>
      </c>
      <c r="G8" s="53"/>
      <c r="H8" s="60" t="s">
        <v>236</v>
      </c>
      <c r="I8" s="60" t="s">
        <v>236</v>
      </c>
      <c r="J8" s="53"/>
      <c r="K8" s="53"/>
      <c r="L8" s="53"/>
    </row>
    <row r="9" spans="2:12" ht="12">
      <c r="B9" s="59" t="s">
        <v>10</v>
      </c>
      <c r="C9" s="59" t="s">
        <v>10</v>
      </c>
      <c r="D9" s="59" t="s">
        <v>8</v>
      </c>
      <c r="E9" s="56" t="s">
        <v>100</v>
      </c>
      <c r="F9" s="59" t="s">
        <v>8</v>
      </c>
      <c r="G9" s="53"/>
      <c r="H9" s="60" t="s">
        <v>237</v>
      </c>
      <c r="I9" s="60" t="s">
        <v>237</v>
      </c>
      <c r="J9" s="53"/>
      <c r="K9" s="53"/>
      <c r="L9" s="53"/>
    </row>
    <row r="10" spans="2:12" ht="12">
      <c r="B10" s="56" t="s">
        <v>238</v>
      </c>
      <c r="C10" s="56" t="s">
        <v>239</v>
      </c>
      <c r="D10" s="59" t="s">
        <v>10</v>
      </c>
      <c r="E10" s="56" t="s">
        <v>110</v>
      </c>
      <c r="F10" s="59" t="s">
        <v>10</v>
      </c>
      <c r="G10" s="53"/>
      <c r="H10" s="60" t="s">
        <v>238</v>
      </c>
      <c r="I10" s="60" t="s">
        <v>239</v>
      </c>
      <c r="J10" s="53"/>
      <c r="K10" s="53"/>
      <c r="L10" s="53"/>
    </row>
    <row r="11" spans="2:12" ht="13.5" thickBot="1">
      <c r="B11" s="63" t="s">
        <v>14</v>
      </c>
      <c r="C11" s="63" t="s">
        <v>14</v>
      </c>
      <c r="D11" s="63" t="s">
        <v>14</v>
      </c>
      <c r="E11" s="63" t="s">
        <v>14</v>
      </c>
      <c r="F11" s="63" t="s">
        <v>14</v>
      </c>
      <c r="G11" s="53"/>
      <c r="H11" s="92" t="s">
        <v>51</v>
      </c>
      <c r="I11" s="92" t="s">
        <v>51</v>
      </c>
      <c r="J11" s="53"/>
      <c r="K11" s="53"/>
      <c r="L11" s="53"/>
    </row>
    <row r="12" spans="2:12" ht="12.75" thickTop="1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2:12" ht="12">
      <c r="B13" s="178">
        <f>IF(E13="ERROR","ERROR",IF(DATENTER!G4="","NA",IF(INTERCALCS!K31="NA","NA",(DATENTER!E57*DATENTER!G57*365)/(INTERCALCS!K31*DATENTER!J57*DATENTER!I57*INTERCALCS!J31))))</f>
        <v>2.3027894847037906</v>
      </c>
      <c r="C13" s="178">
        <f>IF(E13="ERROR","ERROR",IF(DATENTER!G4="","NA",IF(INTERCALCS!L31="NA","NA",(DATENTER!F57*DATENTER!H57*365)/(DATENTER!J57*DATENTER!I57*(1/INTERCALCS!L31)*INTERCALCS!J31*0.001))))</f>
        <v>200.14530321339802</v>
      </c>
      <c r="D13" s="178">
        <f>IF(E13="ERROR","ERROR",IF(DATENTER!G4="","NA",MIN(B13,C13)))</f>
        <v>2.3027894847037906</v>
      </c>
      <c r="E13" s="174">
        <f>IF(ISERROR(MATCH(DATENTER!E18,CAS_No,0)),"ERROR",CHEMPROPS!I9*1000)</f>
        <v>1790000</v>
      </c>
      <c r="F13" s="174">
        <f>IF(E13="ERROR","ERROR",IF(DATENTER!G4="","NA",IF(D13&gt;E13,"NOC",MIN(D13,E13))))</f>
        <v>2.3027894847037906</v>
      </c>
      <c r="G13" s="53"/>
      <c r="H13" s="187" t="str">
        <f>IF(E13="ERROR","ERROR",IF(DATENTER!G9="","NA",IF(INTERCALCS!K31="NA","NA",(INTERCALCS!K31*DATENTER!J57*DATENTER!I57*INTERCALCS!J31)/(DATENTER!G57*365))))</f>
        <v>NA</v>
      </c>
      <c r="I13" s="187" t="str">
        <f>IF(E13="ERROR","ERROR",IF(DATENTER!G9="","NA",IF(INTERCALCS!L31="NA","NA",(DATENTER!J57*DATENTER!I57*(1/INTERCALCS!L31)*INTERCALCS!J31*0.001)/(DATENTER!H57*365))))</f>
        <v>NA</v>
      </c>
      <c r="J13" s="53"/>
      <c r="K13" s="53"/>
      <c r="L13" s="53"/>
    </row>
    <row r="14" spans="2:7" ht="12">
      <c r="B14" s="53"/>
      <c r="C14" s="53"/>
      <c r="D14" s="53"/>
      <c r="E14" s="53"/>
      <c r="F14" s="53"/>
      <c r="G14" s="53"/>
    </row>
    <row r="15" spans="2:7" ht="12">
      <c r="B15" s="190" t="s">
        <v>279</v>
      </c>
      <c r="C15" s="53"/>
      <c r="D15" s="53"/>
      <c r="E15" s="53"/>
      <c r="F15" s="53"/>
      <c r="G15" s="53"/>
    </row>
    <row r="16" spans="2:7" ht="12.75">
      <c r="B16" s="190" t="str">
        <f>IF(E13="ERROR","MESSAGE: CAS No. not found.",IF(DATENTER!G4&gt;0,"MESSAGE: The values of Csource and Cbuilding on the INTERCALCS worksheet are based on unity and do not represent actual values.",""))</f>
        <v>MESSAGE: The values of Csource and Cbuilding on the INTERCALCS worksheet are based on unity and do not represent actual values.</v>
      </c>
      <c r="C16"/>
      <c r="D16"/>
      <c r="E16"/>
      <c r="F16"/>
      <c r="G16" s="53"/>
    </row>
    <row r="17" spans="2:7" ht="12.75">
      <c r="B17" s="188">
        <f>IF(AND(ISNUMBER(D13),D13&gt;E13),"NOC = NOT OF CONCERN. The groundwater conc. at or above the solubility limit is not of concern for this pathway.",IF(DATENTER!F18&gt;CHEMPROPS!I9*1000,"MESSAGE: Groundwater concentration &gt;= solubility limit (S). Risk/HQ calculated at S.",""))</f>
      </c>
      <c r="C17"/>
      <c r="D17"/>
      <c r="E17"/>
      <c r="F17"/>
      <c r="G17" s="53"/>
    </row>
    <row r="18" spans="2:7" ht="12.75">
      <c r="B18" s="188">
        <f>IF(E13="ERROR","",IF(OR(VLOOKUP(DATENTER!E18,Chemical_Data,15,FALSE)="X",VLOOKUP(DATENTER!E18,Chemical_Data,16,FALSE)="X"),"MESSAGE: Risk/HQ or risk-based groundwater concentration is based on a route-to-route extrapolation.",""))</f>
      </c>
      <c r="C18"/>
      <c r="D18"/>
      <c r="E18"/>
      <c r="F18"/>
      <c r="G18" s="53"/>
    </row>
    <row r="19" spans="1:7" ht="12.75">
      <c r="A19" s="198" t="s">
        <v>282</v>
      </c>
      <c r="B19"/>
      <c r="C19"/>
      <c r="D19"/>
      <c r="E19"/>
      <c r="F19"/>
      <c r="G19" s="53"/>
    </row>
    <row r="20" spans="2:7" ht="12.75">
      <c r="B20"/>
      <c r="C20"/>
      <c r="D20"/>
      <c r="E20"/>
      <c r="F20"/>
      <c r="G20" s="53"/>
    </row>
    <row r="21" spans="1:13" ht="147.75" customHeight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</row>
    <row r="22" spans="2:7" ht="12.75">
      <c r="B22"/>
      <c r="C22"/>
      <c r="D22"/>
      <c r="E22"/>
      <c r="F22"/>
      <c r="G22" s="53"/>
    </row>
    <row r="23" spans="2:7" ht="12.75">
      <c r="B23"/>
      <c r="C23"/>
      <c r="D23"/>
      <c r="E23"/>
      <c r="F23"/>
      <c r="G23" s="53"/>
    </row>
    <row r="24" spans="2:7" ht="12">
      <c r="B24" s="53"/>
      <c r="C24" s="53"/>
      <c r="D24" s="53"/>
      <c r="E24" s="53"/>
      <c r="F24" s="53"/>
      <c r="G24" s="53"/>
    </row>
    <row r="25" spans="2:7" ht="12">
      <c r="B25" s="53"/>
      <c r="C25" s="53"/>
      <c r="D25" s="53"/>
      <c r="E25" s="53"/>
      <c r="F25" s="53"/>
      <c r="G25" s="53"/>
    </row>
  </sheetData>
  <sheetProtection password="CDDA" sheet="1" objects="1" scenarios="1"/>
  <mergeCells count="1">
    <mergeCell ref="A21:M21"/>
  </mergeCells>
  <printOptions horizontalCentered="1"/>
  <pageMargins left="0.5" right="0.5" top="0.65" bottom="0.65" header="0.5" footer="0.5"/>
  <pageSetup horizontalDpi="300" verticalDpi="300" orientation="landscape" scale="70" r:id="rId1"/>
  <headerFooter alignWithMargins="0">
    <oddHeader>&amp;CRESULTS SHEET</oddHeader>
    <oddFooter>&amp;C&amp;P of &amp;N&amp;R]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P22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14.421875" style="7" customWidth="1"/>
    <col min="2" max="2" width="27.140625" style="7" customWidth="1"/>
    <col min="3" max="3" width="11.57421875" style="7" customWidth="1"/>
    <col min="4" max="4" width="11.8515625" style="7" customWidth="1"/>
    <col min="5" max="5" width="12.28125" style="7" customWidth="1"/>
    <col min="6" max="6" width="12.7109375" style="7" customWidth="1"/>
    <col min="7" max="7" width="12.8515625" style="7" customWidth="1"/>
    <col min="8" max="8" width="25.421875" style="7" customWidth="1"/>
    <col min="9" max="9" width="12.8515625" style="7" customWidth="1"/>
    <col min="10" max="10" width="11.57421875" style="7" bestFit="1" customWidth="1"/>
    <col min="11" max="11" width="12.8515625" style="7" customWidth="1"/>
    <col min="12" max="12" width="14.8515625" style="7" customWidth="1"/>
    <col min="13" max="13" width="9.421875" style="7" customWidth="1"/>
    <col min="14" max="14" width="10.8515625" style="7" customWidth="1"/>
    <col min="15" max="16" width="12.00390625" style="7" bestFit="1" customWidth="1"/>
    <col min="17" max="16384" width="9.140625" style="7" customWidth="1"/>
  </cols>
  <sheetData>
    <row r="1" spans="1:14" ht="12" customHeight="1">
      <c r="A1" s="93" t="s">
        <v>240</v>
      </c>
      <c r="B1" s="94"/>
      <c r="C1" s="95"/>
      <c r="D1" s="96"/>
      <c r="E1" s="94"/>
      <c r="F1" s="96"/>
      <c r="G1" s="96"/>
      <c r="H1" s="95"/>
      <c r="I1" s="235" t="s">
        <v>283</v>
      </c>
      <c r="J1" s="237"/>
      <c r="K1" s="237"/>
      <c r="L1" s="236"/>
      <c r="M1" s="53"/>
      <c r="N1" s="53"/>
    </row>
    <row r="2" spans="1:14" ht="15.75" thickBot="1">
      <c r="A2" s="97" t="s">
        <v>241</v>
      </c>
      <c r="B2" s="154" t="s">
        <v>242</v>
      </c>
      <c r="C2" s="98" t="s">
        <v>293</v>
      </c>
      <c r="D2" s="99" t="s">
        <v>243</v>
      </c>
      <c r="E2" s="92" t="s">
        <v>244</v>
      </c>
      <c r="F2" s="99" t="s">
        <v>294</v>
      </c>
      <c r="G2" s="100" t="s">
        <v>245</v>
      </c>
      <c r="H2" s="65" t="s">
        <v>246</v>
      </c>
      <c r="I2" s="92" t="s">
        <v>284</v>
      </c>
      <c r="J2" s="238" t="s">
        <v>292</v>
      </c>
      <c r="K2" s="239" t="s">
        <v>295</v>
      </c>
      <c r="L2" s="240"/>
      <c r="M2" s="53"/>
      <c r="N2" s="53"/>
    </row>
    <row r="3" spans="1:14" ht="12.75" thickTop="1">
      <c r="A3" s="101" t="s">
        <v>247</v>
      </c>
      <c r="B3" s="102">
        <v>0.61</v>
      </c>
      <c r="C3" s="191">
        <v>0.01496</v>
      </c>
      <c r="D3" s="73">
        <v>1.253</v>
      </c>
      <c r="E3" s="192">
        <v>0.2019</v>
      </c>
      <c r="F3" s="73">
        <v>0.459</v>
      </c>
      <c r="G3" s="73">
        <v>0.098</v>
      </c>
      <c r="H3" s="192">
        <v>0.0092</v>
      </c>
      <c r="I3" s="102">
        <v>1.43</v>
      </c>
      <c r="J3" s="73">
        <v>0.215</v>
      </c>
      <c r="K3" s="107" t="s">
        <v>296</v>
      </c>
      <c r="L3" s="241"/>
      <c r="M3" s="53"/>
      <c r="N3" s="53"/>
    </row>
    <row r="4" spans="1:14" ht="12">
      <c r="A4" s="101" t="s">
        <v>248</v>
      </c>
      <c r="B4" s="102">
        <v>0.34</v>
      </c>
      <c r="C4" s="191">
        <v>0.01581</v>
      </c>
      <c r="D4" s="73">
        <v>1.416</v>
      </c>
      <c r="E4" s="192">
        <v>0.2938</v>
      </c>
      <c r="F4" s="73">
        <v>0.442</v>
      </c>
      <c r="G4" s="73">
        <v>0.079</v>
      </c>
      <c r="H4" s="73">
        <v>0.016</v>
      </c>
      <c r="I4" s="102">
        <v>1.48</v>
      </c>
      <c r="J4" s="73">
        <v>0.168</v>
      </c>
      <c r="K4" s="107" t="s">
        <v>297</v>
      </c>
      <c r="L4" s="241"/>
      <c r="M4" s="53"/>
      <c r="N4" s="53"/>
    </row>
    <row r="5" spans="1:14" ht="12">
      <c r="A5" s="101" t="s">
        <v>249</v>
      </c>
      <c r="B5" s="102">
        <v>0.5</v>
      </c>
      <c r="C5" s="191">
        <v>0.01112</v>
      </c>
      <c r="D5" s="73">
        <v>1.472</v>
      </c>
      <c r="E5" s="192">
        <v>0.3207</v>
      </c>
      <c r="F5" s="73">
        <v>0.399</v>
      </c>
      <c r="G5" s="73">
        <v>0.061</v>
      </c>
      <c r="H5" s="73">
        <v>0.02</v>
      </c>
      <c r="I5" s="102">
        <v>1.59</v>
      </c>
      <c r="J5" s="73">
        <v>0.148</v>
      </c>
      <c r="K5" s="107" t="s">
        <v>298</v>
      </c>
      <c r="L5" s="241"/>
      <c r="M5" s="53"/>
      <c r="N5" s="53"/>
    </row>
    <row r="6" spans="1:14" ht="12">
      <c r="A6" s="101" t="s">
        <v>250</v>
      </c>
      <c r="B6" s="102">
        <v>4.38</v>
      </c>
      <c r="C6" s="191">
        <v>0.03475</v>
      </c>
      <c r="D6" s="73">
        <v>1.746</v>
      </c>
      <c r="E6" s="192">
        <v>0.4273</v>
      </c>
      <c r="F6" s="73">
        <v>0.39</v>
      </c>
      <c r="G6" s="73">
        <v>0.049</v>
      </c>
      <c r="H6" s="73">
        <v>0.04</v>
      </c>
      <c r="I6" s="102">
        <v>1.62</v>
      </c>
      <c r="J6" s="73">
        <v>0.076</v>
      </c>
      <c r="K6" s="107" t="s">
        <v>299</v>
      </c>
      <c r="L6" s="241"/>
      <c r="M6" s="53"/>
      <c r="N6" s="53"/>
    </row>
    <row r="7" spans="1:14" ht="12">
      <c r="A7" s="101" t="s">
        <v>110</v>
      </c>
      <c r="B7" s="102">
        <v>26.78</v>
      </c>
      <c r="C7" s="191">
        <v>0.03524</v>
      </c>
      <c r="D7" s="73">
        <v>3.177</v>
      </c>
      <c r="E7" s="192">
        <v>0.6852</v>
      </c>
      <c r="F7" s="73">
        <v>0.375</v>
      </c>
      <c r="G7" s="73">
        <v>0.053</v>
      </c>
      <c r="H7" s="73">
        <v>0.044</v>
      </c>
      <c r="I7" s="102">
        <v>1.66</v>
      </c>
      <c r="J7" s="73">
        <v>0.054</v>
      </c>
      <c r="K7" s="107" t="s">
        <v>300</v>
      </c>
      <c r="L7" s="241"/>
      <c r="M7" s="53"/>
      <c r="N7" s="53"/>
    </row>
    <row r="8" spans="1:14" ht="12">
      <c r="A8" s="101" t="s">
        <v>33</v>
      </c>
      <c r="B8" s="102">
        <v>0.47</v>
      </c>
      <c r="C8" s="191">
        <v>0.03342</v>
      </c>
      <c r="D8" s="73">
        <v>1.208</v>
      </c>
      <c r="E8" s="192">
        <v>0.1722</v>
      </c>
      <c r="F8" s="73">
        <v>0.385</v>
      </c>
      <c r="G8" s="73">
        <v>0.117</v>
      </c>
      <c r="H8" s="73">
        <v>0.025</v>
      </c>
      <c r="I8" s="102">
        <v>1.63</v>
      </c>
      <c r="J8" s="73">
        <v>0.197</v>
      </c>
      <c r="K8" s="107" t="s">
        <v>301</v>
      </c>
      <c r="L8" s="241"/>
      <c r="M8" s="53"/>
      <c r="N8" s="53"/>
    </row>
    <row r="9" spans="1:14" ht="12">
      <c r="A9" s="101" t="s">
        <v>53</v>
      </c>
      <c r="B9" s="102">
        <v>0.55</v>
      </c>
      <c r="C9" s="191">
        <v>0.02109</v>
      </c>
      <c r="D9" s="73">
        <v>1.33</v>
      </c>
      <c r="E9" s="192">
        <v>0.2481</v>
      </c>
      <c r="F9" s="73">
        <v>0.384</v>
      </c>
      <c r="G9" s="73">
        <v>0.063</v>
      </c>
      <c r="H9" s="73">
        <v>0.029</v>
      </c>
      <c r="I9" s="102">
        <v>1.63</v>
      </c>
      <c r="J9" s="73">
        <v>0.146</v>
      </c>
      <c r="K9" s="107" t="s">
        <v>302</v>
      </c>
      <c r="L9" s="241"/>
      <c r="M9" s="53"/>
      <c r="N9" s="53"/>
    </row>
    <row r="10" spans="1:14" ht="12">
      <c r="A10" s="101" t="s">
        <v>251</v>
      </c>
      <c r="B10" s="102">
        <v>1.82</v>
      </c>
      <c r="C10" s="191">
        <v>0.00658</v>
      </c>
      <c r="D10" s="73">
        <v>1.679</v>
      </c>
      <c r="E10" s="192">
        <v>0.4044</v>
      </c>
      <c r="F10" s="73">
        <v>0.489</v>
      </c>
      <c r="G10" s="73">
        <v>0.05</v>
      </c>
      <c r="H10" s="192">
        <v>0.0046</v>
      </c>
      <c r="I10" s="102">
        <v>1.35</v>
      </c>
      <c r="J10" s="73">
        <v>0.167</v>
      </c>
      <c r="K10" s="107" t="s">
        <v>303</v>
      </c>
      <c r="L10" s="241"/>
      <c r="M10" s="53"/>
      <c r="N10" s="53"/>
    </row>
    <row r="11" spans="1:14" ht="12">
      <c r="A11" s="103" t="s">
        <v>252</v>
      </c>
      <c r="B11" s="104">
        <v>0.4</v>
      </c>
      <c r="C11" s="193">
        <v>0.01622</v>
      </c>
      <c r="D11" s="105">
        <v>1.321</v>
      </c>
      <c r="E11" s="192">
        <v>0.243</v>
      </c>
      <c r="F11" s="105">
        <v>0.481</v>
      </c>
      <c r="G11" s="105">
        <v>0.111</v>
      </c>
      <c r="H11" s="192">
        <v>0.0039</v>
      </c>
      <c r="I11" s="102">
        <v>1.38</v>
      </c>
      <c r="J11" s="105">
        <v>0.216</v>
      </c>
      <c r="K11" s="107" t="s">
        <v>304</v>
      </c>
      <c r="L11" s="241"/>
      <c r="M11" s="53"/>
      <c r="N11" s="53"/>
    </row>
    <row r="12" spans="1:14" ht="12">
      <c r="A12" s="106" t="s">
        <v>253</v>
      </c>
      <c r="B12" s="102">
        <v>0.46</v>
      </c>
      <c r="C12" s="191">
        <v>0.00839</v>
      </c>
      <c r="D12" s="73">
        <v>1.521</v>
      </c>
      <c r="E12" s="192">
        <v>0.3425</v>
      </c>
      <c r="F12" s="73">
        <v>0.482</v>
      </c>
      <c r="G12" s="73">
        <v>0.09</v>
      </c>
      <c r="H12" s="192">
        <v>0.0056</v>
      </c>
      <c r="I12" s="102">
        <v>1.37</v>
      </c>
      <c r="J12" s="73">
        <v>0.198</v>
      </c>
      <c r="K12" s="107" t="s">
        <v>305</v>
      </c>
      <c r="L12" s="241"/>
      <c r="M12" s="53"/>
      <c r="N12" s="53"/>
    </row>
    <row r="13" spans="1:14" ht="12">
      <c r="A13" s="106" t="s">
        <v>254</v>
      </c>
      <c r="B13" s="102">
        <v>0.76</v>
      </c>
      <c r="C13" s="191">
        <v>0.00506</v>
      </c>
      <c r="D13" s="73">
        <v>1.663</v>
      </c>
      <c r="E13" s="192">
        <v>0.3987</v>
      </c>
      <c r="F13" s="73">
        <v>0.439</v>
      </c>
      <c r="G13" s="73">
        <v>0.065</v>
      </c>
      <c r="H13" s="73">
        <v>0.011</v>
      </c>
      <c r="I13" s="102">
        <v>1.49</v>
      </c>
      <c r="J13" s="73">
        <v>0.18</v>
      </c>
      <c r="K13" s="107" t="s">
        <v>306</v>
      </c>
      <c r="L13" s="241"/>
      <c r="M13" s="53"/>
      <c r="N13" s="53"/>
    </row>
    <row r="14" spans="1:14" ht="12.75" thickBot="1">
      <c r="A14" s="108" t="s">
        <v>255</v>
      </c>
      <c r="B14" s="110">
        <v>1.6</v>
      </c>
      <c r="C14" s="194">
        <v>0.02667</v>
      </c>
      <c r="D14" s="109">
        <v>1.449</v>
      </c>
      <c r="E14" s="195">
        <v>0.3099</v>
      </c>
      <c r="F14" s="109">
        <v>0.387</v>
      </c>
      <c r="G14" s="109">
        <v>0.039</v>
      </c>
      <c r="H14" s="109">
        <v>0.03</v>
      </c>
      <c r="I14" s="110">
        <v>1.62</v>
      </c>
      <c r="J14" s="109">
        <v>0.103</v>
      </c>
      <c r="K14" s="242" t="s">
        <v>307</v>
      </c>
      <c r="L14" s="243"/>
      <c r="M14" s="53"/>
      <c r="N14" s="53"/>
    </row>
    <row r="15" spans="1:14" ht="1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ht="12.75" thickBo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6" ht="12.75">
      <c r="A17" s="8" t="s">
        <v>336</v>
      </c>
      <c r="B17" s="9"/>
      <c r="C17" s="111"/>
      <c r="D17" s="10"/>
      <c r="E17" s="10"/>
      <c r="F17" s="111"/>
      <c r="G17" s="10"/>
      <c r="H17" s="111"/>
      <c r="I17" s="111"/>
      <c r="J17" s="112"/>
      <c r="K17" s="112"/>
      <c r="L17" s="113"/>
      <c r="M17" s="114"/>
      <c r="N17" s="114"/>
      <c r="O17" s="140"/>
      <c r="P17" s="229"/>
    </row>
    <row r="18" spans="1:16" ht="12.75">
      <c r="A18" s="16"/>
      <c r="B18" s="115"/>
      <c r="C18" s="116" t="s">
        <v>77</v>
      </c>
      <c r="D18" s="116"/>
      <c r="E18" s="116"/>
      <c r="F18" s="116" t="s">
        <v>78</v>
      </c>
      <c r="G18" s="116"/>
      <c r="H18" s="116" t="s">
        <v>75</v>
      </c>
      <c r="I18" s="44" t="s">
        <v>75</v>
      </c>
      <c r="J18" s="117"/>
      <c r="K18" s="117"/>
      <c r="L18" s="118" t="s">
        <v>76</v>
      </c>
      <c r="M18" s="119"/>
      <c r="N18" s="119"/>
      <c r="O18" s="141"/>
      <c r="P18" s="144"/>
    </row>
    <row r="19" spans="1:16" ht="12.75">
      <c r="A19" s="16"/>
      <c r="B19" s="44"/>
      <c r="C19" s="116" t="s">
        <v>82</v>
      </c>
      <c r="D19" s="116"/>
      <c r="E19" s="116"/>
      <c r="F19" s="116" t="s">
        <v>83</v>
      </c>
      <c r="G19" s="116"/>
      <c r="H19" s="116" t="s">
        <v>79</v>
      </c>
      <c r="I19" s="44" t="s">
        <v>79</v>
      </c>
      <c r="J19" s="117" t="s">
        <v>81</v>
      </c>
      <c r="K19" s="117"/>
      <c r="L19" s="118" t="s">
        <v>80</v>
      </c>
      <c r="M19" s="119" t="s">
        <v>84</v>
      </c>
      <c r="N19" s="119"/>
      <c r="O19" s="141"/>
      <c r="P19" s="144"/>
    </row>
    <row r="20" spans="1:16" ht="12.75">
      <c r="A20" s="16"/>
      <c r="B20" s="44"/>
      <c r="C20" s="116" t="s">
        <v>91</v>
      </c>
      <c r="D20" s="116" t="s">
        <v>85</v>
      </c>
      <c r="E20" s="116" t="s">
        <v>85</v>
      </c>
      <c r="F20" s="116" t="s">
        <v>92</v>
      </c>
      <c r="G20" s="116" t="s">
        <v>75</v>
      </c>
      <c r="H20" s="116" t="s">
        <v>86</v>
      </c>
      <c r="I20" s="44" t="s">
        <v>87</v>
      </c>
      <c r="J20" s="117" t="s">
        <v>89</v>
      </c>
      <c r="K20" s="117" t="s">
        <v>90</v>
      </c>
      <c r="L20" s="118" t="s">
        <v>88</v>
      </c>
      <c r="M20" s="119" t="s">
        <v>93</v>
      </c>
      <c r="N20" s="119" t="s">
        <v>94</v>
      </c>
      <c r="O20" s="141"/>
      <c r="P20" s="144"/>
    </row>
    <row r="21" spans="1:16" ht="12.75">
      <c r="A21" s="16"/>
      <c r="B21" s="44"/>
      <c r="C21" s="116" t="s">
        <v>99</v>
      </c>
      <c r="D21" s="116" t="s">
        <v>95</v>
      </c>
      <c r="E21" s="116" t="s">
        <v>96</v>
      </c>
      <c r="F21" s="116" t="s">
        <v>100</v>
      </c>
      <c r="G21" s="116" t="s">
        <v>79</v>
      </c>
      <c r="H21" s="116" t="s">
        <v>25</v>
      </c>
      <c r="I21" s="44" t="s">
        <v>25</v>
      </c>
      <c r="J21" s="117" t="s">
        <v>98</v>
      </c>
      <c r="K21" s="117" t="s">
        <v>25</v>
      </c>
      <c r="L21" s="118" t="s">
        <v>97</v>
      </c>
      <c r="M21" s="119" t="s">
        <v>101</v>
      </c>
      <c r="N21" s="119" t="s">
        <v>10</v>
      </c>
      <c r="O21" s="230"/>
      <c r="P21" s="231"/>
    </row>
    <row r="22" spans="1:16" ht="13.5">
      <c r="A22" s="16"/>
      <c r="B22" s="44"/>
      <c r="C22" s="116" t="s">
        <v>109</v>
      </c>
      <c r="D22" s="116" t="s">
        <v>102</v>
      </c>
      <c r="E22" s="116" t="s">
        <v>103</v>
      </c>
      <c r="F22" s="116" t="s">
        <v>110</v>
      </c>
      <c r="G22" s="116" t="s">
        <v>256</v>
      </c>
      <c r="H22" s="116" t="s">
        <v>104</v>
      </c>
      <c r="I22" s="116" t="s">
        <v>105</v>
      </c>
      <c r="J22" s="117" t="s">
        <v>257</v>
      </c>
      <c r="K22" s="117" t="s">
        <v>258</v>
      </c>
      <c r="L22" s="120" t="s">
        <v>259</v>
      </c>
      <c r="M22" s="119" t="s">
        <v>111</v>
      </c>
      <c r="N22" s="119" t="s">
        <v>112</v>
      </c>
      <c r="O22" s="230"/>
      <c r="P22" s="231"/>
    </row>
    <row r="23" spans="1:16" ht="15" thickBot="1">
      <c r="A23" s="11" t="s">
        <v>9</v>
      </c>
      <c r="B23" s="45" t="s">
        <v>7</v>
      </c>
      <c r="C23" s="63" t="s">
        <v>117</v>
      </c>
      <c r="D23" s="63" t="s">
        <v>113</v>
      </c>
      <c r="E23" s="63" t="s">
        <v>113</v>
      </c>
      <c r="F23" s="63" t="s">
        <v>118</v>
      </c>
      <c r="G23" s="63" t="s">
        <v>51</v>
      </c>
      <c r="H23" s="63" t="s">
        <v>114</v>
      </c>
      <c r="I23" s="63" t="s">
        <v>32</v>
      </c>
      <c r="J23" s="88" t="s">
        <v>116</v>
      </c>
      <c r="K23" s="88" t="s">
        <v>116</v>
      </c>
      <c r="L23" s="82" t="s">
        <v>115</v>
      </c>
      <c r="M23" s="89" t="s">
        <v>119</v>
      </c>
      <c r="N23" s="89" t="s">
        <v>120</v>
      </c>
      <c r="O23" s="232"/>
      <c r="P23" s="233"/>
    </row>
    <row r="24" spans="1:16" ht="12.75" thickTop="1">
      <c r="A24" s="16"/>
      <c r="B24" s="44"/>
      <c r="C24" s="116"/>
      <c r="D24" s="116"/>
      <c r="E24" s="116"/>
      <c r="F24" s="116"/>
      <c r="G24" s="116"/>
      <c r="H24" s="116"/>
      <c r="I24" s="116"/>
      <c r="J24" s="117"/>
      <c r="K24" s="117"/>
      <c r="L24" s="118"/>
      <c r="M24" s="119"/>
      <c r="N24" s="119"/>
      <c r="O24" s="146"/>
      <c r="P24" s="147"/>
    </row>
    <row r="25" spans="1:16" ht="12.75">
      <c r="A25" s="230">
        <v>56235</v>
      </c>
      <c r="B25" s="141" t="s">
        <v>260</v>
      </c>
      <c r="C25" s="244">
        <v>43.89</v>
      </c>
      <c r="D25" s="257">
        <v>0.057143</v>
      </c>
      <c r="E25" s="257">
        <v>9.7849E-06</v>
      </c>
      <c r="F25" s="257">
        <v>793</v>
      </c>
      <c r="G25" s="244">
        <v>1.1283729</v>
      </c>
      <c r="H25" s="245">
        <v>0.0276</v>
      </c>
      <c r="I25" s="121">
        <v>25</v>
      </c>
      <c r="J25" s="252">
        <v>349.95</v>
      </c>
      <c r="K25" s="251">
        <v>556.35</v>
      </c>
      <c r="L25" s="260">
        <v>7127</v>
      </c>
      <c r="M25" s="244">
        <v>6E-06</v>
      </c>
      <c r="N25" s="244">
        <v>0.1</v>
      </c>
      <c r="O25" s="234"/>
      <c r="P25" s="135"/>
    </row>
    <row r="26" spans="1:16" ht="12.75">
      <c r="A26" s="230">
        <v>67641</v>
      </c>
      <c r="B26" s="141" t="s">
        <v>310</v>
      </c>
      <c r="C26" s="244">
        <v>2.364</v>
      </c>
      <c r="D26" s="257">
        <v>0.10592</v>
      </c>
      <c r="E26" s="257">
        <v>1.1471E-05</v>
      </c>
      <c r="F26" s="257">
        <v>1000000</v>
      </c>
      <c r="G26" s="244">
        <v>0.0014309</v>
      </c>
      <c r="H26" s="245">
        <v>3.5E-05</v>
      </c>
      <c r="I26" s="121">
        <v>25</v>
      </c>
      <c r="J26" s="252">
        <v>328.65</v>
      </c>
      <c r="K26" s="251">
        <v>508.1</v>
      </c>
      <c r="L26" s="260">
        <v>6955</v>
      </c>
      <c r="M26" s="261">
        <v>0</v>
      </c>
      <c r="N26" s="261">
        <v>0</v>
      </c>
      <c r="O26" s="234"/>
      <c r="P26" s="135"/>
    </row>
    <row r="27" spans="1:16" ht="12.75">
      <c r="A27" s="230">
        <v>67663</v>
      </c>
      <c r="B27" s="141" t="s">
        <v>261</v>
      </c>
      <c r="C27" s="244">
        <v>31.82</v>
      </c>
      <c r="D27" s="257">
        <v>0.07692</v>
      </c>
      <c r="E27" s="257">
        <v>1.0891E-05</v>
      </c>
      <c r="F27" s="257">
        <v>7950</v>
      </c>
      <c r="G27" s="244">
        <v>0.1500409</v>
      </c>
      <c r="H27" s="244">
        <v>0.00367</v>
      </c>
      <c r="I27" s="121">
        <v>25</v>
      </c>
      <c r="J27" s="252">
        <v>334.25</v>
      </c>
      <c r="K27" s="251">
        <v>536.4</v>
      </c>
      <c r="L27" s="260">
        <v>6988</v>
      </c>
      <c r="M27" s="244">
        <v>0</v>
      </c>
      <c r="N27" s="244">
        <v>0.098</v>
      </c>
      <c r="O27" s="234"/>
      <c r="P27" s="135"/>
    </row>
    <row r="28" spans="1:16" ht="12.75">
      <c r="A28" s="230">
        <v>71432</v>
      </c>
      <c r="B28" s="141" t="s">
        <v>262</v>
      </c>
      <c r="C28" s="244">
        <v>145.8</v>
      </c>
      <c r="D28" s="257">
        <v>0.089534</v>
      </c>
      <c r="E28" s="257">
        <v>1.0263E-05</v>
      </c>
      <c r="F28" s="257">
        <v>1790</v>
      </c>
      <c r="G28" s="244">
        <v>0.2269011</v>
      </c>
      <c r="H28" s="244">
        <v>0.00555</v>
      </c>
      <c r="I28" s="121">
        <v>25</v>
      </c>
      <c r="J28" s="252">
        <v>353.15</v>
      </c>
      <c r="K28" s="251">
        <v>562</v>
      </c>
      <c r="L28" s="260">
        <v>7342</v>
      </c>
      <c r="M28" s="244">
        <v>7.8E-06</v>
      </c>
      <c r="N28" s="244">
        <v>0.03</v>
      </c>
      <c r="O28" s="234"/>
      <c r="P28" s="135"/>
    </row>
    <row r="29" spans="1:16" ht="12.75">
      <c r="A29" s="230">
        <v>71556</v>
      </c>
      <c r="B29" s="141" t="s">
        <v>263</v>
      </c>
      <c r="C29" s="244">
        <v>43.89</v>
      </c>
      <c r="D29" s="257">
        <v>0.064817</v>
      </c>
      <c r="E29" s="257">
        <v>9.599E-06</v>
      </c>
      <c r="F29" s="257">
        <v>1290</v>
      </c>
      <c r="G29" s="244">
        <v>0.7031889</v>
      </c>
      <c r="H29" s="244">
        <v>0.0172</v>
      </c>
      <c r="I29" s="121">
        <v>25</v>
      </c>
      <c r="J29" s="252">
        <v>347.15</v>
      </c>
      <c r="K29" s="251">
        <v>585</v>
      </c>
      <c r="L29" s="260">
        <v>7136</v>
      </c>
      <c r="M29" s="244">
        <v>0</v>
      </c>
      <c r="N29" s="244">
        <v>5</v>
      </c>
      <c r="O29" s="234"/>
      <c r="P29" s="135"/>
    </row>
    <row r="30" spans="1:16" ht="12.75">
      <c r="A30" s="230">
        <v>74839</v>
      </c>
      <c r="B30" s="141" t="s">
        <v>311</v>
      </c>
      <c r="C30" s="244">
        <v>13.22</v>
      </c>
      <c r="D30" s="257">
        <v>0.1005</v>
      </c>
      <c r="E30" s="257">
        <v>1.3468E-05</v>
      </c>
      <c r="F30" s="257">
        <v>15200</v>
      </c>
      <c r="G30" s="244">
        <v>0.3000818</v>
      </c>
      <c r="H30" s="244">
        <v>0.00734</v>
      </c>
      <c r="I30" s="121">
        <v>25</v>
      </c>
      <c r="J30" s="252">
        <v>276.65</v>
      </c>
      <c r="K30" s="251">
        <v>467.15</v>
      </c>
      <c r="L30" s="260">
        <v>5714</v>
      </c>
      <c r="M30" s="244">
        <v>0</v>
      </c>
      <c r="N30" s="244">
        <v>0.005</v>
      </c>
      <c r="O30" s="234"/>
      <c r="P30" s="135"/>
    </row>
    <row r="31" spans="1:16" ht="12.75">
      <c r="A31" s="230">
        <v>74873</v>
      </c>
      <c r="B31" s="141" t="s">
        <v>312</v>
      </c>
      <c r="C31" s="244">
        <v>13.22</v>
      </c>
      <c r="D31" s="257">
        <v>0.12396</v>
      </c>
      <c r="E31" s="257">
        <v>1.3648E-05</v>
      </c>
      <c r="F31" s="257">
        <v>5320</v>
      </c>
      <c r="G31" s="244">
        <v>0.3605887</v>
      </c>
      <c r="H31" s="244">
        <v>0.00882</v>
      </c>
      <c r="I31" s="121">
        <v>25</v>
      </c>
      <c r="J31" s="252">
        <v>249.14999999999998</v>
      </c>
      <c r="K31" s="251">
        <v>416.25</v>
      </c>
      <c r="L31" s="260">
        <v>5115</v>
      </c>
      <c r="M31" s="244">
        <v>0</v>
      </c>
      <c r="N31" s="244">
        <v>0.09</v>
      </c>
      <c r="O31" s="234"/>
      <c r="P31" s="135"/>
    </row>
    <row r="32" spans="1:16" ht="12.75">
      <c r="A32" s="230">
        <v>75003</v>
      </c>
      <c r="B32" s="141" t="s">
        <v>313</v>
      </c>
      <c r="C32" s="244">
        <v>21.73</v>
      </c>
      <c r="D32" s="257">
        <v>0.10376</v>
      </c>
      <c r="E32" s="257">
        <v>1.1619E-05</v>
      </c>
      <c r="F32" s="257">
        <v>6710</v>
      </c>
      <c r="G32" s="244">
        <v>0.4538021</v>
      </c>
      <c r="H32" s="244">
        <v>0.0111</v>
      </c>
      <c r="I32" s="121">
        <v>25</v>
      </c>
      <c r="J32" s="252">
        <v>285.45</v>
      </c>
      <c r="K32" s="251">
        <v>460.15</v>
      </c>
      <c r="L32" s="260">
        <v>5879</v>
      </c>
      <c r="M32" s="244">
        <v>0</v>
      </c>
      <c r="N32" s="244">
        <v>10</v>
      </c>
      <c r="O32" s="234"/>
      <c r="P32" s="135"/>
    </row>
    <row r="33" spans="1:16" ht="12.75">
      <c r="A33" s="230">
        <v>75014</v>
      </c>
      <c r="B33" s="141" t="s">
        <v>314</v>
      </c>
      <c r="C33" s="244">
        <v>21.73</v>
      </c>
      <c r="D33" s="257">
        <v>0.10712</v>
      </c>
      <c r="E33" s="257">
        <v>1.2004E-05</v>
      </c>
      <c r="F33" s="257">
        <v>8800</v>
      </c>
      <c r="G33" s="244">
        <v>1.1365495</v>
      </c>
      <c r="H33" s="244">
        <v>0.0278</v>
      </c>
      <c r="I33" s="121">
        <v>25</v>
      </c>
      <c r="J33" s="252">
        <v>259.84999999999997</v>
      </c>
      <c r="K33" s="251">
        <v>424.61</v>
      </c>
      <c r="L33" s="260">
        <v>5250</v>
      </c>
      <c r="M33" s="244">
        <v>4.4E-06</v>
      </c>
      <c r="N33" s="244">
        <v>0.1</v>
      </c>
      <c r="O33" s="234"/>
      <c r="P33" s="135"/>
    </row>
    <row r="34" spans="1:16" ht="12.75">
      <c r="A34" s="230">
        <v>75092</v>
      </c>
      <c r="B34" s="141" t="s">
        <v>315</v>
      </c>
      <c r="C34" s="244">
        <v>21.73</v>
      </c>
      <c r="D34" s="257">
        <v>0.099936</v>
      </c>
      <c r="E34" s="257">
        <v>1.2512E-05</v>
      </c>
      <c r="F34" s="257">
        <v>13000</v>
      </c>
      <c r="G34" s="244">
        <v>0.13287</v>
      </c>
      <c r="H34" s="244">
        <v>0.00325</v>
      </c>
      <c r="I34" s="121">
        <v>25</v>
      </c>
      <c r="J34" s="252">
        <v>313.15</v>
      </c>
      <c r="K34" s="251">
        <v>508.2</v>
      </c>
      <c r="L34" s="260">
        <v>6706</v>
      </c>
      <c r="M34" s="244">
        <v>1E-08</v>
      </c>
      <c r="N34" s="244">
        <v>0.6</v>
      </c>
      <c r="O34" s="234"/>
      <c r="P34" s="135"/>
    </row>
    <row r="35" spans="1:16" ht="12.75">
      <c r="A35" s="230">
        <v>75150</v>
      </c>
      <c r="B35" s="141" t="s">
        <v>264</v>
      </c>
      <c r="C35" s="244">
        <v>21.73</v>
      </c>
      <c r="D35" s="257">
        <v>0.10644</v>
      </c>
      <c r="E35" s="257">
        <v>1.2977E-05</v>
      </c>
      <c r="F35" s="257">
        <v>2160</v>
      </c>
      <c r="G35" s="244">
        <v>0.5887163</v>
      </c>
      <c r="H35" s="245">
        <v>0.0144</v>
      </c>
      <c r="I35" s="121">
        <v>25</v>
      </c>
      <c r="J35" s="252">
        <v>319.15</v>
      </c>
      <c r="K35" s="251">
        <v>553.15</v>
      </c>
      <c r="L35" s="260">
        <v>6402</v>
      </c>
      <c r="M35" s="244">
        <v>0</v>
      </c>
      <c r="N35" s="244">
        <v>0.7</v>
      </c>
      <c r="O35" s="234"/>
      <c r="P35" s="135"/>
    </row>
    <row r="36" spans="1:16" ht="12.75">
      <c r="A36" s="230">
        <v>75252</v>
      </c>
      <c r="B36" s="141" t="s">
        <v>265</v>
      </c>
      <c r="C36" s="244">
        <v>31.82</v>
      </c>
      <c r="D36" s="257">
        <v>0.035732</v>
      </c>
      <c r="E36" s="257">
        <v>1.0356E-05</v>
      </c>
      <c r="F36" s="257">
        <v>3100</v>
      </c>
      <c r="G36" s="244">
        <v>0.0218724</v>
      </c>
      <c r="H36" s="244">
        <v>0.000535</v>
      </c>
      <c r="I36" s="121">
        <v>25</v>
      </c>
      <c r="J36" s="252">
        <v>422.25</v>
      </c>
      <c r="K36" s="259">
        <v>633.38</v>
      </c>
      <c r="L36" s="260">
        <v>9479</v>
      </c>
      <c r="M36" s="261">
        <v>0</v>
      </c>
      <c r="N36" s="261">
        <v>0</v>
      </c>
      <c r="O36" s="234"/>
      <c r="P36" s="135"/>
    </row>
    <row r="37" spans="1:16" ht="12.75">
      <c r="A37" s="230">
        <v>75274</v>
      </c>
      <c r="B37" s="141" t="s">
        <v>316</v>
      </c>
      <c r="C37" s="244">
        <v>31.82</v>
      </c>
      <c r="D37" s="257">
        <v>0.056263</v>
      </c>
      <c r="E37" s="257">
        <v>1.0731E-05</v>
      </c>
      <c r="F37" s="257">
        <v>3032</v>
      </c>
      <c r="G37" s="244">
        <v>0.0866721</v>
      </c>
      <c r="H37" s="244">
        <v>0.00212</v>
      </c>
      <c r="I37" s="121">
        <v>25</v>
      </c>
      <c r="J37" s="252">
        <v>363.15</v>
      </c>
      <c r="K37" s="259">
        <v>585.85</v>
      </c>
      <c r="L37" s="260">
        <v>7800</v>
      </c>
      <c r="M37" s="261">
        <v>0</v>
      </c>
      <c r="N37" s="261">
        <v>0</v>
      </c>
      <c r="O37" s="234"/>
      <c r="P37" s="135"/>
    </row>
    <row r="38" spans="1:16" ht="12.75">
      <c r="A38" s="230">
        <v>75343</v>
      </c>
      <c r="B38" s="141" t="s">
        <v>266</v>
      </c>
      <c r="C38" s="244">
        <v>31.82</v>
      </c>
      <c r="D38" s="257">
        <v>0.083645</v>
      </c>
      <c r="E38" s="257">
        <v>1.0621E-05</v>
      </c>
      <c r="F38" s="257">
        <v>5040</v>
      </c>
      <c r="G38" s="244">
        <v>0.2297629</v>
      </c>
      <c r="H38" s="244">
        <v>0.00562</v>
      </c>
      <c r="I38" s="121">
        <v>25</v>
      </c>
      <c r="J38" s="252">
        <v>330.54999999999995</v>
      </c>
      <c r="K38" s="251">
        <v>523.4</v>
      </c>
      <c r="L38" s="260">
        <v>6895</v>
      </c>
      <c r="M38" s="244">
        <v>0</v>
      </c>
      <c r="N38" s="244">
        <v>0</v>
      </c>
      <c r="O38" s="234"/>
      <c r="P38" s="135"/>
    </row>
    <row r="39" spans="1:16" ht="12.75">
      <c r="A39" s="230">
        <v>75354</v>
      </c>
      <c r="B39" s="141" t="s">
        <v>317</v>
      </c>
      <c r="C39" s="244">
        <v>31.82</v>
      </c>
      <c r="D39" s="257">
        <v>0.086311</v>
      </c>
      <c r="E39" s="257">
        <v>1.0956E-05</v>
      </c>
      <c r="F39" s="257">
        <v>2420</v>
      </c>
      <c r="G39" s="244">
        <v>1.0670482</v>
      </c>
      <c r="H39" s="244">
        <v>0.0261</v>
      </c>
      <c r="I39" s="121">
        <v>25</v>
      </c>
      <c r="J39" s="252">
        <v>304.75</v>
      </c>
      <c r="K39" s="251">
        <v>493.95</v>
      </c>
      <c r="L39" s="260">
        <v>6247</v>
      </c>
      <c r="M39" s="244">
        <v>0</v>
      </c>
      <c r="N39" s="244">
        <v>0.02</v>
      </c>
      <c r="O39" s="234"/>
      <c r="P39" s="135"/>
    </row>
    <row r="40" spans="1:16" ht="12.75">
      <c r="A40" s="230">
        <v>75694</v>
      </c>
      <c r="B40" s="141" t="s">
        <v>318</v>
      </c>
      <c r="C40" s="244">
        <v>43.89</v>
      </c>
      <c r="D40" s="257">
        <v>0.065356</v>
      </c>
      <c r="E40" s="257">
        <v>1.0048E-05</v>
      </c>
      <c r="F40" s="257">
        <v>1100</v>
      </c>
      <c r="G40" s="244">
        <v>3.9657</v>
      </c>
      <c r="H40" s="244">
        <v>0.097</v>
      </c>
      <c r="I40" s="146">
        <v>25</v>
      </c>
      <c r="J40" s="252">
        <v>296.84999999999997</v>
      </c>
      <c r="K40" s="251">
        <v>471.15</v>
      </c>
      <c r="L40" s="260">
        <v>5999</v>
      </c>
      <c r="M40" s="261">
        <v>0</v>
      </c>
      <c r="N40" s="261">
        <v>0</v>
      </c>
      <c r="O40" s="234"/>
      <c r="P40" s="135"/>
    </row>
    <row r="41" spans="1:16" ht="12.75">
      <c r="A41" s="230">
        <v>75718</v>
      </c>
      <c r="B41" s="141" t="s">
        <v>319</v>
      </c>
      <c r="C41" s="244">
        <v>43.89</v>
      </c>
      <c r="D41" s="257">
        <v>0.076029</v>
      </c>
      <c r="E41" s="257">
        <v>1.0839E-05</v>
      </c>
      <c r="F41" s="257">
        <v>280</v>
      </c>
      <c r="G41" s="244">
        <v>14.022895</v>
      </c>
      <c r="H41" s="244">
        <v>0.343</v>
      </c>
      <c r="I41" s="121">
        <v>25</v>
      </c>
      <c r="J41" s="252">
        <v>243.34999999999997</v>
      </c>
      <c r="K41" s="251">
        <v>384.9</v>
      </c>
      <c r="L41" s="260">
        <v>4804</v>
      </c>
      <c r="M41" s="261">
        <v>0</v>
      </c>
      <c r="N41" s="261">
        <v>0</v>
      </c>
      <c r="O41" s="234"/>
      <c r="P41" s="135"/>
    </row>
    <row r="42" spans="1:16" ht="12.75">
      <c r="A42" s="230">
        <v>76131</v>
      </c>
      <c r="B42" s="141" t="s">
        <v>320</v>
      </c>
      <c r="C42" s="244">
        <v>196.8</v>
      </c>
      <c r="D42" s="257">
        <v>0.037566</v>
      </c>
      <c r="E42" s="257">
        <v>8.592E-06</v>
      </c>
      <c r="F42" s="257">
        <v>170</v>
      </c>
      <c r="G42" s="244">
        <v>21.504497</v>
      </c>
      <c r="H42" s="244">
        <v>0.526</v>
      </c>
      <c r="I42" s="121">
        <v>25</v>
      </c>
      <c r="J42" s="252">
        <v>320.84999999999997</v>
      </c>
      <c r="K42" s="251">
        <v>487.4</v>
      </c>
      <c r="L42" s="260">
        <v>6462.56</v>
      </c>
      <c r="M42" s="244">
        <v>0</v>
      </c>
      <c r="N42" s="244">
        <v>5</v>
      </c>
      <c r="O42" s="234"/>
      <c r="P42" s="135"/>
    </row>
    <row r="43" spans="1:16" ht="12.75">
      <c r="A43" s="230">
        <v>78875</v>
      </c>
      <c r="B43" s="141" t="s">
        <v>267</v>
      </c>
      <c r="C43" s="244">
        <v>60.7</v>
      </c>
      <c r="D43" s="257">
        <v>0.07334</v>
      </c>
      <c r="E43" s="257">
        <v>9.7252E-06</v>
      </c>
      <c r="F43" s="257">
        <v>2800</v>
      </c>
      <c r="G43" s="244">
        <v>0.1152903</v>
      </c>
      <c r="H43" s="244">
        <v>0.00282</v>
      </c>
      <c r="I43" s="121">
        <v>25</v>
      </c>
      <c r="J43" s="252">
        <v>368.65</v>
      </c>
      <c r="K43" s="259">
        <v>572</v>
      </c>
      <c r="L43" s="260">
        <v>7590</v>
      </c>
      <c r="M43" s="244">
        <v>3.7E-06</v>
      </c>
      <c r="N43" s="244">
        <v>0.004</v>
      </c>
      <c r="O43" s="234"/>
      <c r="P43" s="135"/>
    </row>
    <row r="44" spans="1:16" ht="12.75">
      <c r="A44" s="230">
        <v>78933</v>
      </c>
      <c r="B44" s="141" t="s">
        <v>321</v>
      </c>
      <c r="C44" s="244">
        <v>4.51</v>
      </c>
      <c r="D44" s="257">
        <v>0.091446</v>
      </c>
      <c r="E44" s="257">
        <v>1.0193E-05</v>
      </c>
      <c r="F44" s="257">
        <v>223000</v>
      </c>
      <c r="G44" s="244">
        <v>0.0023262</v>
      </c>
      <c r="H44" s="244">
        <v>5.69E-05</v>
      </c>
      <c r="I44" s="121">
        <v>25</v>
      </c>
      <c r="J44" s="252">
        <v>352.65</v>
      </c>
      <c r="K44" s="251">
        <v>536.7</v>
      </c>
      <c r="L44" s="260">
        <v>7481</v>
      </c>
      <c r="M44" s="244">
        <v>0</v>
      </c>
      <c r="N44" s="244">
        <v>5</v>
      </c>
      <c r="O44" s="234"/>
      <c r="P44" s="135"/>
    </row>
    <row r="45" spans="1:16" ht="12.75">
      <c r="A45" s="230">
        <v>79005</v>
      </c>
      <c r="B45" s="141" t="s">
        <v>268</v>
      </c>
      <c r="C45" s="244">
        <v>60.7</v>
      </c>
      <c r="D45" s="257">
        <v>0.06689</v>
      </c>
      <c r="E45" s="257">
        <v>1.0026E-05</v>
      </c>
      <c r="F45" s="257">
        <v>4590</v>
      </c>
      <c r="G45" s="244">
        <v>0.0336877</v>
      </c>
      <c r="H45" s="244">
        <v>0.000824</v>
      </c>
      <c r="I45" s="121">
        <v>25</v>
      </c>
      <c r="J45" s="252">
        <v>386.95</v>
      </c>
      <c r="K45" s="259">
        <v>602</v>
      </c>
      <c r="L45" s="260">
        <v>8322</v>
      </c>
      <c r="M45" s="261">
        <v>0</v>
      </c>
      <c r="N45" s="261">
        <v>0</v>
      </c>
      <c r="O45" s="234"/>
      <c r="P45" s="135"/>
    </row>
    <row r="46" spans="1:16" ht="12.75">
      <c r="A46" s="230">
        <v>79016</v>
      </c>
      <c r="B46" s="141" t="s">
        <v>322</v>
      </c>
      <c r="C46" s="244">
        <v>60.7</v>
      </c>
      <c r="D46" s="257">
        <v>0.068662</v>
      </c>
      <c r="E46" s="257">
        <v>1.0221E-05</v>
      </c>
      <c r="F46" s="257">
        <v>1280</v>
      </c>
      <c r="G46" s="244">
        <v>0.4026983</v>
      </c>
      <c r="H46" s="244">
        <v>0.00985</v>
      </c>
      <c r="I46" s="121">
        <v>25</v>
      </c>
      <c r="J46" s="252">
        <v>360.34999999999997</v>
      </c>
      <c r="K46" s="251">
        <v>544.2</v>
      </c>
      <c r="L46" s="260">
        <v>7505</v>
      </c>
      <c r="M46" s="244">
        <v>4.1E-06</v>
      </c>
      <c r="N46" s="244">
        <v>0.002</v>
      </c>
      <c r="O46" s="234"/>
      <c r="P46" s="135"/>
    </row>
    <row r="47" spans="1:16" ht="12.75">
      <c r="A47" s="230">
        <v>79345</v>
      </c>
      <c r="B47" s="141" t="s">
        <v>269</v>
      </c>
      <c r="C47" s="244">
        <v>94.94</v>
      </c>
      <c r="D47" s="257">
        <v>0.048921</v>
      </c>
      <c r="E47" s="257">
        <v>9.2902E-06</v>
      </c>
      <c r="F47" s="257">
        <v>2830</v>
      </c>
      <c r="G47" s="244">
        <v>0.0150041</v>
      </c>
      <c r="H47" s="244">
        <v>0.000367</v>
      </c>
      <c r="I47" s="121">
        <v>25</v>
      </c>
      <c r="J47" s="252">
        <v>419.65</v>
      </c>
      <c r="K47" s="251">
        <v>661.15</v>
      </c>
      <c r="L47" s="260">
        <v>8996</v>
      </c>
      <c r="M47" s="261">
        <v>0</v>
      </c>
      <c r="N47" s="261">
        <v>0</v>
      </c>
      <c r="O47" s="234"/>
      <c r="P47" s="135"/>
    </row>
    <row r="48" spans="1:16" ht="12.75">
      <c r="A48" s="230">
        <v>87683</v>
      </c>
      <c r="B48" s="141" t="s">
        <v>270</v>
      </c>
      <c r="C48" s="244">
        <v>845.2</v>
      </c>
      <c r="D48" s="257">
        <v>0.026744</v>
      </c>
      <c r="E48" s="257">
        <v>7.0264E-06</v>
      </c>
      <c r="F48" s="257">
        <v>3.2</v>
      </c>
      <c r="G48" s="244">
        <v>0.4210957</v>
      </c>
      <c r="H48" s="244">
        <v>0.0103</v>
      </c>
      <c r="I48" s="121">
        <v>25</v>
      </c>
      <c r="J48" s="252">
        <v>488.15</v>
      </c>
      <c r="K48" s="259">
        <v>732.23</v>
      </c>
      <c r="L48" s="260">
        <v>10206</v>
      </c>
      <c r="M48" s="261">
        <v>0</v>
      </c>
      <c r="N48" s="261">
        <v>0</v>
      </c>
      <c r="O48" s="234"/>
      <c r="P48" s="135"/>
    </row>
    <row r="49" spans="1:16" ht="12.75">
      <c r="A49" s="230">
        <v>91203</v>
      </c>
      <c r="B49" s="125" t="s">
        <v>271</v>
      </c>
      <c r="C49" s="244">
        <v>1544</v>
      </c>
      <c r="D49" s="245">
        <v>0.060499</v>
      </c>
      <c r="E49" s="245">
        <v>8.377E-06</v>
      </c>
      <c r="F49" s="245">
        <v>31</v>
      </c>
      <c r="G49" s="244">
        <v>0.017988</v>
      </c>
      <c r="H49" s="244">
        <v>0.00044</v>
      </c>
      <c r="I49" s="121">
        <v>25</v>
      </c>
      <c r="J49" s="252">
        <v>491.04999999999995</v>
      </c>
      <c r="K49" s="251">
        <v>748.4</v>
      </c>
      <c r="L49" s="253">
        <v>10373</v>
      </c>
      <c r="M49" s="244">
        <v>3.4E-05</v>
      </c>
      <c r="N49" s="244">
        <v>0.003</v>
      </c>
      <c r="O49" s="234"/>
      <c r="P49" s="135"/>
    </row>
    <row r="50" spans="1:16" ht="12.75">
      <c r="A50" s="230">
        <v>95501</v>
      </c>
      <c r="B50" s="141" t="s">
        <v>323</v>
      </c>
      <c r="C50" s="244">
        <v>382.9</v>
      </c>
      <c r="D50" s="257">
        <v>0.05617</v>
      </c>
      <c r="E50" s="257">
        <v>8.9213E-06</v>
      </c>
      <c r="F50" s="257">
        <v>156</v>
      </c>
      <c r="G50" s="244">
        <v>0.0784956</v>
      </c>
      <c r="H50" s="244">
        <v>0.00192</v>
      </c>
      <c r="I50" s="121">
        <v>25</v>
      </c>
      <c r="J50" s="252">
        <v>453.15</v>
      </c>
      <c r="K50" s="251">
        <v>690.35</v>
      </c>
      <c r="L50" s="260">
        <v>9700</v>
      </c>
      <c r="M50" s="244">
        <v>0</v>
      </c>
      <c r="N50" s="244">
        <v>0.2</v>
      </c>
      <c r="O50" s="234"/>
      <c r="P50" s="135"/>
    </row>
    <row r="51" spans="1:16" ht="12.75">
      <c r="A51" s="230">
        <v>95636</v>
      </c>
      <c r="B51" s="125" t="s">
        <v>285</v>
      </c>
      <c r="C51" s="244">
        <v>614.3</v>
      </c>
      <c r="D51" s="257">
        <v>0.060675</v>
      </c>
      <c r="E51" s="257">
        <v>7.9208E-06</v>
      </c>
      <c r="F51" s="257">
        <v>57</v>
      </c>
      <c r="G51" s="244">
        <v>0.2518397</v>
      </c>
      <c r="H51" s="244">
        <v>0.00616</v>
      </c>
      <c r="I51" s="121">
        <v>25</v>
      </c>
      <c r="J51" s="252">
        <v>442.45</v>
      </c>
      <c r="K51" s="251">
        <v>649.28</v>
      </c>
      <c r="L51" s="260">
        <v>9369</v>
      </c>
      <c r="M51" s="244">
        <v>0</v>
      </c>
      <c r="N51" s="244">
        <v>0.06</v>
      </c>
      <c r="O51" s="234"/>
      <c r="P51" s="135"/>
    </row>
    <row r="52" spans="1:16" ht="12.75">
      <c r="A52" s="230">
        <v>100414</v>
      </c>
      <c r="B52" s="141" t="s">
        <v>272</v>
      </c>
      <c r="C52" s="244">
        <v>446.1</v>
      </c>
      <c r="D52" s="257">
        <v>0.068465</v>
      </c>
      <c r="E52" s="257">
        <v>8.4558E-06</v>
      </c>
      <c r="F52" s="257">
        <v>169</v>
      </c>
      <c r="G52" s="244">
        <v>0.3221586</v>
      </c>
      <c r="H52" s="244">
        <v>0.00788</v>
      </c>
      <c r="I52" s="146">
        <v>25</v>
      </c>
      <c r="J52" s="252">
        <v>409.25</v>
      </c>
      <c r="K52" s="251">
        <v>617.1</v>
      </c>
      <c r="L52" s="260">
        <v>8501</v>
      </c>
      <c r="M52" s="244">
        <v>2.5E-06</v>
      </c>
      <c r="N52" s="244">
        <v>1</v>
      </c>
      <c r="O52" s="234"/>
      <c r="P52" s="135"/>
    </row>
    <row r="53" spans="1:16" ht="12.75">
      <c r="A53" s="230">
        <v>100425</v>
      </c>
      <c r="B53" s="141" t="s">
        <v>273</v>
      </c>
      <c r="C53" s="244">
        <v>446.1</v>
      </c>
      <c r="D53" s="257">
        <v>0.071114</v>
      </c>
      <c r="E53" s="257">
        <v>8.7838E-06</v>
      </c>
      <c r="F53" s="257">
        <v>310</v>
      </c>
      <c r="G53" s="244">
        <v>0.1124285</v>
      </c>
      <c r="H53" s="244">
        <v>0.00275</v>
      </c>
      <c r="I53" s="121">
        <v>25</v>
      </c>
      <c r="J53" s="252">
        <v>418.15</v>
      </c>
      <c r="K53" s="251">
        <v>636.85</v>
      </c>
      <c r="L53" s="260">
        <v>8737</v>
      </c>
      <c r="M53" s="244">
        <v>0</v>
      </c>
      <c r="N53" s="244">
        <v>1</v>
      </c>
      <c r="O53" s="234"/>
      <c r="P53" s="135"/>
    </row>
    <row r="54" spans="1:16" ht="12.75">
      <c r="A54" s="230">
        <v>106467</v>
      </c>
      <c r="B54" s="141" t="s">
        <v>324</v>
      </c>
      <c r="C54" s="244">
        <v>375.3</v>
      </c>
      <c r="D54" s="257">
        <v>0.055043</v>
      </c>
      <c r="E54" s="257">
        <v>8.6797E-06</v>
      </c>
      <c r="F54" s="257">
        <v>81.3</v>
      </c>
      <c r="G54" s="244">
        <v>0.0985282</v>
      </c>
      <c r="H54" s="244">
        <v>0.00241</v>
      </c>
      <c r="I54" s="121">
        <v>25</v>
      </c>
      <c r="J54" s="252">
        <v>447.15</v>
      </c>
      <c r="K54" s="251">
        <v>669</v>
      </c>
      <c r="L54" s="260">
        <v>9271</v>
      </c>
      <c r="M54" s="244">
        <v>0</v>
      </c>
      <c r="N54" s="244">
        <v>0.8</v>
      </c>
      <c r="O54" s="234"/>
      <c r="P54" s="135"/>
    </row>
    <row r="55" spans="1:16" ht="12.75">
      <c r="A55" s="230">
        <v>106934</v>
      </c>
      <c r="B55" s="141" t="s">
        <v>325</v>
      </c>
      <c r="C55" s="244">
        <v>39.6</v>
      </c>
      <c r="D55" s="257">
        <v>0.043035</v>
      </c>
      <c r="E55" s="257">
        <v>1.0439E-05</v>
      </c>
      <c r="F55" s="257">
        <v>3910</v>
      </c>
      <c r="G55" s="244">
        <v>0.026574</v>
      </c>
      <c r="H55" s="244">
        <v>0.00065</v>
      </c>
      <c r="I55" s="121">
        <v>25</v>
      </c>
      <c r="J55" s="252">
        <v>404.75</v>
      </c>
      <c r="K55" s="251">
        <v>582.95</v>
      </c>
      <c r="L55" s="260">
        <v>8310</v>
      </c>
      <c r="M55" s="244">
        <v>0.0006</v>
      </c>
      <c r="N55" s="244">
        <v>0.009</v>
      </c>
      <c r="O55" s="234"/>
      <c r="P55" s="135"/>
    </row>
    <row r="56" spans="1:16" ht="12.75">
      <c r="A56" s="230">
        <v>107062</v>
      </c>
      <c r="B56" s="141" t="s">
        <v>274</v>
      </c>
      <c r="C56" s="244">
        <v>39.6</v>
      </c>
      <c r="D56" s="257">
        <v>0.085722</v>
      </c>
      <c r="E56" s="257">
        <v>1.0995E-05</v>
      </c>
      <c r="F56" s="257">
        <v>8600</v>
      </c>
      <c r="G56" s="244">
        <v>0.048242</v>
      </c>
      <c r="H56" s="244">
        <v>0.00118</v>
      </c>
      <c r="I56" s="121">
        <v>25</v>
      </c>
      <c r="J56" s="252">
        <v>356.65</v>
      </c>
      <c r="K56" s="251">
        <v>563</v>
      </c>
      <c r="L56" s="260">
        <v>7643</v>
      </c>
      <c r="M56" s="244">
        <v>0</v>
      </c>
      <c r="N56" s="244">
        <v>0.007</v>
      </c>
      <c r="O56" s="234"/>
      <c r="P56" s="135"/>
    </row>
    <row r="57" spans="1:16" ht="12.75">
      <c r="A57" s="230">
        <v>108101</v>
      </c>
      <c r="B57" s="141" t="s">
        <v>326</v>
      </c>
      <c r="C57" s="244">
        <v>12.6</v>
      </c>
      <c r="D57" s="257">
        <v>0.06978</v>
      </c>
      <c r="E57" s="257">
        <v>8.3477E-06</v>
      </c>
      <c r="F57" s="257">
        <v>19000</v>
      </c>
      <c r="G57" s="244">
        <v>0.0056419</v>
      </c>
      <c r="H57" s="244">
        <v>0.000138</v>
      </c>
      <c r="I57" s="121">
        <v>25</v>
      </c>
      <c r="J57" s="252">
        <v>389.65</v>
      </c>
      <c r="K57" s="251">
        <v>575.4</v>
      </c>
      <c r="L57" s="260">
        <v>8243.11</v>
      </c>
      <c r="M57" s="244">
        <v>0</v>
      </c>
      <c r="N57" s="244">
        <v>3</v>
      </c>
      <c r="O57" s="234"/>
      <c r="P57" s="135"/>
    </row>
    <row r="58" spans="1:16" ht="12.75">
      <c r="A58" s="230">
        <v>108883</v>
      </c>
      <c r="B58" s="141" t="s">
        <v>275</v>
      </c>
      <c r="C58" s="244">
        <v>233.9</v>
      </c>
      <c r="D58" s="257">
        <v>0.077804</v>
      </c>
      <c r="E58" s="257">
        <v>9.2043E-06</v>
      </c>
      <c r="F58" s="257">
        <v>526</v>
      </c>
      <c r="G58" s="244">
        <v>0.2714636</v>
      </c>
      <c r="H58" s="244">
        <v>0.00664</v>
      </c>
      <c r="I58" s="121">
        <v>25</v>
      </c>
      <c r="J58" s="252">
        <v>383.75</v>
      </c>
      <c r="K58" s="251">
        <v>591.75</v>
      </c>
      <c r="L58" s="260">
        <v>7930</v>
      </c>
      <c r="M58" s="244">
        <v>0</v>
      </c>
      <c r="N58" s="244">
        <v>5</v>
      </c>
      <c r="O58" s="234"/>
      <c r="P58" s="135"/>
    </row>
    <row r="59" spans="1:16" ht="12.75">
      <c r="A59" s="230">
        <v>108907</v>
      </c>
      <c r="B59" s="141" t="s">
        <v>276</v>
      </c>
      <c r="C59" s="244">
        <v>233.9</v>
      </c>
      <c r="D59" s="257">
        <v>0.07213</v>
      </c>
      <c r="E59" s="257">
        <v>9.4765E-06</v>
      </c>
      <c r="F59" s="257">
        <v>498</v>
      </c>
      <c r="G59" s="244">
        <v>0.1271464</v>
      </c>
      <c r="H59" s="244">
        <v>0.00311</v>
      </c>
      <c r="I59" s="121">
        <v>25</v>
      </c>
      <c r="J59" s="252">
        <v>404.84999999999997</v>
      </c>
      <c r="K59" s="251">
        <v>632</v>
      </c>
      <c r="L59" s="260">
        <v>8410</v>
      </c>
      <c r="M59" s="244">
        <v>0</v>
      </c>
      <c r="N59" s="244">
        <v>0.05</v>
      </c>
      <c r="O59" s="234"/>
      <c r="P59" s="135"/>
    </row>
    <row r="60" spans="1:16" ht="12.75">
      <c r="A60" s="230">
        <v>110543</v>
      </c>
      <c r="B60" s="141" t="s">
        <v>327</v>
      </c>
      <c r="C60" s="244">
        <v>131.5</v>
      </c>
      <c r="D60" s="257">
        <v>0.073108</v>
      </c>
      <c r="E60" s="257">
        <v>8.1658E-06</v>
      </c>
      <c r="F60" s="257">
        <v>9.5</v>
      </c>
      <c r="G60" s="244">
        <v>73.589534</v>
      </c>
      <c r="H60" s="246">
        <v>1.8</v>
      </c>
      <c r="I60" s="146">
        <v>25</v>
      </c>
      <c r="J60" s="252">
        <v>341.84999999999997</v>
      </c>
      <c r="K60" s="251">
        <v>507.5</v>
      </c>
      <c r="L60" s="260">
        <v>6895.15</v>
      </c>
      <c r="M60" s="244">
        <v>0</v>
      </c>
      <c r="N60" s="244">
        <v>0.7</v>
      </c>
      <c r="O60" s="234"/>
      <c r="P60" s="135"/>
    </row>
    <row r="61" spans="1:16" ht="12.75">
      <c r="A61" s="230">
        <v>110827</v>
      </c>
      <c r="B61" s="141" t="s">
        <v>309</v>
      </c>
      <c r="C61" s="244">
        <v>145.8</v>
      </c>
      <c r="D61" s="245">
        <v>0.079973</v>
      </c>
      <c r="E61" s="245">
        <v>9.1077E-06</v>
      </c>
      <c r="F61" s="245">
        <v>55</v>
      </c>
      <c r="G61" s="244">
        <v>6.1325</v>
      </c>
      <c r="H61" s="244">
        <v>0.15</v>
      </c>
      <c r="I61" s="121">
        <v>25</v>
      </c>
      <c r="J61" s="252">
        <v>353.84999999999997</v>
      </c>
      <c r="K61" s="251">
        <v>553.45</v>
      </c>
      <c r="L61" s="251">
        <v>7164</v>
      </c>
      <c r="M61" s="244">
        <v>0</v>
      </c>
      <c r="N61" s="244">
        <v>6</v>
      </c>
      <c r="O61" s="234"/>
      <c r="P61" s="135"/>
    </row>
    <row r="62" spans="1:16" ht="12.75">
      <c r="A62" s="230">
        <v>120821</v>
      </c>
      <c r="B62" s="141" t="s">
        <v>277</v>
      </c>
      <c r="C62" s="244">
        <v>1356</v>
      </c>
      <c r="D62" s="257">
        <v>0.039599</v>
      </c>
      <c r="E62" s="257">
        <v>8.4033E-06</v>
      </c>
      <c r="F62" s="257">
        <v>49</v>
      </c>
      <c r="G62" s="244">
        <v>0.058054</v>
      </c>
      <c r="H62" s="244">
        <v>0.00142</v>
      </c>
      <c r="I62" s="121">
        <v>25</v>
      </c>
      <c r="J62" s="252">
        <v>486.65</v>
      </c>
      <c r="K62" s="251">
        <v>726.45</v>
      </c>
      <c r="L62" s="260">
        <v>10471</v>
      </c>
      <c r="M62" s="244">
        <v>0</v>
      </c>
      <c r="N62" s="244">
        <v>0.002</v>
      </c>
      <c r="O62" s="234"/>
      <c r="P62" s="135"/>
    </row>
    <row r="63" spans="1:16" ht="12.75">
      <c r="A63" s="230">
        <v>123911</v>
      </c>
      <c r="B63" s="125" t="s">
        <v>328</v>
      </c>
      <c r="C63" s="244">
        <v>2.633</v>
      </c>
      <c r="D63" s="245">
        <v>0.087374</v>
      </c>
      <c r="E63" s="245">
        <v>1.0541E-05</v>
      </c>
      <c r="F63" s="257">
        <v>1000000</v>
      </c>
      <c r="G63" s="244">
        <v>0.00019624</v>
      </c>
      <c r="H63" s="244">
        <v>4.8E-06</v>
      </c>
      <c r="I63" s="121">
        <v>25</v>
      </c>
      <c r="J63" s="252">
        <v>374.65</v>
      </c>
      <c r="K63" s="251">
        <v>585.15</v>
      </c>
      <c r="L63" s="251">
        <v>8162</v>
      </c>
      <c r="M63" s="244">
        <v>5E-06</v>
      </c>
      <c r="N63" s="244">
        <v>0.03</v>
      </c>
      <c r="O63" s="234"/>
      <c r="P63" s="135"/>
    </row>
    <row r="64" spans="1:16" ht="12.75">
      <c r="A64" s="230">
        <v>124481</v>
      </c>
      <c r="B64" s="141" t="s">
        <v>329</v>
      </c>
      <c r="C64" s="244">
        <v>31.82</v>
      </c>
      <c r="D64" s="257">
        <v>0.036636</v>
      </c>
      <c r="E64" s="257">
        <v>1.0561E-05</v>
      </c>
      <c r="F64" s="257">
        <v>2700</v>
      </c>
      <c r="G64" s="244">
        <v>0.0320114</v>
      </c>
      <c r="H64" s="244">
        <v>0.000783</v>
      </c>
      <c r="I64" s="121">
        <v>25</v>
      </c>
      <c r="J64" s="252">
        <v>393.15</v>
      </c>
      <c r="K64" s="259">
        <v>678.2</v>
      </c>
      <c r="L64" s="260">
        <v>5900</v>
      </c>
      <c r="M64" s="261">
        <v>0</v>
      </c>
      <c r="N64" s="261">
        <v>0</v>
      </c>
      <c r="O64" s="234"/>
      <c r="P64" s="135"/>
    </row>
    <row r="65" spans="1:16" ht="12.75">
      <c r="A65" s="230">
        <v>127184</v>
      </c>
      <c r="B65" s="141" t="s">
        <v>330</v>
      </c>
      <c r="C65" s="244">
        <v>94.94</v>
      </c>
      <c r="D65" s="257">
        <v>0.050466</v>
      </c>
      <c r="E65" s="257">
        <v>9.4551E-06</v>
      </c>
      <c r="F65" s="257">
        <v>206</v>
      </c>
      <c r="G65" s="244">
        <v>0.7236304</v>
      </c>
      <c r="H65" s="244">
        <v>0.0177</v>
      </c>
      <c r="I65" s="121">
        <v>25</v>
      </c>
      <c r="J65" s="252">
        <v>394.45</v>
      </c>
      <c r="K65" s="251">
        <v>620.25</v>
      </c>
      <c r="L65" s="260">
        <v>8288</v>
      </c>
      <c r="M65" s="244">
        <v>2.6E-07</v>
      </c>
      <c r="N65" s="244">
        <v>0.04</v>
      </c>
      <c r="O65" s="234"/>
      <c r="P65" s="135"/>
    </row>
    <row r="66" spans="1:16" ht="12.75">
      <c r="A66" s="230">
        <v>156592</v>
      </c>
      <c r="B66" s="141" t="s">
        <v>335</v>
      </c>
      <c r="C66" s="244">
        <v>39.6</v>
      </c>
      <c r="D66" s="257">
        <v>0.088406</v>
      </c>
      <c r="E66" s="257">
        <v>1.1335E-05</v>
      </c>
      <c r="F66" s="257">
        <v>6410</v>
      </c>
      <c r="G66" s="244">
        <v>0.1668029</v>
      </c>
      <c r="H66" s="244">
        <v>0.00408</v>
      </c>
      <c r="I66" s="146">
        <v>25</v>
      </c>
      <c r="J66" s="252">
        <v>328.15</v>
      </c>
      <c r="K66" s="251">
        <v>544.2</v>
      </c>
      <c r="L66" s="260">
        <v>7192</v>
      </c>
      <c r="M66" s="261">
        <v>0</v>
      </c>
      <c r="N66" s="261">
        <v>0</v>
      </c>
      <c r="O66" s="234"/>
      <c r="P66" s="135"/>
    </row>
    <row r="67" spans="1:16" ht="12.75">
      <c r="A67" s="230">
        <v>156605</v>
      </c>
      <c r="B67" s="141" t="s">
        <v>331</v>
      </c>
      <c r="C67" s="244">
        <v>39.6</v>
      </c>
      <c r="D67" s="245">
        <v>0.087609</v>
      </c>
      <c r="E67" s="245">
        <v>1.1191E-05</v>
      </c>
      <c r="F67" s="245">
        <v>4520</v>
      </c>
      <c r="G67" s="244">
        <v>0.38348</v>
      </c>
      <c r="H67" s="244">
        <v>0.00938</v>
      </c>
      <c r="I67" s="121">
        <v>25</v>
      </c>
      <c r="J67" s="252">
        <v>328.15</v>
      </c>
      <c r="K67" s="251">
        <v>516.5</v>
      </c>
      <c r="L67" s="253">
        <v>7144</v>
      </c>
      <c r="M67" s="261">
        <v>0</v>
      </c>
      <c r="N67" s="261">
        <v>0</v>
      </c>
      <c r="O67" s="234"/>
      <c r="P67" s="135"/>
    </row>
    <row r="68" spans="1:16" ht="12.75">
      <c r="A68" s="230">
        <v>542756</v>
      </c>
      <c r="B68" s="141" t="s">
        <v>332</v>
      </c>
      <c r="C68" s="244">
        <v>72.17</v>
      </c>
      <c r="D68" s="245">
        <v>0.076272</v>
      </c>
      <c r="E68" s="245">
        <v>1.0123E-05</v>
      </c>
      <c r="F68" s="245">
        <v>2800</v>
      </c>
      <c r="G68" s="244">
        <v>0.1451349</v>
      </c>
      <c r="H68" s="244">
        <v>0.00355</v>
      </c>
      <c r="I68" s="121">
        <v>25</v>
      </c>
      <c r="J68" s="252">
        <v>385.15</v>
      </c>
      <c r="K68" s="251">
        <v>587.38</v>
      </c>
      <c r="L68" s="253">
        <v>7900</v>
      </c>
      <c r="M68" s="244">
        <v>4E-06</v>
      </c>
      <c r="N68" s="244">
        <v>0.02</v>
      </c>
      <c r="O68" s="234"/>
      <c r="P68" s="135"/>
    </row>
    <row r="69" spans="1:16" ht="12.75">
      <c r="A69" s="230">
        <v>1330207</v>
      </c>
      <c r="B69" s="141" t="s">
        <v>333</v>
      </c>
      <c r="C69" s="244">
        <v>382.9</v>
      </c>
      <c r="D69" s="245">
        <v>0.068515</v>
      </c>
      <c r="E69" s="245">
        <v>8.464E-06</v>
      </c>
      <c r="F69" s="245">
        <v>106</v>
      </c>
      <c r="G69" s="244">
        <v>0.27105</v>
      </c>
      <c r="H69" s="244">
        <v>0.00663</v>
      </c>
      <c r="I69" s="121">
        <v>25</v>
      </c>
      <c r="J69" s="252">
        <v>411.65</v>
      </c>
      <c r="K69" s="251">
        <v>616.2</v>
      </c>
      <c r="L69" s="251">
        <v>8523</v>
      </c>
      <c r="M69" s="244">
        <v>0</v>
      </c>
      <c r="N69" s="244">
        <v>0.1</v>
      </c>
      <c r="O69" s="234"/>
      <c r="P69" s="135"/>
    </row>
    <row r="70" spans="1:16" ht="12.75">
      <c r="A70" s="230">
        <v>1634044</v>
      </c>
      <c r="B70" s="141" t="s">
        <v>334</v>
      </c>
      <c r="C70" s="244">
        <v>11.56</v>
      </c>
      <c r="D70" s="245">
        <v>0.075267</v>
      </c>
      <c r="E70" s="245">
        <v>8.5904E-06</v>
      </c>
      <c r="F70" s="245">
        <v>51000</v>
      </c>
      <c r="G70" s="244">
        <v>0.0239984</v>
      </c>
      <c r="H70" s="244">
        <v>0.000587</v>
      </c>
      <c r="I70" s="146">
        <v>25</v>
      </c>
      <c r="J70" s="252">
        <v>328.34999999999997</v>
      </c>
      <c r="K70" s="251">
        <v>497.1</v>
      </c>
      <c r="L70" s="253">
        <v>7101</v>
      </c>
      <c r="M70" s="244">
        <v>2.6E-07</v>
      </c>
      <c r="N70" s="244">
        <v>3</v>
      </c>
      <c r="O70" s="234"/>
      <c r="P70" s="135"/>
    </row>
    <row r="71" spans="1:16" ht="12.75">
      <c r="A71" s="230">
        <v>7439976</v>
      </c>
      <c r="B71" s="256" t="s">
        <v>278</v>
      </c>
      <c r="C71" s="244">
        <v>26000</v>
      </c>
      <c r="D71" s="258">
        <v>0.0307</v>
      </c>
      <c r="E71" s="258">
        <v>6.3E-06</v>
      </c>
      <c r="F71" s="258">
        <v>0.06</v>
      </c>
      <c r="G71" s="258">
        <v>0.352</v>
      </c>
      <c r="H71" s="258">
        <v>0.008622</v>
      </c>
      <c r="I71" s="146">
        <v>25</v>
      </c>
      <c r="J71" s="252">
        <v>629.75</v>
      </c>
      <c r="K71" s="251">
        <v>1735.15</v>
      </c>
      <c r="L71" s="251">
        <v>14127</v>
      </c>
      <c r="M71" s="244">
        <v>0</v>
      </c>
      <c r="N71" s="244">
        <v>0.0003</v>
      </c>
      <c r="O71" s="234"/>
      <c r="P71" s="135"/>
    </row>
    <row r="72" spans="1:16" ht="12.75">
      <c r="A72" s="143"/>
      <c r="B72" s="146"/>
      <c r="C72" s="244"/>
      <c r="D72" s="245"/>
      <c r="E72" s="245"/>
      <c r="F72" s="245"/>
      <c r="G72" s="244"/>
      <c r="H72" s="244"/>
      <c r="I72" s="146"/>
      <c r="J72" s="249"/>
      <c r="K72" s="252"/>
      <c r="L72" s="253"/>
      <c r="M72" s="247"/>
      <c r="N72" s="247"/>
      <c r="O72" s="146"/>
      <c r="P72" s="135"/>
    </row>
    <row r="73" spans="1:16" ht="12.75">
      <c r="A73" s="143"/>
      <c r="B73" s="146"/>
      <c r="C73" s="244"/>
      <c r="D73" s="245"/>
      <c r="E73" s="245"/>
      <c r="F73" s="245"/>
      <c r="G73" s="244"/>
      <c r="H73" s="244"/>
      <c r="I73" s="146"/>
      <c r="J73" s="250"/>
      <c r="K73" s="252"/>
      <c r="L73" s="254"/>
      <c r="M73" s="247"/>
      <c r="N73" s="247"/>
      <c r="O73" s="234"/>
      <c r="P73" s="135"/>
    </row>
    <row r="74" spans="1:16" ht="12.75">
      <c r="A74" s="143"/>
      <c r="B74" s="146"/>
      <c r="C74" s="244"/>
      <c r="D74" s="245"/>
      <c r="E74" s="245"/>
      <c r="F74" s="245"/>
      <c r="G74" s="244"/>
      <c r="H74" s="244"/>
      <c r="I74" s="146"/>
      <c r="J74" s="249"/>
      <c r="K74" s="252"/>
      <c r="L74" s="251"/>
      <c r="M74" s="247"/>
      <c r="N74" s="247"/>
      <c r="O74" s="234"/>
      <c r="P74" s="135"/>
    </row>
    <row r="75" spans="1:16" ht="12.75">
      <c r="A75" s="143"/>
      <c r="B75" s="146"/>
      <c r="C75" s="244"/>
      <c r="D75" s="245"/>
      <c r="E75" s="245"/>
      <c r="F75" s="245"/>
      <c r="G75" s="244"/>
      <c r="H75" s="244"/>
      <c r="I75" s="146"/>
      <c r="J75" s="249"/>
      <c r="K75" s="252"/>
      <c r="L75" s="251"/>
      <c r="M75" s="247"/>
      <c r="N75" s="247"/>
      <c r="O75" s="234"/>
      <c r="P75" s="135"/>
    </row>
    <row r="76" spans="1:16" ht="12.75">
      <c r="A76" s="143"/>
      <c r="B76" s="146"/>
      <c r="C76" s="244"/>
      <c r="D76" s="245"/>
      <c r="E76" s="245"/>
      <c r="F76" s="245"/>
      <c r="G76" s="244"/>
      <c r="H76" s="244"/>
      <c r="I76" s="146"/>
      <c r="J76" s="249"/>
      <c r="K76" s="252"/>
      <c r="L76" s="251"/>
      <c r="M76" s="248"/>
      <c r="N76" s="248"/>
      <c r="O76" s="234"/>
      <c r="P76" s="135"/>
    </row>
    <row r="77" spans="1:16" ht="12.75">
      <c r="A77" s="143"/>
      <c r="B77" s="146"/>
      <c r="C77" s="244"/>
      <c r="D77" s="245"/>
      <c r="E77" s="245"/>
      <c r="F77" s="245"/>
      <c r="G77" s="244"/>
      <c r="H77" s="244"/>
      <c r="I77" s="146"/>
      <c r="J77" s="249"/>
      <c r="K77" s="252"/>
      <c r="L77" s="254"/>
      <c r="M77" s="247"/>
      <c r="N77" s="247"/>
      <c r="O77" s="234"/>
      <c r="P77" s="135"/>
    </row>
    <row r="78" spans="1:16" ht="12.75">
      <c r="A78" s="143"/>
      <c r="B78" s="146"/>
      <c r="C78" s="244"/>
      <c r="D78" s="245"/>
      <c r="E78" s="245"/>
      <c r="F78" s="245"/>
      <c r="G78" s="244"/>
      <c r="H78" s="244"/>
      <c r="I78" s="146"/>
      <c r="J78" s="250"/>
      <c r="K78" s="252"/>
      <c r="L78" s="251"/>
      <c r="M78" s="247"/>
      <c r="N78" s="247"/>
      <c r="O78" s="234"/>
      <c r="P78" s="135"/>
    </row>
    <row r="79" spans="1:16" ht="12">
      <c r="A79" s="143"/>
      <c r="B79" s="146"/>
      <c r="C79" s="199"/>
      <c r="D79" s="199"/>
      <c r="E79" s="199"/>
      <c r="F79" s="199"/>
      <c r="G79" s="199"/>
      <c r="H79" s="199"/>
      <c r="I79" s="146"/>
      <c r="J79" s="146"/>
      <c r="K79" s="146"/>
      <c r="L79" s="146"/>
      <c r="M79" s="201"/>
      <c r="N79" s="200"/>
      <c r="O79" s="146"/>
      <c r="P79" s="147"/>
    </row>
    <row r="80" spans="1:16" ht="12">
      <c r="A80" s="143"/>
      <c r="B80" s="146"/>
      <c r="C80" s="199"/>
      <c r="D80" s="199"/>
      <c r="E80" s="199"/>
      <c r="F80" s="199"/>
      <c r="G80" s="199"/>
      <c r="H80" s="199"/>
      <c r="I80" s="146"/>
      <c r="J80" s="146"/>
      <c r="K80" s="146"/>
      <c r="L80" s="146"/>
      <c r="M80" s="201"/>
      <c r="N80" s="200"/>
      <c r="O80" s="146"/>
      <c r="P80" s="147"/>
    </row>
    <row r="81" spans="1:16" ht="12">
      <c r="A81" s="143"/>
      <c r="B81" s="146"/>
      <c r="C81" s="199"/>
      <c r="D81" s="199"/>
      <c r="E81" s="199"/>
      <c r="F81" s="199"/>
      <c r="G81" s="199"/>
      <c r="H81" s="199"/>
      <c r="I81" s="146"/>
      <c r="J81" s="146"/>
      <c r="K81" s="146"/>
      <c r="L81" s="146"/>
      <c r="M81" s="201"/>
      <c r="N81" s="200"/>
      <c r="O81" s="146"/>
      <c r="P81" s="147"/>
    </row>
    <row r="82" spans="1:16" ht="12">
      <c r="A82" s="143"/>
      <c r="B82" s="146"/>
      <c r="C82" s="199"/>
      <c r="D82" s="199"/>
      <c r="E82" s="199"/>
      <c r="F82" s="199"/>
      <c r="G82" s="199"/>
      <c r="H82" s="199"/>
      <c r="I82" s="146"/>
      <c r="J82" s="146"/>
      <c r="K82" s="146"/>
      <c r="L82" s="146"/>
      <c r="M82" s="201"/>
      <c r="N82" s="200"/>
      <c r="O82" s="146"/>
      <c r="P82" s="147"/>
    </row>
    <row r="83" spans="1:16" ht="12">
      <c r="A83" s="143"/>
      <c r="B83" s="146"/>
      <c r="C83" s="199"/>
      <c r="D83" s="199"/>
      <c r="E83" s="199"/>
      <c r="F83" s="199"/>
      <c r="G83" s="199"/>
      <c r="H83" s="199"/>
      <c r="I83" s="146"/>
      <c r="J83" s="146"/>
      <c r="K83" s="146"/>
      <c r="L83" s="146"/>
      <c r="M83" s="201"/>
      <c r="N83" s="200"/>
      <c r="O83" s="146"/>
      <c r="P83" s="147"/>
    </row>
    <row r="84" spans="1:16" ht="12">
      <c r="A84" s="143"/>
      <c r="B84" s="146"/>
      <c r="C84" s="199"/>
      <c r="D84" s="199"/>
      <c r="E84" s="199"/>
      <c r="F84" s="199"/>
      <c r="G84" s="199"/>
      <c r="H84" s="199"/>
      <c r="I84" s="146"/>
      <c r="J84" s="146"/>
      <c r="K84" s="146"/>
      <c r="L84" s="146"/>
      <c r="M84" s="201"/>
      <c r="N84" s="200"/>
      <c r="O84" s="146"/>
      <c r="P84" s="147"/>
    </row>
    <row r="85" spans="1:16" ht="12">
      <c r="A85" s="143"/>
      <c r="B85" s="146"/>
      <c r="C85" s="199"/>
      <c r="D85" s="199"/>
      <c r="E85" s="199"/>
      <c r="F85" s="199"/>
      <c r="G85" s="199"/>
      <c r="H85" s="199"/>
      <c r="I85" s="146"/>
      <c r="J85" s="146"/>
      <c r="K85" s="146"/>
      <c r="L85" s="146"/>
      <c r="M85" s="201"/>
      <c r="N85" s="200"/>
      <c r="O85" s="146"/>
      <c r="P85" s="147"/>
    </row>
    <row r="86" spans="1:16" ht="12">
      <c r="A86" s="143"/>
      <c r="B86" s="146"/>
      <c r="C86" s="199"/>
      <c r="D86" s="199"/>
      <c r="E86" s="199"/>
      <c r="F86" s="199"/>
      <c r="G86" s="199"/>
      <c r="H86" s="199"/>
      <c r="I86" s="146"/>
      <c r="J86" s="146"/>
      <c r="K86" s="146"/>
      <c r="L86" s="146"/>
      <c r="M86" s="201"/>
      <c r="N86" s="200"/>
      <c r="O86" s="146"/>
      <c r="P86" s="147"/>
    </row>
    <row r="87" spans="1:16" ht="12">
      <c r="A87" s="143"/>
      <c r="B87" s="146"/>
      <c r="C87" s="199"/>
      <c r="D87" s="199"/>
      <c r="E87" s="199"/>
      <c r="F87" s="199"/>
      <c r="G87" s="199"/>
      <c r="H87" s="199"/>
      <c r="I87" s="146"/>
      <c r="J87" s="146"/>
      <c r="K87" s="146"/>
      <c r="L87" s="146"/>
      <c r="M87" s="201"/>
      <c r="N87" s="200"/>
      <c r="O87" s="146"/>
      <c r="P87" s="147"/>
    </row>
    <row r="88" spans="1:16" ht="12">
      <c r="A88" s="143"/>
      <c r="B88" s="146"/>
      <c r="C88" s="199"/>
      <c r="D88" s="199"/>
      <c r="E88" s="199"/>
      <c r="F88" s="199"/>
      <c r="G88" s="199"/>
      <c r="H88" s="199"/>
      <c r="I88" s="146"/>
      <c r="J88" s="146"/>
      <c r="K88" s="146"/>
      <c r="L88" s="146"/>
      <c r="M88" s="201"/>
      <c r="N88" s="200"/>
      <c r="O88" s="146"/>
      <c r="P88" s="147"/>
    </row>
    <row r="89" spans="1:16" ht="12">
      <c r="A89" s="143"/>
      <c r="B89" s="146"/>
      <c r="C89" s="199"/>
      <c r="D89" s="199"/>
      <c r="E89" s="199"/>
      <c r="F89" s="199"/>
      <c r="G89" s="199"/>
      <c r="H89" s="199"/>
      <c r="I89" s="146"/>
      <c r="J89" s="146"/>
      <c r="K89" s="146"/>
      <c r="L89" s="146"/>
      <c r="M89" s="201"/>
      <c r="N89" s="200"/>
      <c r="O89" s="146"/>
      <c r="P89" s="147"/>
    </row>
    <row r="90" spans="1:16" ht="12">
      <c r="A90" s="143"/>
      <c r="B90" s="146"/>
      <c r="C90" s="199"/>
      <c r="D90" s="199"/>
      <c r="E90" s="199"/>
      <c r="F90" s="199"/>
      <c r="G90" s="199"/>
      <c r="H90" s="199"/>
      <c r="I90" s="146"/>
      <c r="J90" s="146"/>
      <c r="K90" s="146"/>
      <c r="L90" s="146"/>
      <c r="M90" s="201"/>
      <c r="N90" s="200"/>
      <c r="O90" s="146"/>
      <c r="P90" s="147"/>
    </row>
    <row r="91" spans="1:16" ht="12">
      <c r="A91" s="143"/>
      <c r="B91" s="146"/>
      <c r="C91" s="199"/>
      <c r="D91" s="199"/>
      <c r="E91" s="199"/>
      <c r="F91" s="199"/>
      <c r="G91" s="199"/>
      <c r="H91" s="199"/>
      <c r="I91" s="146"/>
      <c r="J91" s="146"/>
      <c r="K91" s="146"/>
      <c r="L91" s="146"/>
      <c r="M91" s="201"/>
      <c r="N91" s="200"/>
      <c r="O91" s="146"/>
      <c r="P91" s="147"/>
    </row>
    <row r="92" spans="1:16" ht="12">
      <c r="A92" s="143"/>
      <c r="B92" s="146"/>
      <c r="C92" s="199"/>
      <c r="D92" s="199"/>
      <c r="E92" s="199"/>
      <c r="F92" s="199"/>
      <c r="G92" s="199"/>
      <c r="H92" s="199"/>
      <c r="I92" s="146"/>
      <c r="J92" s="146"/>
      <c r="K92" s="146"/>
      <c r="L92" s="146"/>
      <c r="M92" s="201"/>
      <c r="N92" s="200"/>
      <c r="O92" s="146"/>
      <c r="P92" s="147"/>
    </row>
    <row r="93" spans="1:16" ht="12">
      <c r="A93" s="143"/>
      <c r="B93" s="146"/>
      <c r="C93" s="199"/>
      <c r="D93" s="199"/>
      <c r="E93" s="199"/>
      <c r="F93" s="199"/>
      <c r="G93" s="199"/>
      <c r="H93" s="199"/>
      <c r="I93" s="146"/>
      <c r="J93" s="146"/>
      <c r="K93" s="146"/>
      <c r="L93" s="146"/>
      <c r="M93" s="201"/>
      <c r="N93" s="200"/>
      <c r="O93" s="146"/>
      <c r="P93" s="147"/>
    </row>
    <row r="94" spans="1:16" ht="12">
      <c r="A94" s="143"/>
      <c r="B94" s="146"/>
      <c r="C94" s="199"/>
      <c r="D94" s="199"/>
      <c r="E94" s="199"/>
      <c r="F94" s="199"/>
      <c r="G94" s="199"/>
      <c r="H94" s="199"/>
      <c r="I94" s="146"/>
      <c r="J94" s="146"/>
      <c r="K94" s="146"/>
      <c r="L94" s="146"/>
      <c r="M94" s="201"/>
      <c r="N94" s="200"/>
      <c r="O94" s="146"/>
      <c r="P94" s="147"/>
    </row>
    <row r="95" spans="1:16" ht="12">
      <c r="A95" s="143"/>
      <c r="B95" s="146"/>
      <c r="C95" s="199"/>
      <c r="D95" s="199"/>
      <c r="E95" s="199"/>
      <c r="F95" s="199"/>
      <c r="G95" s="199"/>
      <c r="H95" s="199"/>
      <c r="I95" s="146"/>
      <c r="J95" s="146"/>
      <c r="K95" s="146"/>
      <c r="L95" s="146"/>
      <c r="M95" s="201"/>
      <c r="N95" s="200"/>
      <c r="O95" s="146"/>
      <c r="P95" s="147"/>
    </row>
    <row r="96" spans="1:16" ht="12">
      <c r="A96" s="143"/>
      <c r="B96" s="146"/>
      <c r="C96" s="199"/>
      <c r="D96" s="199"/>
      <c r="E96" s="199"/>
      <c r="F96" s="199"/>
      <c r="G96" s="199"/>
      <c r="H96" s="199"/>
      <c r="I96" s="146"/>
      <c r="J96" s="146"/>
      <c r="K96" s="146"/>
      <c r="L96" s="146"/>
      <c r="M96" s="201"/>
      <c r="N96" s="200"/>
      <c r="O96" s="146"/>
      <c r="P96" s="147"/>
    </row>
    <row r="97" spans="1:16" ht="12">
      <c r="A97" s="143"/>
      <c r="B97" s="146"/>
      <c r="C97" s="199"/>
      <c r="D97" s="199"/>
      <c r="E97" s="199"/>
      <c r="F97" s="199"/>
      <c r="G97" s="199"/>
      <c r="H97" s="199"/>
      <c r="I97" s="146"/>
      <c r="J97" s="146"/>
      <c r="K97" s="146"/>
      <c r="L97" s="146"/>
      <c r="M97" s="201"/>
      <c r="N97" s="200"/>
      <c r="O97" s="146"/>
      <c r="P97" s="147"/>
    </row>
    <row r="98" spans="1:16" ht="12">
      <c r="A98" s="143"/>
      <c r="B98" s="146"/>
      <c r="C98" s="199"/>
      <c r="D98" s="199"/>
      <c r="E98" s="199"/>
      <c r="F98" s="199"/>
      <c r="G98" s="199"/>
      <c r="H98" s="199"/>
      <c r="I98" s="146"/>
      <c r="J98" s="146"/>
      <c r="K98" s="146"/>
      <c r="L98" s="146"/>
      <c r="M98" s="201"/>
      <c r="N98" s="200"/>
      <c r="O98" s="146"/>
      <c r="P98" s="147"/>
    </row>
    <row r="99" spans="1:16" ht="12">
      <c r="A99" s="143"/>
      <c r="B99" s="146"/>
      <c r="C99" s="199"/>
      <c r="D99" s="199"/>
      <c r="E99" s="199"/>
      <c r="F99" s="199"/>
      <c r="G99" s="199"/>
      <c r="H99" s="199"/>
      <c r="I99" s="146"/>
      <c r="J99" s="146"/>
      <c r="K99" s="146"/>
      <c r="L99" s="146"/>
      <c r="M99" s="201"/>
      <c r="N99" s="200"/>
      <c r="O99" s="146"/>
      <c r="P99" s="147"/>
    </row>
    <row r="100" spans="1:16" ht="12">
      <c r="A100" s="143"/>
      <c r="B100" s="146"/>
      <c r="C100" s="199"/>
      <c r="D100" s="199"/>
      <c r="E100" s="199"/>
      <c r="F100" s="199"/>
      <c r="G100" s="199"/>
      <c r="H100" s="199"/>
      <c r="I100" s="146"/>
      <c r="J100" s="146"/>
      <c r="K100" s="146"/>
      <c r="L100" s="146"/>
      <c r="M100" s="201"/>
      <c r="N100" s="200"/>
      <c r="O100" s="146"/>
      <c r="P100" s="147"/>
    </row>
    <row r="101" spans="1:16" ht="12">
      <c r="A101" s="143"/>
      <c r="B101" s="146"/>
      <c r="C101" s="199"/>
      <c r="D101" s="199"/>
      <c r="E101" s="199"/>
      <c r="F101" s="199"/>
      <c r="G101" s="199"/>
      <c r="H101" s="199"/>
      <c r="I101" s="146"/>
      <c r="J101" s="146"/>
      <c r="K101" s="146"/>
      <c r="L101" s="146"/>
      <c r="M101" s="201"/>
      <c r="N101" s="200"/>
      <c r="O101" s="146"/>
      <c r="P101" s="147"/>
    </row>
    <row r="102" spans="1:16" ht="12">
      <c r="A102" s="143"/>
      <c r="B102" s="146"/>
      <c r="C102" s="199"/>
      <c r="D102" s="199"/>
      <c r="E102" s="199"/>
      <c r="F102" s="199"/>
      <c r="G102" s="199"/>
      <c r="H102" s="199"/>
      <c r="I102" s="146"/>
      <c r="J102" s="146"/>
      <c r="K102" s="146"/>
      <c r="L102" s="146"/>
      <c r="M102" s="201"/>
      <c r="N102" s="200"/>
      <c r="O102" s="146"/>
      <c r="P102" s="147"/>
    </row>
    <row r="103" spans="1:16" ht="12">
      <c r="A103" s="143"/>
      <c r="B103" s="146"/>
      <c r="C103" s="199"/>
      <c r="D103" s="199"/>
      <c r="E103" s="199"/>
      <c r="F103" s="199"/>
      <c r="G103" s="199"/>
      <c r="H103" s="199"/>
      <c r="I103" s="146"/>
      <c r="J103" s="146"/>
      <c r="K103" s="146"/>
      <c r="L103" s="146"/>
      <c r="M103" s="201"/>
      <c r="N103" s="200"/>
      <c r="O103" s="146"/>
      <c r="P103" s="147"/>
    </row>
    <row r="104" spans="1:16" ht="12">
      <c r="A104" s="143"/>
      <c r="B104" s="146"/>
      <c r="C104" s="199"/>
      <c r="D104" s="199"/>
      <c r="E104" s="199"/>
      <c r="F104" s="199"/>
      <c r="G104" s="199"/>
      <c r="H104" s="199"/>
      <c r="I104" s="146"/>
      <c r="J104" s="146"/>
      <c r="K104" s="146"/>
      <c r="L104" s="146"/>
      <c r="M104" s="201"/>
      <c r="N104" s="200"/>
      <c r="O104" s="146"/>
      <c r="P104" s="147"/>
    </row>
    <row r="105" spans="1:16" ht="12">
      <c r="A105" s="143"/>
      <c r="B105" s="146"/>
      <c r="C105" s="199"/>
      <c r="D105" s="199"/>
      <c r="E105" s="199"/>
      <c r="F105" s="199"/>
      <c r="G105" s="199"/>
      <c r="H105" s="199"/>
      <c r="I105" s="146"/>
      <c r="J105" s="146"/>
      <c r="K105" s="146"/>
      <c r="L105" s="146"/>
      <c r="M105" s="201"/>
      <c r="N105" s="200"/>
      <c r="O105" s="146"/>
      <c r="P105" s="147"/>
    </row>
    <row r="106" spans="1:16" ht="12">
      <c r="A106" s="143"/>
      <c r="B106" s="146"/>
      <c r="C106" s="199"/>
      <c r="D106" s="199"/>
      <c r="E106" s="199"/>
      <c r="F106" s="199"/>
      <c r="G106" s="199"/>
      <c r="H106" s="199"/>
      <c r="I106" s="146"/>
      <c r="J106" s="146"/>
      <c r="K106" s="146"/>
      <c r="L106" s="146"/>
      <c r="M106" s="201"/>
      <c r="N106" s="200"/>
      <c r="O106" s="146"/>
      <c r="P106" s="147"/>
    </row>
    <row r="107" spans="1:16" ht="12">
      <c r="A107" s="143"/>
      <c r="B107" s="146"/>
      <c r="C107" s="199"/>
      <c r="D107" s="199"/>
      <c r="E107" s="199"/>
      <c r="F107" s="199"/>
      <c r="G107" s="199"/>
      <c r="H107" s="199"/>
      <c r="I107" s="146"/>
      <c r="J107" s="146"/>
      <c r="K107" s="146"/>
      <c r="L107" s="146"/>
      <c r="M107" s="201"/>
      <c r="N107" s="201"/>
      <c r="O107" s="146"/>
      <c r="P107" s="147"/>
    </row>
    <row r="108" spans="1:16" ht="12">
      <c r="A108" s="143"/>
      <c r="B108" s="146"/>
      <c r="C108" s="199"/>
      <c r="D108" s="199"/>
      <c r="E108" s="199"/>
      <c r="F108" s="199"/>
      <c r="G108" s="199"/>
      <c r="H108" s="199"/>
      <c r="I108" s="146"/>
      <c r="J108" s="146"/>
      <c r="K108" s="146"/>
      <c r="L108" s="146"/>
      <c r="M108" s="201"/>
      <c r="N108" s="201"/>
      <c r="O108" s="146"/>
      <c r="P108" s="147"/>
    </row>
    <row r="109" spans="1:16" ht="12">
      <c r="A109" s="143"/>
      <c r="B109" s="146"/>
      <c r="C109" s="199"/>
      <c r="D109" s="199"/>
      <c r="E109" s="199"/>
      <c r="F109" s="199"/>
      <c r="G109" s="199"/>
      <c r="H109" s="199"/>
      <c r="I109" s="146"/>
      <c r="J109" s="146"/>
      <c r="K109" s="146"/>
      <c r="L109" s="146"/>
      <c r="M109" s="201"/>
      <c r="N109" s="201"/>
      <c r="O109" s="146"/>
      <c r="P109" s="147"/>
    </row>
    <row r="110" spans="1:16" ht="12">
      <c r="A110" s="143"/>
      <c r="B110" s="146"/>
      <c r="C110" s="199"/>
      <c r="D110" s="199"/>
      <c r="E110" s="199"/>
      <c r="F110" s="199"/>
      <c r="G110" s="199"/>
      <c r="H110" s="199"/>
      <c r="I110" s="146"/>
      <c r="J110" s="146"/>
      <c r="K110" s="146"/>
      <c r="L110" s="146"/>
      <c r="M110" s="201"/>
      <c r="N110" s="201"/>
      <c r="O110" s="146"/>
      <c r="P110" s="147"/>
    </row>
    <row r="111" spans="1:16" ht="12">
      <c r="A111" s="143"/>
      <c r="B111" s="146"/>
      <c r="C111" s="199"/>
      <c r="D111" s="199"/>
      <c r="E111" s="199"/>
      <c r="F111" s="199"/>
      <c r="G111" s="199"/>
      <c r="H111" s="199"/>
      <c r="I111" s="146"/>
      <c r="J111" s="146"/>
      <c r="K111" s="146"/>
      <c r="L111" s="146"/>
      <c r="M111" s="201"/>
      <c r="N111" s="201"/>
      <c r="O111" s="146"/>
      <c r="P111" s="147"/>
    </row>
    <row r="112" spans="1:16" ht="12">
      <c r="A112" s="143"/>
      <c r="B112" s="146"/>
      <c r="C112" s="199"/>
      <c r="D112" s="199"/>
      <c r="E112" s="199"/>
      <c r="F112" s="199"/>
      <c r="G112" s="199"/>
      <c r="H112" s="199"/>
      <c r="I112" s="146"/>
      <c r="J112" s="146"/>
      <c r="K112" s="146"/>
      <c r="L112" s="146"/>
      <c r="M112" s="201"/>
      <c r="N112" s="201"/>
      <c r="O112" s="146"/>
      <c r="P112" s="147"/>
    </row>
    <row r="113" spans="1:16" ht="12">
      <c r="A113" s="143"/>
      <c r="B113" s="146"/>
      <c r="C113" s="199"/>
      <c r="D113" s="199"/>
      <c r="E113" s="199"/>
      <c r="F113" s="199"/>
      <c r="G113" s="199"/>
      <c r="H113" s="199"/>
      <c r="I113" s="146"/>
      <c r="J113" s="146"/>
      <c r="K113" s="146"/>
      <c r="L113" s="146"/>
      <c r="M113" s="201"/>
      <c r="N113" s="201"/>
      <c r="O113" s="146"/>
      <c r="P113" s="147"/>
    </row>
    <row r="114" spans="1:16" ht="12">
      <c r="A114" s="143"/>
      <c r="B114" s="146"/>
      <c r="C114" s="199"/>
      <c r="D114" s="199"/>
      <c r="E114" s="199"/>
      <c r="F114" s="199"/>
      <c r="G114" s="199"/>
      <c r="H114" s="199"/>
      <c r="I114" s="146"/>
      <c r="J114" s="146"/>
      <c r="K114" s="146"/>
      <c r="L114" s="146"/>
      <c r="M114" s="201"/>
      <c r="N114" s="201"/>
      <c r="O114" s="146"/>
      <c r="P114" s="147"/>
    </row>
    <row r="115" spans="1:16" ht="12">
      <c r="A115" s="143"/>
      <c r="B115" s="146"/>
      <c r="C115" s="199"/>
      <c r="D115" s="199"/>
      <c r="E115" s="199"/>
      <c r="F115" s="199"/>
      <c r="G115" s="199"/>
      <c r="H115" s="199"/>
      <c r="I115" s="146"/>
      <c r="J115" s="146"/>
      <c r="K115" s="146"/>
      <c r="L115" s="146"/>
      <c r="M115" s="201"/>
      <c r="N115" s="201"/>
      <c r="O115" s="146"/>
      <c r="P115" s="147"/>
    </row>
    <row r="116" spans="1:16" ht="12">
      <c r="A116" s="143"/>
      <c r="B116" s="146"/>
      <c r="C116" s="199"/>
      <c r="D116" s="199"/>
      <c r="E116" s="199"/>
      <c r="F116" s="199"/>
      <c r="G116" s="199"/>
      <c r="H116" s="199"/>
      <c r="I116" s="146"/>
      <c r="J116" s="146"/>
      <c r="K116" s="146"/>
      <c r="L116" s="146"/>
      <c r="M116" s="201"/>
      <c r="N116" s="201"/>
      <c r="O116" s="146"/>
      <c r="P116" s="147"/>
    </row>
    <row r="117" spans="1:16" ht="12">
      <c r="A117" s="143"/>
      <c r="B117" s="146"/>
      <c r="C117" s="199"/>
      <c r="D117" s="199"/>
      <c r="E117" s="199"/>
      <c r="F117" s="199"/>
      <c r="G117" s="199"/>
      <c r="H117" s="199"/>
      <c r="I117" s="146"/>
      <c r="J117" s="146"/>
      <c r="K117" s="146"/>
      <c r="L117" s="146"/>
      <c r="M117" s="201"/>
      <c r="N117" s="201"/>
      <c r="O117" s="146"/>
      <c r="P117" s="147"/>
    </row>
    <row r="118" spans="1:16" ht="12">
      <c r="A118" s="143"/>
      <c r="B118" s="146"/>
      <c r="C118" s="199"/>
      <c r="D118" s="199"/>
      <c r="E118" s="199"/>
      <c r="F118" s="199"/>
      <c r="G118" s="199"/>
      <c r="H118" s="199"/>
      <c r="I118" s="146"/>
      <c r="J118" s="146"/>
      <c r="K118" s="146"/>
      <c r="L118" s="146"/>
      <c r="M118" s="201"/>
      <c r="N118" s="201"/>
      <c r="O118" s="146"/>
      <c r="P118" s="147"/>
    </row>
    <row r="119" spans="1:16" ht="12">
      <c r="A119" s="143"/>
      <c r="B119" s="146"/>
      <c r="C119" s="199"/>
      <c r="D119" s="199"/>
      <c r="E119" s="199"/>
      <c r="F119" s="199"/>
      <c r="G119" s="199"/>
      <c r="H119" s="199"/>
      <c r="I119" s="146"/>
      <c r="J119" s="146"/>
      <c r="K119" s="146"/>
      <c r="L119" s="146"/>
      <c r="M119" s="201"/>
      <c r="N119" s="201"/>
      <c r="O119" s="146"/>
      <c r="P119" s="147"/>
    </row>
    <row r="120" spans="1:16" ht="12">
      <c r="A120" s="143"/>
      <c r="B120" s="146"/>
      <c r="C120" s="199"/>
      <c r="D120" s="199"/>
      <c r="E120" s="199"/>
      <c r="F120" s="199"/>
      <c r="G120" s="199"/>
      <c r="H120" s="199"/>
      <c r="I120" s="146"/>
      <c r="J120" s="146"/>
      <c r="K120" s="146"/>
      <c r="L120" s="146"/>
      <c r="M120" s="201"/>
      <c r="N120" s="201"/>
      <c r="O120" s="146"/>
      <c r="P120" s="147"/>
    </row>
    <row r="121" spans="1:16" ht="12">
      <c r="A121" s="143"/>
      <c r="B121" s="146"/>
      <c r="C121" s="199"/>
      <c r="D121" s="199"/>
      <c r="E121" s="199"/>
      <c r="F121" s="199"/>
      <c r="G121" s="199"/>
      <c r="H121" s="199"/>
      <c r="I121" s="146"/>
      <c r="J121" s="146"/>
      <c r="K121" s="146"/>
      <c r="L121" s="146"/>
      <c r="M121" s="201"/>
      <c r="N121" s="201"/>
      <c r="O121" s="146"/>
      <c r="P121" s="147"/>
    </row>
    <row r="122" spans="1:16" ht="12">
      <c r="A122" s="143"/>
      <c r="B122" s="146"/>
      <c r="C122" s="199"/>
      <c r="D122" s="199"/>
      <c r="E122" s="199"/>
      <c r="F122" s="199"/>
      <c r="G122" s="199"/>
      <c r="H122" s="199"/>
      <c r="I122" s="146"/>
      <c r="J122" s="146"/>
      <c r="K122" s="146"/>
      <c r="L122" s="146"/>
      <c r="M122" s="201"/>
      <c r="N122" s="201"/>
      <c r="O122" s="146"/>
      <c r="P122" s="147"/>
    </row>
    <row r="123" spans="1:16" ht="12">
      <c r="A123" s="143"/>
      <c r="B123" s="146"/>
      <c r="C123" s="199"/>
      <c r="D123" s="199"/>
      <c r="E123" s="199"/>
      <c r="F123" s="199"/>
      <c r="G123" s="199"/>
      <c r="H123" s="199"/>
      <c r="I123" s="146"/>
      <c r="J123" s="146"/>
      <c r="K123" s="146"/>
      <c r="L123" s="146"/>
      <c r="M123" s="201"/>
      <c r="N123" s="201"/>
      <c r="O123" s="146"/>
      <c r="P123" s="147"/>
    </row>
    <row r="124" spans="1:16" ht="12">
      <c r="A124" s="143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7"/>
    </row>
    <row r="125" spans="1:16" ht="12">
      <c r="A125" s="143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7"/>
    </row>
    <row r="126" spans="1:16" ht="12">
      <c r="A126" s="143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7"/>
    </row>
    <row r="127" spans="1:16" ht="12">
      <c r="A127" s="143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7"/>
    </row>
    <row r="128" spans="1:16" ht="12">
      <c r="A128" s="143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7"/>
    </row>
    <row r="129" spans="1:16" ht="12">
      <c r="A129" s="143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7"/>
    </row>
    <row r="130" spans="1:16" ht="12">
      <c r="A130" s="143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7"/>
    </row>
    <row r="131" spans="1:16" ht="12">
      <c r="A131" s="143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7"/>
    </row>
    <row r="132" spans="1:16" ht="12">
      <c r="A132" s="143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7"/>
    </row>
    <row r="133" spans="1:16" ht="12">
      <c r="A133" s="143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7"/>
    </row>
    <row r="134" spans="1:16" ht="12">
      <c r="A134" s="143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7"/>
    </row>
    <row r="135" spans="1:16" ht="12">
      <c r="A135" s="143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7"/>
    </row>
    <row r="136" spans="2:16" ht="12"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7"/>
    </row>
    <row r="137" spans="1:16" ht="12">
      <c r="A137" s="143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7"/>
    </row>
    <row r="138" spans="1:16" ht="12">
      <c r="A138" s="143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7"/>
    </row>
    <row r="139" spans="1:16" ht="12">
      <c r="A139" s="143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7"/>
    </row>
    <row r="140" spans="1:16" ht="12">
      <c r="A140" s="143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7"/>
    </row>
    <row r="141" spans="1:16" ht="12">
      <c r="A141" s="143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7"/>
    </row>
    <row r="142" spans="1:16" ht="12">
      <c r="A142" s="143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7"/>
    </row>
    <row r="143" spans="1:16" ht="12">
      <c r="A143" s="143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7"/>
    </row>
    <row r="144" spans="1:16" ht="12">
      <c r="A144" s="143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7"/>
    </row>
    <row r="145" spans="1:16" ht="12">
      <c r="A145" s="143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7"/>
    </row>
    <row r="146" spans="1:16" ht="12">
      <c r="A146" s="143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7"/>
    </row>
    <row r="147" spans="1:16" ht="12">
      <c r="A147" s="143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7"/>
    </row>
    <row r="148" spans="1:16" ht="12">
      <c r="A148" s="143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7"/>
    </row>
    <row r="149" spans="1:16" ht="12">
      <c r="A149" s="143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7"/>
    </row>
    <row r="150" spans="1:16" ht="12">
      <c r="A150" s="143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7"/>
    </row>
    <row r="151" spans="1:16" ht="12">
      <c r="A151" s="143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7"/>
    </row>
    <row r="152" spans="1:16" ht="12">
      <c r="A152" s="143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7"/>
    </row>
    <row r="153" spans="1:16" ht="12">
      <c r="A153" s="143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7"/>
    </row>
    <row r="154" spans="1:16" ht="12">
      <c r="A154" s="143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7"/>
    </row>
    <row r="155" spans="1:16" ht="12">
      <c r="A155" s="143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7"/>
    </row>
    <row r="156" spans="1:16" ht="12">
      <c r="A156" s="143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7"/>
    </row>
    <row r="157" spans="1:16" ht="12">
      <c r="A157" s="143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7"/>
    </row>
    <row r="158" spans="1:16" ht="12">
      <c r="A158" s="143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7"/>
    </row>
    <row r="159" spans="1:16" ht="12">
      <c r="A159" s="143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7"/>
    </row>
    <row r="160" spans="1:16" ht="12">
      <c r="A160" s="143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7"/>
    </row>
    <row r="161" spans="1:16" ht="12">
      <c r="A161" s="143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7"/>
    </row>
    <row r="162" spans="1:16" ht="12">
      <c r="A162" s="143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7"/>
    </row>
    <row r="163" spans="1:16" ht="12">
      <c r="A163" s="143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7"/>
    </row>
    <row r="164" spans="1:16" ht="12">
      <c r="A164" s="143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7"/>
    </row>
    <row r="165" spans="1:16" ht="12">
      <c r="A165" s="143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7"/>
    </row>
    <row r="166" spans="1:16" ht="12">
      <c r="A166" s="143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7"/>
    </row>
    <row r="167" spans="1:16" ht="12">
      <c r="A167" s="143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7"/>
    </row>
    <row r="168" spans="1:16" ht="12">
      <c r="A168" s="143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7"/>
    </row>
    <row r="169" spans="1:16" ht="12">
      <c r="A169" s="143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7"/>
    </row>
    <row r="170" spans="1:16" ht="12">
      <c r="A170" s="143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7"/>
    </row>
    <row r="171" spans="1:16" ht="12">
      <c r="A171" s="143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7"/>
    </row>
    <row r="172" spans="1:16" ht="12">
      <c r="A172" s="143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7"/>
    </row>
    <row r="173" spans="1:16" ht="12">
      <c r="A173" s="143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7"/>
    </row>
    <row r="174" spans="1:16" ht="12">
      <c r="A174" s="143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7"/>
    </row>
    <row r="175" spans="1:16" ht="12">
      <c r="A175" s="143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7"/>
    </row>
    <row r="176" spans="1:16" ht="12">
      <c r="A176" s="143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7"/>
    </row>
    <row r="177" spans="1:16" ht="12">
      <c r="A177" s="143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7"/>
    </row>
    <row r="178" spans="1:16" ht="12">
      <c r="A178" s="143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7"/>
    </row>
    <row r="179" spans="1:16" ht="12">
      <c r="A179" s="143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7"/>
    </row>
    <row r="180" spans="1:16" ht="12">
      <c r="A180" s="143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7"/>
    </row>
    <row r="181" spans="1:16" ht="12">
      <c r="A181" s="143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7"/>
    </row>
    <row r="182" spans="1:16" ht="12">
      <c r="A182" s="143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7"/>
    </row>
    <row r="183" spans="1:16" ht="12">
      <c r="A183" s="143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7"/>
    </row>
    <row r="184" spans="1:16" ht="12">
      <c r="A184" s="143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7"/>
    </row>
    <row r="185" spans="1:16" ht="12">
      <c r="A185" s="143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7"/>
    </row>
    <row r="186" spans="1:16" ht="12">
      <c r="A186" s="143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7"/>
    </row>
    <row r="187" spans="1:16" ht="12">
      <c r="A187" s="143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7"/>
    </row>
    <row r="188" spans="1:16" ht="12">
      <c r="A188" s="143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7"/>
    </row>
    <row r="189" spans="1:16" ht="12">
      <c r="A189" s="143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7"/>
    </row>
    <row r="190" spans="1:16" ht="12">
      <c r="A190" s="143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7"/>
    </row>
    <row r="191" spans="1:16" ht="12">
      <c r="A191" s="143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7"/>
    </row>
    <row r="192" spans="1:16" ht="12">
      <c r="A192" s="143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7"/>
    </row>
    <row r="193" spans="1:16" ht="12">
      <c r="A193" s="143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7"/>
    </row>
    <row r="194" spans="1:16" ht="12">
      <c r="A194" s="143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7"/>
    </row>
    <row r="195" spans="1:16" ht="12">
      <c r="A195" s="143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7"/>
    </row>
    <row r="196" spans="1:16" ht="12">
      <c r="A196" s="143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7"/>
    </row>
    <row r="197" spans="1:16" ht="12">
      <c r="A197" s="143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7"/>
    </row>
    <row r="198" spans="1:16" ht="12">
      <c r="A198" s="143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7"/>
    </row>
    <row r="199" spans="1:16" ht="12">
      <c r="A199" s="143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7"/>
    </row>
    <row r="200" spans="1:16" ht="12">
      <c r="A200" s="143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7"/>
    </row>
    <row r="201" spans="1:16" ht="12">
      <c r="A201" s="143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7"/>
    </row>
    <row r="202" spans="1:16" ht="12">
      <c r="A202" s="143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7"/>
    </row>
    <row r="203" spans="1:16" ht="12">
      <c r="A203" s="143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7"/>
    </row>
    <row r="204" spans="1:16" ht="12">
      <c r="A204" s="143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7"/>
    </row>
    <row r="205" spans="1:16" ht="12">
      <c r="A205" s="143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7"/>
    </row>
    <row r="206" spans="1:16" ht="12">
      <c r="A206" s="143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7"/>
    </row>
    <row r="207" spans="1:16" ht="12">
      <c r="A207" s="143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7"/>
    </row>
    <row r="208" spans="1:16" ht="12">
      <c r="A208" s="143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7"/>
    </row>
    <row r="209" spans="1:16" ht="12">
      <c r="A209" s="143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7"/>
    </row>
    <row r="210" spans="1:16" ht="12">
      <c r="A210" s="143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7"/>
    </row>
    <row r="211" spans="1:16" ht="12">
      <c r="A211" s="143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7"/>
    </row>
    <row r="212" spans="1:16" ht="12">
      <c r="A212" s="143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7"/>
    </row>
    <row r="213" spans="1:16" ht="12">
      <c r="A213" s="143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7"/>
    </row>
    <row r="214" spans="1:16" ht="12">
      <c r="A214" s="143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7"/>
    </row>
    <row r="215" spans="1:16" ht="12">
      <c r="A215" s="143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7"/>
    </row>
    <row r="216" spans="1:16" ht="12">
      <c r="A216" s="143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7"/>
    </row>
    <row r="217" spans="1:16" ht="12">
      <c r="A217" s="143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7"/>
    </row>
    <row r="218" spans="1:16" ht="12">
      <c r="A218" s="143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7"/>
    </row>
    <row r="219" spans="1:16" ht="12">
      <c r="A219" s="143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7"/>
    </row>
    <row r="220" spans="1:16" ht="12">
      <c r="A220" s="143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7"/>
    </row>
    <row r="221" spans="1:16" ht="12">
      <c r="A221" s="143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7"/>
    </row>
    <row r="222" spans="1:16" ht="12">
      <c r="A222" s="143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7"/>
    </row>
    <row r="223" spans="1:16" ht="12.75" thickBot="1">
      <c r="A223" s="148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50"/>
    </row>
  </sheetData>
  <sheetProtection password="CDDA" sheet="1" objects="1" scenarios="1"/>
  <printOptions horizontalCentered="1"/>
  <pageMargins left="0.5" right="0.5" top="0.65" bottom="0.65" header="0.5" footer="0.5"/>
  <pageSetup horizontalDpi="300" verticalDpi="300" orientation="landscape" scale="65" r:id="rId1"/>
  <headerFooter alignWithMargins="0">
    <oddHeader>&amp;CVLOOKUP TABLES</oddHeader>
    <oddFooter>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MANN</dc:creator>
  <cp:keywords/>
  <dc:description/>
  <cp:lastModifiedBy>Sanders, Paul</cp:lastModifiedBy>
  <cp:lastPrinted>2004-02-19T21:32:40Z</cp:lastPrinted>
  <dcterms:created xsi:type="dcterms:W3CDTF">1999-11-11T18:01:42Z</dcterms:created>
  <dcterms:modified xsi:type="dcterms:W3CDTF">2021-02-22T19:05:37Z</dcterms:modified>
  <cp:category/>
  <cp:version/>
  <cp:contentType/>
  <cp:contentStatus/>
</cp:coreProperties>
</file>