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12" windowWidth="15360" windowHeight="8580" activeTab="0"/>
  </bookViews>
  <sheets>
    <sheet name="Info" sheetId="1" r:id="rId1"/>
    <sheet name="InputA" sheetId="2" r:id="rId2"/>
    <sheet name="InputB" sheetId="3" r:id="rId3"/>
    <sheet name="InputC" sheetId="4" r:id="rId4"/>
    <sheet name="InputTOTAL" sheetId="5" r:id="rId5"/>
    <sheet name="Exh1A" sheetId="6" r:id="rId6"/>
    <sheet name="Exh1B" sheetId="7" r:id="rId7"/>
    <sheet name="Exh1C" sheetId="8" r:id="rId8"/>
    <sheet name="Exh1T" sheetId="9" r:id="rId9"/>
    <sheet name="Exh2A" sheetId="10" r:id="rId10"/>
    <sheet name="Exh2B1" sheetId="11" r:id="rId11"/>
    <sheet name="Exh2B2" sheetId="12" r:id="rId12"/>
    <sheet name="Exh2C" sheetId="13" r:id="rId13"/>
    <sheet name="Exh2T" sheetId="14" r:id="rId14"/>
    <sheet name="Exh3A" sheetId="15" r:id="rId15"/>
    <sheet name="Exh3B" sheetId="16" r:id="rId16"/>
    <sheet name="Exh3C" sheetId="17" r:id="rId17"/>
    <sheet name="Exh3T" sheetId="18" r:id="rId18"/>
    <sheet name="Exh4" sheetId="19" r:id="rId19"/>
    <sheet name="Exh5A" sheetId="20" r:id="rId20"/>
    <sheet name="Exh5B" sheetId="21" r:id="rId21"/>
    <sheet name="Exh5C" sheetId="22" r:id="rId22"/>
    <sheet name="Exh5T" sheetId="23" r:id="rId23"/>
    <sheet name="Exh6" sheetId="24" r:id="rId24"/>
    <sheet name="Exh7" sheetId="25" r:id="rId25"/>
    <sheet name="Exh8" sheetId="26" r:id="rId26"/>
    <sheet name="Exh9" sheetId="27" r:id="rId27"/>
  </sheets>
  <definedNames>
    <definedName name="CFEL_TL_Earned_Year00" localSheetId="25">'Exh8'!#REF!</definedName>
    <definedName name="CFEL_TL_Earned_Year00">'Exh7'!$C$8</definedName>
    <definedName name="CFEL_TL_Earned_Year01" localSheetId="25">'Exh8'!#REF!</definedName>
    <definedName name="CFEL_TL_Earned_Year01">'Exh7'!$D$8</definedName>
    <definedName name="CFEL_TL_Earned_Year02" localSheetId="25">'Exh8'!#REF!</definedName>
    <definedName name="CFEL_TL_Earned_Year02">'Exh7'!$E$8</definedName>
    <definedName name="CFEL_TL_Earned_Year03" localSheetId="25">'Exh8'!#REF!</definedName>
    <definedName name="CFEL_TL_Earned_Year03">'Exh7'!$F$8</definedName>
    <definedName name="CFEL_TL_Earned_Year04" localSheetId="25">'Exh8'!#REF!</definedName>
    <definedName name="CFEL_TL_Earned_Year04">'Exh7'!$G$8</definedName>
    <definedName name="CFEL_TL_Earned_Year05" localSheetId="25">'Exh8'!#REF!</definedName>
    <definedName name="CFEL_TL_Earned_Year05">'Exh7'!$H$8</definedName>
    <definedName name="CFEL_TL_Earned_Year06" localSheetId="25">'Exh8'!#REF!</definedName>
    <definedName name="CFEL_TL_Earned_Year06">'Exh7'!$I$8</definedName>
    <definedName name="CFEL_TL_Earned_Year07" localSheetId="25">'Exh8'!#REF!</definedName>
    <definedName name="CFEL_TL_Earned_Year07">'Exh7'!$J$8</definedName>
    <definedName name="CFEL_TL_Earned_Year08" localSheetId="25">'Exh8'!#REF!</definedName>
    <definedName name="CFEL_TL_Earned_Year08">'Exh7'!$K$8</definedName>
    <definedName name="CFEL_TL_Earned_Year09" localSheetId="25">'Exh8'!#REF!</definedName>
    <definedName name="CFEL_TL_Earned_Year09">'Exh7'!$L$8</definedName>
    <definedName name="CFEL_TL_Earned_Year10" localSheetId="25">'Exh8'!#REF!</definedName>
    <definedName name="CFEL_TL_Earned_Year10">'Exh7'!$M$8</definedName>
    <definedName name="CFEL_TL_Earned_Year11" localSheetId="25">'Exh8'!#REF!</definedName>
    <definedName name="CFEL_TL_Earned_Year11">'Exh7'!$N$8</definedName>
    <definedName name="CFEL_TL_Earned_Year12" localSheetId="25">'Exh8'!#REF!</definedName>
    <definedName name="CFEL_TL_Earned_Year12">'Exh7'!$O$8</definedName>
    <definedName name="CFEL_TL_Earned_Year13" localSheetId="25">'Exh8'!#REF!</definedName>
    <definedName name="CFEL_TL_Earned_Year13">'Exh7'!$P$8</definedName>
    <definedName name="CFEL_TL_Earned_Year14" localSheetId="25">'Exh8'!#REF!</definedName>
    <definedName name="CFEL_TL_Earned_Year14">'Exh7'!$Q$8</definedName>
    <definedName name="CFEL_TL_Earned_Year15" localSheetId="25">'Exh8'!#REF!</definedName>
    <definedName name="CFEL_TL_Earned_Year15">'Exh7'!$R$8</definedName>
    <definedName name="CFEL_TL_Earned_Year16" localSheetId="25">'Exh8'!#REF!</definedName>
    <definedName name="CFEL_TL_Earned_Year16">'Exh7'!$S$8</definedName>
    <definedName name="CFEL_TL_Used_Year01" localSheetId="25">'Exh8'!#REF!</definedName>
    <definedName name="CFEL_TL_Used_Year01">'Exh7'!$D$37</definedName>
    <definedName name="CFEL_TL_Used_Year02" localSheetId="25">'Exh8'!#REF!</definedName>
    <definedName name="CFEL_TL_Used_Year02">'Exh7'!$E$37</definedName>
    <definedName name="CFEL_TL_Used_Year03" localSheetId="25">'Exh8'!#REF!</definedName>
    <definedName name="CFEL_TL_Used_Year03">'Exh7'!$F$37</definedName>
    <definedName name="CFEL_TL_Used_Year04" localSheetId="25">'Exh8'!#REF!</definedName>
    <definedName name="CFEL_TL_Used_Year04">'Exh7'!$G$37</definedName>
    <definedName name="CFEL_TL_Used_Year05" localSheetId="25">'Exh8'!#REF!</definedName>
    <definedName name="CFEL_TL_Used_Year05">'Exh7'!$H$37</definedName>
    <definedName name="CFEL_TL_Used_Year06" localSheetId="25">'Exh8'!#REF!</definedName>
    <definedName name="CFEL_TL_Used_Year06">'Exh7'!$I$37</definedName>
    <definedName name="CFEL_TL_Used_Year07" localSheetId="25">'Exh8'!#REF!</definedName>
    <definedName name="CFEL_TL_Used_Year07">'Exh7'!$J$37</definedName>
    <definedName name="CFEL_TL_Used_Year08" localSheetId="25">'Exh8'!#REF!</definedName>
    <definedName name="CFEL_TL_Used_Year08">'Exh7'!$K$37</definedName>
    <definedName name="CFEL_TL_Used_Year09" localSheetId="25">'Exh8'!#REF!</definedName>
    <definedName name="CFEL_TL_Used_Year09">'Exh7'!$L$37</definedName>
    <definedName name="CFEL_TL_Used_Year10" localSheetId="25">'Exh8'!#REF!</definedName>
    <definedName name="CFEL_TL_Used_Year10">'Exh7'!$M$37</definedName>
    <definedName name="CFEL_TL_Used_Year11" localSheetId="25">'Exh8'!#REF!</definedName>
    <definedName name="CFEL_TL_Used_Year11">'Exh7'!$N$37</definedName>
    <definedName name="CFEL_TL_Used_Year12" localSheetId="25">'Exh8'!#REF!</definedName>
    <definedName name="CFEL_TL_Used_Year12">'Exh7'!$O$37</definedName>
    <definedName name="CFEL_TL_Used_Year13" localSheetId="25">'Exh8'!#REF!</definedName>
    <definedName name="CFEL_TL_Used_Year13">'Exh7'!$P$37</definedName>
    <definedName name="CFEL_TL_Used_Year14" localSheetId="25">'Exh8'!#REF!</definedName>
    <definedName name="CFEL_TL_Used_Year14">'Exh7'!$Q$37</definedName>
    <definedName name="CFEL_TL_Used_Year15" localSheetId="25">'Exh8'!#REF!</definedName>
    <definedName name="CFEL_TL_Used_Year15">'Exh7'!$R$37</definedName>
    <definedName name="CFEL_TL_Used_Year16" localSheetId="25">'Exh8'!#REF!</definedName>
    <definedName name="CFEL_TL_Used_Year16">'Exh7'!$S$37</definedName>
    <definedName name="CFEP_BI_Earned_Year01">'Exh6'!$D$8</definedName>
    <definedName name="CFEP_BI_Earned_Year02">'Exh6'!$E$8</definedName>
    <definedName name="CFEP_BI_Earned_Year03">'Exh6'!$F$8</definedName>
    <definedName name="CFEP_BI_Earned_Year04">'Exh6'!$G$8</definedName>
    <definedName name="CFEP_BI_Earned_Year05">'Exh6'!$H$8</definedName>
    <definedName name="CFEP_BI_Earned_Year06">'Exh6'!$I$8</definedName>
    <definedName name="CFEP_BI_Earned_Year07">'Exh6'!$J$8</definedName>
    <definedName name="CFEP_BI_Earned_Year08">'Exh6'!$K$8</definedName>
    <definedName name="CFEP_BI_Earned_Year09">'Exh6'!$L$8</definedName>
    <definedName name="CFEP_BI_Earned_Year10">'Exh6'!$M$8</definedName>
    <definedName name="CFEP_BI_Earned_Year11">'Exh6'!$N$8</definedName>
    <definedName name="CFEP_BI_Earned_Year12">'Exh6'!$O$8</definedName>
    <definedName name="CFEP_BI_Earned_Year13">'Exh6'!$P$8</definedName>
    <definedName name="CFEP_BI_Earned_Year14">'Exh6'!$Q$8</definedName>
    <definedName name="CFEP_BI_Earned_Year15">'Exh6'!$R$8</definedName>
    <definedName name="CFEP_BI_Earned_Year16">'Exh6'!$S$8</definedName>
    <definedName name="CFEP_BI_Used_Year01">'Exh6'!$D$37</definedName>
    <definedName name="CFEP_BI_Used_Year02">'Exh6'!$E$37</definedName>
    <definedName name="CFEP_BI_Used_Year03">'Exh6'!$F$37</definedName>
    <definedName name="CFEP_BI_Used_Year04">'Exh6'!$G$37</definedName>
    <definedName name="CFEP_BI_Used_Year05">'Exh6'!$H$37</definedName>
    <definedName name="CFEP_BI_Used_Year06">'Exh6'!$I$37</definedName>
    <definedName name="CFEP_BI_Used_Year07">'Exh6'!$J$37</definedName>
    <definedName name="CFEP_BI_Used_Year08">'Exh6'!$K$37</definedName>
    <definedName name="CFEP_BI_Used_Year09">'Exh6'!$L$37</definedName>
    <definedName name="CFEP_BI_Used_Year10">'Exh6'!$M$37</definedName>
    <definedName name="CFEP_BI_Used_Year11">'Exh6'!$N$37</definedName>
    <definedName name="CFEP_BI_Used_Year12">'Exh6'!$O$37</definedName>
    <definedName name="CFEP_BI_Used_Year13">'Exh6'!$P$37</definedName>
    <definedName name="CFEP_BI_Used_Year14">'Exh6'!$Q$37</definedName>
    <definedName name="CFEP_BI_Used_Year15">'Exh6'!$R$37</definedName>
    <definedName name="CFEP_BI_Used_Year16">'Exh6'!$S$37</definedName>
    <definedName name="CFEP_PhysDmg_Earned_Year01">#REF!</definedName>
    <definedName name="CFEP_PhysDmg_Earned_Year02">#REF!</definedName>
    <definedName name="CFEP_PhysDmg_Earned_Year03">#REF!</definedName>
    <definedName name="CFEP_PhysDmg_Earned_Year04">#REF!</definedName>
    <definedName name="CFEP_PhysDmg_Earned_Year05">#REF!</definedName>
    <definedName name="CFEP_PhysDmg_Earned_Year06">#REF!</definedName>
    <definedName name="CFEP_PhysDmg_Earned_Year07">#REF!</definedName>
    <definedName name="CFEP_PhysDmg_Earned_Year08">#REF!</definedName>
    <definedName name="CFEP_PhysDmg_Earned_Year09">#REF!</definedName>
    <definedName name="CFEP_PhysDmg_Earned_Year10">#REF!</definedName>
    <definedName name="CFEP_PhysDmg_Earned_Year11">#REF!</definedName>
    <definedName name="CFEP_PhysDmg_Earned_Year12">#REF!</definedName>
    <definedName name="CFEP_PhysDmg_Earned_Year13">#REF!</definedName>
    <definedName name="CFEP_PhysDmg_Earned_Year14">#REF!</definedName>
    <definedName name="CFEP_PhysDmg_Earned_Year15">#REF!</definedName>
    <definedName name="CFEP_PhysDmg_Earned_Year16">#REF!</definedName>
    <definedName name="CFEP_PhysDmg_Used_Year01">#REF!</definedName>
    <definedName name="CFEP_PhysDmg_Used_Year02">#REF!</definedName>
    <definedName name="CFEP_PhysDmg_Used_Year03">#REF!</definedName>
    <definedName name="CFEP_PhysDmg_Used_Year04">#REF!</definedName>
    <definedName name="CFEP_PhysDmg_Used_Year05">#REF!</definedName>
    <definedName name="CFEP_PhysDmg_Used_Year06">#REF!</definedName>
    <definedName name="CFEP_PhysDmg_Used_Year07">#REF!</definedName>
    <definedName name="CFEP_PhysDmg_Used_Year08">#REF!</definedName>
    <definedName name="CFEP_PhysDmg_Used_Year09">#REF!</definedName>
    <definedName name="CFEP_PhysDmg_Used_Year10">#REF!</definedName>
    <definedName name="CFEP_PhysDmg_Used_Year11">#REF!</definedName>
    <definedName name="CFEP_PhysDmg_Used_Year12">#REF!</definedName>
    <definedName name="CFEP_PhysDmg_Used_Year13">#REF!</definedName>
    <definedName name="CFEP_PhysDmg_Used_Year14">#REF!</definedName>
    <definedName name="CFEP_PhysDmg_Used_Year15">#REF!</definedName>
    <definedName name="CFEP_PhysDmg_Used_Year16">#REF!</definedName>
    <definedName name="CFEP_PIP_Earned_Year01">#REF!</definedName>
    <definedName name="CFEP_PIP_Earned_Year02">#REF!</definedName>
    <definedName name="CFEP_PIP_Earned_Year03">#REF!</definedName>
    <definedName name="CFEP_PIP_Earned_Year04">#REF!</definedName>
    <definedName name="CFEP_PIP_Earned_Year05">#REF!</definedName>
    <definedName name="CFEP_PIP_Earned_Year06">#REF!</definedName>
    <definedName name="CFEP_PIP_Earned_Year07">#REF!</definedName>
    <definedName name="CFEP_PIP_Earned_Year08">#REF!</definedName>
    <definedName name="CFEP_PIP_Earned_Year09">#REF!</definedName>
    <definedName name="CFEP_PIP_Earned_Year10">#REF!</definedName>
    <definedName name="CFEP_PIP_Earned_Year11">#REF!</definedName>
    <definedName name="CFEP_PIP_Earned_Year12">#REF!</definedName>
    <definedName name="CFEP_PIP_Earned_Year13">#REF!</definedName>
    <definedName name="CFEP_PIP_Earned_Year14">#REF!</definedName>
    <definedName name="CFEP_PIP_Earned_Year15">#REF!</definedName>
    <definedName name="CFEP_PIP_Earned_Year16">#REF!</definedName>
    <definedName name="CFEP_PIP_Used_Year01">#REF!</definedName>
    <definedName name="CFEP_PIP_Used_Year02">#REF!</definedName>
    <definedName name="CFEP_PIP_Used_Year03">#REF!</definedName>
    <definedName name="CFEP_PIP_Used_Year04">#REF!</definedName>
    <definedName name="CFEP_PIP_Used_Year05">#REF!</definedName>
    <definedName name="CFEP_PIP_Used_Year06">#REF!</definedName>
    <definedName name="CFEP_PIP_Used_Year07">#REF!</definedName>
    <definedName name="CFEP_PIP_Used_Year08">#REF!</definedName>
    <definedName name="CFEP_PIP_Used_Year09">#REF!</definedName>
    <definedName name="CFEP_PIP_Used_Year10">#REF!</definedName>
    <definedName name="CFEP_PIP_Used_Year11">#REF!</definedName>
    <definedName name="CFEP_PIP_Used_Year12">#REF!</definedName>
    <definedName name="CFEP_PIP_Used_Year13">#REF!</definedName>
    <definedName name="CFEP_PIP_Used_Year14">#REF!</definedName>
    <definedName name="CFEP_PIP_Used_Year15">#REF!</definedName>
    <definedName name="CFEP_PIP_Used_Year16">#REF!</definedName>
    <definedName name="CFRE_TL_Earned_Year00">'Exh9'!$J$36</definedName>
    <definedName name="CFRE_TL_Earned_Year01" localSheetId="25">'Exh8'!$D$8</definedName>
    <definedName name="CFRE_TL_Earned_Year01">'Exh7'!#REF!</definedName>
    <definedName name="CFRE_TL_Earned_Year02" localSheetId="25">'Exh8'!$E$8</definedName>
    <definedName name="CFRE_TL_Earned_Year02">'Exh7'!#REF!</definedName>
    <definedName name="CFRE_TL_Earned_Year03" localSheetId="25">'Exh8'!$F$8</definedName>
    <definedName name="CFRE_TL_Earned_Year03">'Exh7'!#REF!</definedName>
    <definedName name="CFRE_TL_Earned_Year04" localSheetId="25">'Exh8'!$G$8</definedName>
    <definedName name="CFRE_TL_Earned_Year04">'Exh7'!#REF!</definedName>
    <definedName name="CFRE_TL_Earned_Year05" localSheetId="25">'Exh8'!$H$8</definedName>
    <definedName name="CFRE_TL_Earned_Year05">'Exh7'!#REF!</definedName>
    <definedName name="CFRE_TL_Earned_Year06" localSheetId="25">'Exh8'!$I$8</definedName>
    <definedName name="CFRE_TL_Earned_Year06">'Exh7'!#REF!</definedName>
    <definedName name="CFRE_TL_Earned_Year07" localSheetId="25">'Exh8'!$J$8</definedName>
    <definedName name="CFRE_TL_Earned_Year07">'Exh7'!#REF!</definedName>
    <definedName name="CFRE_TL_Earned_Year08" localSheetId="25">'Exh8'!$K$8</definedName>
    <definedName name="CFRE_TL_Earned_Year08">'Exh7'!#REF!</definedName>
    <definedName name="CFRE_TL_Earned_Year09" localSheetId="25">'Exh8'!$L$8</definedName>
    <definedName name="CFRE_TL_Earned_Year09">'Exh7'!#REF!</definedName>
    <definedName name="CFRE_TL_Earned_Year10" localSheetId="25">'Exh8'!$M$8</definedName>
    <definedName name="CFRE_TL_Earned_Year10">'Exh7'!#REF!</definedName>
    <definedName name="CFRE_TL_Earned_Year11" localSheetId="25">'Exh8'!$N$8</definedName>
    <definedName name="CFRE_TL_Earned_Year11">'Exh7'!#REF!</definedName>
    <definedName name="CFRE_TL_Earned_Year12" localSheetId="25">'Exh8'!$O$8</definedName>
    <definedName name="CFRE_TL_Earned_Year12">'Exh7'!#REF!</definedName>
    <definedName name="CFRE_TL_Earned_Year13" localSheetId="25">'Exh8'!$P$8</definedName>
    <definedName name="CFRE_TL_Earned_Year13">'Exh7'!#REF!</definedName>
    <definedName name="CFRE_TL_Earned_Year14" localSheetId="25">'Exh8'!$Q$8</definedName>
    <definedName name="CFRE_TL_Earned_Year14">'Exh7'!#REF!</definedName>
    <definedName name="CFRE_TL_Earned_Year15" localSheetId="25">'Exh8'!$R$8</definedName>
    <definedName name="CFRE_TL_Earned_Year15">'Exh7'!#REF!</definedName>
    <definedName name="CFRE_TL_Earned_Year16" localSheetId="25">'Exh8'!$S$8</definedName>
    <definedName name="CFRE_TL_Earned_Year16">'Exh7'!#REF!</definedName>
    <definedName name="CFRE_TL_Used_Year01" localSheetId="25">'Exh8'!$D$37</definedName>
    <definedName name="CFRE_TL_Used_Year01">'Exh7'!#REF!</definedName>
    <definedName name="CFRE_TL_Used_Year02" localSheetId="25">'Exh8'!$E$37</definedName>
    <definedName name="CFRE_TL_Used_Year02">'Exh7'!#REF!</definedName>
    <definedName name="CFRE_TL_Used_Year03" localSheetId="25">'Exh8'!$F$37</definedName>
    <definedName name="CFRE_TL_Used_Year03">'Exh7'!#REF!</definedName>
    <definedName name="CFRE_TL_Used_Year04" localSheetId="25">'Exh8'!$G$37</definedName>
    <definedName name="CFRE_TL_Used_Year04">'Exh7'!#REF!</definedName>
    <definedName name="CFRE_TL_Used_Year05" localSheetId="25">'Exh8'!$H$37</definedName>
    <definedName name="CFRE_TL_Used_Year05">'Exh7'!#REF!</definedName>
    <definedName name="CFRE_TL_Used_Year06" localSheetId="25">'Exh8'!$I$37</definedName>
    <definedName name="CFRE_TL_Used_Year06">'Exh7'!#REF!</definedName>
    <definedName name="CFRE_TL_Used_Year07" localSheetId="25">'Exh8'!$J$37</definedName>
    <definedName name="CFRE_TL_Used_Year07">'Exh7'!#REF!</definedName>
    <definedName name="CFRE_TL_Used_Year08" localSheetId="25">'Exh8'!$K$37</definedName>
    <definedName name="CFRE_TL_Used_Year08">'Exh7'!#REF!</definedName>
    <definedName name="CFRE_TL_Used_Year09" localSheetId="25">'Exh8'!$L$37</definedName>
    <definedName name="CFRE_TL_Used_Year09">'Exh7'!#REF!</definedName>
    <definedName name="CFRE_TL_Used_Year10" localSheetId="25">'Exh8'!$M$37</definedName>
    <definedName name="CFRE_TL_Used_Year10">'Exh7'!#REF!</definedName>
    <definedName name="CFRE_TL_Used_Year11" localSheetId="25">'Exh8'!$N$37</definedName>
    <definedName name="CFRE_TL_Used_Year11">'Exh7'!#REF!</definedName>
    <definedName name="CFRE_TL_Used_Year12" localSheetId="25">'Exh8'!$O$37</definedName>
    <definedName name="CFRE_TL_Used_Year12">'Exh7'!#REF!</definedName>
    <definedName name="CFRE_TL_Used_Year13" localSheetId="25">'Exh8'!$P$37</definedName>
    <definedName name="CFRE_TL_Used_Year13">'Exh7'!#REF!</definedName>
    <definedName name="CFRE_TL_Used_Year14" localSheetId="25">'Exh8'!$Q$37</definedName>
    <definedName name="CFRE_TL_Used_Year14">'Exh7'!#REF!</definedName>
    <definedName name="CFRE_TL_Used_Year15" localSheetId="25">'Exh8'!$R$37</definedName>
    <definedName name="CFRE_TL_Used_Year15">'Exh7'!#REF!</definedName>
    <definedName name="CFRE_TL_Used_Year16" localSheetId="25">'Exh8'!$S$37</definedName>
    <definedName name="CFRE_TL_Used_Year16">'Exh7'!#REF!</definedName>
    <definedName name="ExclTotal_BI_ALAEIncurred_Year1">'Exh1B'!#REF!</definedName>
    <definedName name="ExclTotal_BI_ALAEIncurred_Year2">'Exh1B'!#REF!</definedName>
    <definedName name="ExclTotal_BI_ALAEIncurred_Year3">'Exh1B'!#REF!</definedName>
    <definedName name="ExclTotal_BI_ALAEIncurred_Year4">'Exh1B'!#REF!</definedName>
    <definedName name="ExclTotal_BI_ALAEIncurred_Year5">'Exh1B'!#REF!</definedName>
    <definedName name="ExclTotal_BI_ALAEIncurred_Year6">'Exh1B'!#REF!</definedName>
    <definedName name="ExclTotal_BI_ALAEIncurred_Year7">'Exh1B'!#REF!</definedName>
    <definedName name="ExclTotal_BI_ALAEIncurred_Year8">'Exh1B'!#REF!</definedName>
    <definedName name="ExclTotal_BI_ALAEIncurred_Year9">'Exh1B'!#REF!</definedName>
    <definedName name="ExclTotal_BI_ALAEPaid_Year1">'Exh1B'!#REF!</definedName>
    <definedName name="ExclTotal_BI_ALAEPaid_Year2">'Exh1B'!#REF!</definedName>
    <definedName name="ExclTotal_BI_ALAEPaid_Year3">'Exh1B'!#REF!</definedName>
    <definedName name="ExclTotal_BI_ALAEPaid_Year4">'Exh1B'!#REF!</definedName>
    <definedName name="ExclTotal_BI_ALAEPaid_Year5">'Exh1B'!#REF!</definedName>
    <definedName name="ExclTotal_BI_ALAEPaid_Year6">'Exh1B'!#REF!</definedName>
    <definedName name="ExclTotal_BI_ALAEPaid_Year7">'Exh1B'!#REF!</definedName>
    <definedName name="ExclTotal_BI_ALAEPaid_Year8">'Exh1B'!#REF!</definedName>
    <definedName name="ExclTotal_BI_ALAEPaid_Year9">'Exh1B'!#REF!</definedName>
    <definedName name="ExclTotal_BI_ALAEUnpaid_Year1">'Exh1B'!$J$10</definedName>
    <definedName name="ExclTotal_BI_ALAEUnpaid_Year2">'Exh1B'!$J$22</definedName>
    <definedName name="ExclTotal_BI_ALAEUnpaid_Year3">'Exh1B'!$J$34</definedName>
    <definedName name="ExclTotal_BI_ALAEUnpaid_Year4">'Exh1B'!$J$51</definedName>
    <definedName name="ExclTotal_BI_ALAEUnpaid_Year5">'Exh1B'!$J$63</definedName>
    <definedName name="ExclTotal_BI_ALAEUnpaid_Year6">'Exh1B'!$J$75</definedName>
    <definedName name="ExclTotal_BI_ALAEUnpaid_Year7">'Exh1B'!$J$92</definedName>
    <definedName name="ExclTotal_BI_ALAEUnpaid_Year8">'Exh1B'!$J$104</definedName>
    <definedName name="ExclTotal_BI_ALAEUnpaid_Year9">'Exh1B'!$J$116</definedName>
    <definedName name="ExclTotal_BI_Dividends_Year1">'Exh1B'!$F$10</definedName>
    <definedName name="ExclTotal_BI_Dividends_Year2">'Exh1B'!$F$22</definedName>
    <definedName name="ExclTotal_BI_Dividends_Year3">'Exh1B'!$F$34</definedName>
    <definedName name="ExclTotal_BI_Dividends_Year4">'Exh1B'!$F$51</definedName>
    <definedName name="ExclTotal_BI_Dividends_Year5">'Exh1B'!$F$63</definedName>
    <definedName name="ExclTotal_BI_Dividends_Year6">'Exh1B'!$F$75</definedName>
    <definedName name="ExclTotal_BI_Dividends_Year7">'Exh1B'!$F$92</definedName>
    <definedName name="ExclTotal_BI_Dividends_Year8">'Exh1B'!$F$104</definedName>
    <definedName name="ExclTotal_BI_Dividends_Year9">'Exh1B'!$F$116</definedName>
    <definedName name="ExclTotal_BI_LossIncurred_Year1">'Exh1B'!#REF!</definedName>
    <definedName name="ExclTotal_BI_LossIncurred_Year2">'Exh1B'!#REF!</definedName>
    <definedName name="ExclTotal_BI_LossIncurred_Year3">'Exh1B'!#REF!</definedName>
    <definedName name="ExclTotal_BI_LossIncurred_Year4">'Exh1B'!#REF!</definedName>
    <definedName name="ExclTotal_BI_LossIncurred_Year5">'Exh1B'!#REF!</definedName>
    <definedName name="ExclTotal_BI_LossIncurred_Year6">'Exh1B'!#REF!</definedName>
    <definedName name="ExclTotal_BI_LossIncurred_Year7">'Exh1B'!#REF!</definedName>
    <definedName name="ExclTotal_BI_LossIncurred_Year8">'Exh1B'!#REF!</definedName>
    <definedName name="ExclTotal_BI_LossIncurred_Year9">'Exh1B'!#REF!</definedName>
    <definedName name="ExclTotal_BI_LossPaid_Year1">'Exh1B'!$H$10</definedName>
    <definedName name="ExclTotal_BI_LossPaid_Year2">'Exh1B'!$H$22</definedName>
    <definedName name="ExclTotal_BI_LossPaid_Year3">'Exh1B'!$H$34</definedName>
    <definedName name="ExclTotal_BI_LossPaid_Year4">'Exh1B'!$H$51</definedName>
    <definedName name="ExclTotal_BI_LossPaid_Year5">'Exh1B'!$H$63</definedName>
    <definedName name="ExclTotal_BI_LossPaid_Year6">'Exh1B'!$H$75</definedName>
    <definedName name="ExclTotal_BI_LossPaid_Year7">'Exh1B'!$H$92</definedName>
    <definedName name="ExclTotal_BI_LossPaid_Year8">'Exh1B'!$H$104</definedName>
    <definedName name="ExclTotal_BI_LossPaid_Year9">'Exh1B'!$H$116</definedName>
    <definedName name="ExclTotal_BI_LossUnpaid_Year1">'Exh1B'!$I$10</definedName>
    <definedName name="ExclTotal_BI_LossUnpaid_Year2">'Exh1B'!$I$22</definedName>
    <definedName name="ExclTotal_BI_LossUnpaid_Year3">'Exh1B'!$I$34</definedName>
    <definedName name="ExclTotal_BI_LossUnpaid_Year4">'Exh1B'!$I$51</definedName>
    <definedName name="ExclTotal_BI_LossUnpaid_Year5">'Exh1B'!$I$63</definedName>
    <definedName name="ExclTotal_BI_LossUnpaid_Year6">'Exh1B'!$I$75</definedName>
    <definedName name="ExclTotal_BI_LossUnpaid_Year7">'Exh1B'!$I$92</definedName>
    <definedName name="ExclTotal_BI_LossUnpaid_Year8">'Exh1B'!$I$104</definedName>
    <definedName name="ExclTotal_BI_LossUnpaid_Year9">'Exh1B'!$I$116</definedName>
    <definedName name="ExclTotal_BI_PremiumEarned_Year1">'Exh1B'!$E$10</definedName>
    <definedName name="ExclTotal_BI_PremiumEarned_Year2">'Exh1B'!$E$22</definedName>
    <definedName name="ExclTotal_BI_PremiumEarned_Year3">'Exh1B'!$E$34</definedName>
    <definedName name="ExclTotal_BI_PremiumEarned_Year4">'Exh1B'!$E$51</definedName>
    <definedName name="ExclTotal_BI_PremiumEarned_Year5">'Exh1B'!$E$63</definedName>
    <definedName name="ExclTotal_BI_PremiumEarned_Year6">'Exh1B'!$E$75</definedName>
    <definedName name="ExclTotal_BI_PremiumEarned_Year7">'Exh1B'!$E$92</definedName>
    <definedName name="ExclTotal_BI_PremiumEarned_Year8">'Exh1B'!$E$104</definedName>
    <definedName name="ExclTotal_BI_PremiumEarned_Year9">'Exh1B'!$E$116</definedName>
    <definedName name="ExclTotal_BI_PremiumUnearned_Year1">'Exh1B'!$G$10</definedName>
    <definedName name="ExclTotal_BI_PremiumUnearned_Year2">'Exh1B'!$G$22</definedName>
    <definedName name="ExclTotal_BI_PremiumUnearned_Year3">'Exh1B'!$G$34</definedName>
    <definedName name="ExclTotal_BI_PremiumUnearned_Year4">'Exh1B'!$G$51</definedName>
    <definedName name="ExclTotal_BI_PremiumUnearned_Year5">'Exh1B'!$G$63</definedName>
    <definedName name="ExclTotal_BI_PremiumUnearned_Year6">'Exh1B'!$G$75</definedName>
    <definedName name="ExclTotal_BI_PremiumUnearned_Year7">'Exh1B'!$G$92</definedName>
    <definedName name="ExclTotal_BI_PremiumUnearned_Year8">'Exh1B'!$G$104</definedName>
    <definedName name="ExclTotal_BI_PremiumUnearned_Year9">'Exh1B'!$G$116</definedName>
    <definedName name="ExclTotal_BI_PremiumWritten_Year1">'Exh1B'!$D$10</definedName>
    <definedName name="ExclTotal_BI_PremiumWritten_Year2">'Exh1B'!$D$22</definedName>
    <definedName name="ExclTotal_BI_PremiumWritten_Year3">'Exh1B'!$D$34</definedName>
    <definedName name="ExclTotal_BI_PremiumWritten_Year4">'Exh1B'!$D$51</definedName>
    <definedName name="ExclTotal_BI_PremiumWritten_Year5">'Exh1B'!$D$63</definedName>
    <definedName name="ExclTotal_BI_PremiumWritten_Year6">'Exh1B'!$D$75</definedName>
    <definedName name="ExclTotal_BI_PremiumWritten_Year7">'Exh1B'!$D$92</definedName>
    <definedName name="ExclTotal_BI_PremiumWritten_Year8">'Exh1B'!$D$104</definedName>
    <definedName name="ExclTotal_BI_PremiumWritten_Year9">'Exh1B'!$D$116</definedName>
    <definedName name="ExclTotal_PhysDmg_ALAEUnpaid_Year1">'Exh1C'!$J$10</definedName>
    <definedName name="ExclTotal_PhysDmg_ALAEUnpaid_Year2">'Exh1C'!$J$22</definedName>
    <definedName name="ExclTotal_PhysDmg_ALAEUnpaid_Year3">'Exh1C'!$J$34</definedName>
    <definedName name="ExclTotal_PhysDmg_ALAEUnpaid_Year4">'Exh1C'!$J$51</definedName>
    <definedName name="ExclTotal_PhysDmg_ALAEUnpaid_Year5">'Exh1C'!$J$63</definedName>
    <definedName name="ExclTotal_PhysDmg_ALAEUnpaid_Year6">'Exh1C'!$J$75</definedName>
    <definedName name="ExclTotal_PhysDmg_ALAEUnpaid_Year7">'Exh1C'!$J$92</definedName>
    <definedName name="ExclTotal_PhysDmg_ALAEUnpaid_Year8">'Exh1C'!$J$104</definedName>
    <definedName name="ExclTotal_PhysDmg_ALAEUnpaid_Year9">'Exh1C'!$J$116</definedName>
    <definedName name="ExclTotal_PhysDmg_Dividends_Year1">'Exh1C'!$F$10</definedName>
    <definedName name="ExclTotal_PhysDmg_Dividends_Year2">'Exh1C'!$F$22</definedName>
    <definedName name="ExclTotal_PhysDmg_Dividends_Year3">'Exh1C'!$F$34</definedName>
    <definedName name="ExclTotal_PhysDmg_Dividends_Year4">'Exh1C'!$F$51</definedName>
    <definedName name="ExclTotal_PhysDmg_Dividends_Year5">'Exh1C'!$F$63</definedName>
    <definedName name="ExclTotal_PhysDmg_Dividends_Year6">'Exh1C'!$F$75</definedName>
    <definedName name="ExclTotal_PhysDmg_Dividends_Year7">'Exh1C'!$F$92</definedName>
    <definedName name="ExclTotal_PhysDmg_Dividends_Year8">'Exh1C'!$F$104</definedName>
    <definedName name="ExclTotal_PhysDmg_Dividends_Year9">'Exh1C'!$F$116</definedName>
    <definedName name="ExclTotal_PhysDmg_LossIncurred_Year1">'Exh1C'!#REF!</definedName>
    <definedName name="ExclTotal_PhysDmg_LossIncurred_Year2">'Exh1C'!#REF!</definedName>
    <definedName name="ExclTotal_PhysDmg_LossIncurred_Year3">'Exh1C'!#REF!</definedName>
    <definedName name="ExclTotal_PhysDmg_LossIncurred_Year4">'Exh1C'!#REF!</definedName>
    <definedName name="ExclTotal_PhysDmg_LossIncurred_Year5">'Exh1C'!#REF!</definedName>
    <definedName name="ExclTotal_PhysDmg_LossIncurred_Year6">'Exh1C'!#REF!</definedName>
    <definedName name="ExclTotal_PhysDmg_LossIncurred_Year7">'Exh1C'!#REF!</definedName>
    <definedName name="ExclTotal_PhysDmg_LossIncurred_Year8">'Exh1C'!#REF!</definedName>
    <definedName name="ExclTotal_PhysDmg_LossIncurred_Year9">'Exh1C'!#REF!</definedName>
    <definedName name="ExclTotal_PhysDmg_LossPaid_Year1">'Exh1C'!$H$10</definedName>
    <definedName name="ExclTotal_PhysDmg_LossPaid_Year2">'Exh1C'!$H$22</definedName>
    <definedName name="ExclTotal_PhysDmg_LossPaid_Year3">'Exh1C'!$H$34</definedName>
    <definedName name="ExclTotal_PhysDmg_LossPaid_Year4">'Exh1C'!$H$51</definedName>
    <definedName name="ExclTotal_PhysDmg_LossPaid_Year5">'Exh1C'!$H$63</definedName>
    <definedName name="ExclTotal_PhysDmg_LossPaid_Year6">'Exh1C'!$H$75</definedName>
    <definedName name="ExclTotal_PhysDmg_LossPaid_Year7">'Exh1C'!$H$92</definedName>
    <definedName name="ExclTotal_PhysDmg_LossPaid_Year8">'Exh1C'!$H$104</definedName>
    <definedName name="ExclTotal_PhysDmg_LossPaid_Year9">'Exh1C'!$H$116</definedName>
    <definedName name="ExclTotal_PhysDmg_LossUnpaid_Year1">'Exh1C'!$I$10</definedName>
    <definedName name="ExclTotal_PhysDmg_LossUnpaid_Year2">'Exh1C'!$I$22</definedName>
    <definedName name="ExclTotal_PhysDmg_LossUnpaid_Year3">'Exh1C'!$I$34</definedName>
    <definedName name="ExclTotal_PhysDmg_LossUnpaid_Year4">'Exh1C'!$I$51</definedName>
    <definedName name="ExclTotal_PhysDmg_LossUnpaid_Year5">'Exh1C'!$I$63</definedName>
    <definedName name="ExclTotal_PhysDmg_LossUnpaid_Year6">'Exh1C'!$I$75</definedName>
    <definedName name="ExclTotal_PhysDmg_LossUnpaid_Year7">'Exh1C'!$I$92</definedName>
    <definedName name="ExclTotal_PhysDmg_LossUnpaid_Year8">'Exh1C'!$I$104</definedName>
    <definedName name="ExclTotal_PhysDmg_LossUnpaid_Year9">'Exh1C'!$I$116</definedName>
    <definedName name="ExclTotal_PhysDmg_PremiumEarned_Year1">'Exh1C'!$E$10</definedName>
    <definedName name="ExclTotal_PhysDmg_PremiumEarned_Year2">'Exh1C'!$E$22</definedName>
    <definedName name="ExclTotal_PhysDmg_PremiumEarned_Year3">'Exh1C'!$E$34</definedName>
    <definedName name="ExclTotal_PhysDmg_PremiumEarned_Year4">'Exh1C'!$E$51</definedName>
    <definedName name="ExclTotal_PhysDmg_PremiumEarned_Year5">'Exh1C'!$E$63</definedName>
    <definedName name="ExclTotal_PhysDmg_PremiumEarned_Year6">'Exh1C'!$E$75</definedName>
    <definedName name="ExclTotal_PhysDmg_PremiumEarned_Year7">'Exh1C'!$E$92</definedName>
    <definedName name="ExclTotal_PhysDmg_PremiumEarned_Year8">'Exh1C'!$E$104</definedName>
    <definedName name="ExclTotal_PhysDmg_PremiumEarned_Year9">'Exh1C'!$E$116</definedName>
    <definedName name="ExclTotal_PhysDmg_PremiumUnearned_Year1">'Exh1C'!$G$10</definedName>
    <definedName name="ExclTotal_PhysDmg_PremiumUnearned_Year2">'Exh1C'!$G$22</definedName>
    <definedName name="ExclTotal_PhysDmg_PremiumUnearned_Year3">'Exh1C'!$G$34</definedName>
    <definedName name="ExclTotal_PhysDmg_PremiumUnearned_Year4">'Exh1C'!$G$51</definedName>
    <definedName name="ExclTotal_PhysDmg_PremiumUnearned_Year5">'Exh1C'!$G$63</definedName>
    <definedName name="ExclTotal_PhysDmg_PremiumUnearned_Year6">'Exh1C'!$G$75</definedName>
    <definedName name="ExclTotal_PhysDmg_PremiumUnearned_Year7">'Exh1C'!$G$92</definedName>
    <definedName name="ExclTotal_PhysDmg_PremiumUnearned_Year8">'Exh1C'!$G$104</definedName>
    <definedName name="ExclTotal_PhysDmg_PremiumUnearned_Year9">'Exh1C'!$G$116</definedName>
    <definedName name="ExclTotal_PhysDmg_PremiumWritten_Year1">'Exh1C'!$D$10</definedName>
    <definedName name="ExclTotal_PhysDmg_PremiumWritten_Year2">'Exh1C'!$D$22</definedName>
    <definedName name="ExclTotal_PhysDmg_PremiumWritten_Year3">'Exh1C'!$D$34</definedName>
    <definedName name="ExclTotal_PhysDmg_PremiumWritten_Year4">'Exh1C'!$D$51</definedName>
    <definedName name="ExclTotal_PhysDmg_PremiumWritten_Year5">'Exh1C'!$D$63</definedName>
    <definedName name="ExclTotal_PhysDmg_PremiumWritten_Year6">'Exh1C'!$D$75</definedName>
    <definedName name="ExclTotal_PhysDmg_PremiumWritten_Year7">'Exh1C'!$D$92</definedName>
    <definedName name="ExclTotal_PhysDmg_PremiumWritten_Year8">'Exh1C'!$D$104</definedName>
    <definedName name="ExclTotal_PhysDmg_PremiumWritten_Year9">'Exh1C'!$D$116</definedName>
    <definedName name="ExclTotal_PIP_ALAEIncurred_Year1">'Exh1A'!#REF!</definedName>
    <definedName name="ExclTotal_PIP_ALAEIncurred_Year2">'Exh1A'!#REF!</definedName>
    <definedName name="ExclTotal_PIP_ALAEIncurred_Year3">'Exh1A'!#REF!</definedName>
    <definedName name="ExclTotal_PIP_ALAEIncurred_Year4">'Exh1A'!#REF!</definedName>
    <definedName name="ExclTotal_PIP_ALAEIncurred_Year5">'Exh1A'!#REF!</definedName>
    <definedName name="ExclTotal_PIP_ALAEIncurred_Year6">'Exh1A'!#REF!</definedName>
    <definedName name="ExclTotal_PIP_ALAEIncurred_Year7">'Exh1A'!#REF!</definedName>
    <definedName name="ExclTotal_PIP_ALAEIncurred_Year8">'Exh1A'!#REF!</definedName>
    <definedName name="ExclTotal_PIP_ALAEIncurred_Year9">'Exh1A'!#REF!</definedName>
    <definedName name="ExclTotal_PIP_ALAEPaid_Year1">'Exh1A'!#REF!</definedName>
    <definedName name="ExclTotal_PIP_ALAEPaid_Year2">'Exh1A'!#REF!</definedName>
    <definedName name="ExclTotal_PIP_ALAEPaid_Year3">'Exh1A'!#REF!</definedName>
    <definedName name="ExclTotal_PIP_ALAEPaid_Year4">'Exh1A'!#REF!</definedName>
    <definedName name="ExclTotal_PIP_ALAEPaid_Year5">'Exh1A'!#REF!</definedName>
    <definedName name="ExclTotal_PIP_ALAEPaid_Year6">'Exh1A'!#REF!</definedName>
    <definedName name="ExclTotal_PIP_ALAEPaid_Year7">'Exh1A'!#REF!</definedName>
    <definedName name="ExclTotal_PIP_ALAEPaid_Year8">'Exh1A'!#REF!</definedName>
    <definedName name="ExclTotal_PIP_ALAEPaid_Year9">'Exh1A'!#REF!</definedName>
    <definedName name="ExclTotal_PIP_ALAEUnpaid_Year1">'Exh1A'!$J$10</definedName>
    <definedName name="ExclTotal_PIP_ALAEUnpaid_Year2">'Exh1A'!$J$22</definedName>
    <definedName name="ExclTotal_PIP_ALAEUnpaid_Year3">'Exh1A'!$J$34</definedName>
    <definedName name="ExclTotal_PIP_ALAEUnpaid_Year4">'Exh1A'!$J$51</definedName>
    <definedName name="ExclTotal_PIP_ALAEUnpaid_Year5">'Exh1A'!$J$63</definedName>
    <definedName name="ExclTotal_PIP_ALAEUnpaid_Year6">'Exh1A'!$J$75</definedName>
    <definedName name="ExclTotal_PIP_ALAEUnpaid_Year7">'Exh1A'!$J$92</definedName>
    <definedName name="ExclTotal_PIP_ALAEUnpaid_Year8">'Exh1A'!$J$104</definedName>
    <definedName name="ExclTotal_PIP_ALAEUnpaid_Year9">'Exh1A'!$J$116</definedName>
    <definedName name="ExclTotal_PIP_Dividends_Year1">'Exh1A'!$F$10</definedName>
    <definedName name="ExclTotal_PIP_Dividends_Year2">'Exh1A'!$F$22</definedName>
    <definedName name="ExclTotal_PIP_Dividends_Year3">'Exh1A'!$F$34</definedName>
    <definedName name="ExclTotal_PIP_Dividends_Year4">'Exh1A'!$F$51</definedName>
    <definedName name="ExclTotal_PIP_Dividends_Year5">'Exh1A'!$F$63</definedName>
    <definedName name="ExclTotal_PIP_Dividends_Year6">'Exh1A'!$F$75</definedName>
    <definedName name="ExclTotal_PIP_Dividends_Year7">'Exh1A'!$F$92</definedName>
    <definedName name="ExclTotal_PIP_Dividends_Year8">'Exh1A'!$F$104</definedName>
    <definedName name="ExclTotal_PIP_Dividends_Year9">'Exh1A'!$F$116</definedName>
    <definedName name="ExclTotal_PIP_LossIncurred_Year1">'Exh1A'!#REF!</definedName>
    <definedName name="ExclTotal_PIP_LossIncurred_Year2">'Exh1A'!#REF!</definedName>
    <definedName name="ExclTotal_PIP_LossIncurred_Year3">'Exh1A'!#REF!</definedName>
    <definedName name="ExclTotal_PIP_LossIncurred_Year4">'Exh1A'!#REF!</definedName>
    <definedName name="ExclTotal_PIP_LossIncurred_Year5">'Exh1A'!#REF!</definedName>
    <definedName name="ExclTotal_PIP_LossIncurred_Year6">'Exh1A'!#REF!</definedName>
    <definedName name="ExclTotal_PIP_LossIncurred_Year7">'Exh1A'!#REF!</definedName>
    <definedName name="ExclTotal_PIP_LossIncurred_Year8">'Exh1A'!#REF!</definedName>
    <definedName name="ExclTotal_PIP_LossIncurred_Year9">'Exh1A'!#REF!</definedName>
    <definedName name="ExclTotal_PIP_LossPaid_Year1">'Exh1A'!$H$10</definedName>
    <definedName name="ExclTotal_PIP_LossPaid_Year2">'Exh1A'!$H$22</definedName>
    <definedName name="ExclTotal_PIP_LossPaid_Year3">'Exh1A'!$H$34</definedName>
    <definedName name="ExclTotal_PIP_LossPaid_Year4">'Exh1A'!$H$51</definedName>
    <definedName name="ExclTotal_PIP_LossPaid_Year5">'Exh1A'!$H$63</definedName>
    <definedName name="ExclTotal_PIP_LossPaid_Year6">'Exh1A'!$H$75</definedName>
    <definedName name="ExclTotal_PIP_LossPaid_Year7">'Exh1A'!$H$92</definedName>
    <definedName name="ExclTotal_PIP_LossPaid_Year8">'Exh1A'!$H$104</definedName>
    <definedName name="ExclTotal_PIP_LossPaid_Year9">'Exh1A'!$H$116</definedName>
    <definedName name="ExclTotal_PIP_LossUnpaid_Year1">'Exh1A'!$I$10</definedName>
    <definedName name="ExclTotal_PIP_LossUnpaid_Year2">'Exh1A'!$I$22</definedName>
    <definedName name="ExclTotal_PIP_LossUnpaid_Year3">'Exh1A'!$I$34</definedName>
    <definedName name="ExclTotal_PIP_LossUnpaid_Year4">'Exh1A'!$I$51</definedName>
    <definedName name="ExclTotal_PIP_LossUnpaid_Year5">'Exh1A'!$I$63</definedName>
    <definedName name="ExclTotal_PIP_LossUnpaid_Year6">'Exh1A'!$I$75</definedName>
    <definedName name="ExclTotal_PIP_LossUnpaid_Year7">'Exh1A'!$I$92</definedName>
    <definedName name="ExclTotal_PIP_LossUnpaid_Year8">'Exh1A'!$I$104</definedName>
    <definedName name="ExclTotal_PIP_LossUnpaid_Year9">'Exh1A'!$I$116</definedName>
    <definedName name="ExclTotal_PIP_PremiumEarned_Year1">'Exh1A'!$E$10</definedName>
    <definedName name="ExclTotal_PIP_PremiumEarned_Year2">'Exh1A'!$E$22</definedName>
    <definedName name="ExclTotal_PIP_PremiumEarned_Year3">'Exh1A'!$E$34</definedName>
    <definedName name="ExclTotal_PIP_PremiumEarned_Year4">'Exh1A'!$E$51</definedName>
    <definedName name="ExclTotal_PIP_PremiumEarned_Year5">'Exh1A'!$E$63</definedName>
    <definedName name="ExclTotal_PIP_PremiumEarned_Year6">'Exh1A'!$E$75</definedName>
    <definedName name="ExclTotal_PIP_PremiumEarned_Year7">'Exh1A'!$E$92</definedName>
    <definedName name="ExclTotal_PIP_PremiumEarned_Year8">'Exh1A'!$E$104</definedName>
    <definedName name="ExclTotal_PIP_PremiumEarned_Year9">'Exh1A'!$E$116</definedName>
    <definedName name="ExclTotal_PIP_PremiumUnearned_Year1">'Exh1A'!$G$10</definedName>
    <definedName name="ExclTotal_PIP_PremiumUnearned_Year2">'Exh1A'!$G$22</definedName>
    <definedName name="ExclTotal_PIP_PremiumUnearned_Year3">'Exh1A'!$G$34</definedName>
    <definedName name="ExclTotal_PIP_PremiumUnearned_Year4">'Exh1A'!$G$51</definedName>
    <definedName name="ExclTotal_PIP_PremiumUnearned_Year5">'Exh1A'!$G$63</definedName>
    <definedName name="ExclTotal_PIP_PremiumUnearned_Year6">'Exh1A'!$G$75</definedName>
    <definedName name="ExclTotal_PIP_PremiumUnearned_Year7">'Exh1A'!$G$92</definedName>
    <definedName name="ExclTotal_PIP_PremiumUnearned_Year8">'Exh1A'!$G$104</definedName>
    <definedName name="ExclTotal_PIP_PremiumUnearned_Year9">'Exh1A'!$G$116</definedName>
    <definedName name="ExclTotal_PIP_PremiumWritten_Year1">'Exh1A'!$D$10</definedName>
    <definedName name="ExclTotal_PIP_PremiumWritten_Year2">'Exh1A'!$D$22</definedName>
    <definedName name="ExclTotal_PIP_PremiumWritten_Year3">'Exh1A'!$D$34</definedName>
    <definedName name="ExclTotal_PIP_PremiumWritten_Year4">'Exh1A'!$D$51</definedName>
    <definedName name="ExclTotal_PIP_PremiumWritten_Year5">'Exh1A'!$D$63</definedName>
    <definedName name="ExclTotal_PIP_PremiumWritten_Year6">'Exh1A'!$D$75</definedName>
    <definedName name="ExclTotal_PIP_PremiumWritten_Year7">'Exh1A'!$D$92</definedName>
    <definedName name="ExclTotal_PIP_PremiumWritten_Year8">'Exh1A'!$D$104</definedName>
    <definedName name="ExclTotal_PIP_PremiumWritten_Year9">'Exh1A'!$D$116</definedName>
    <definedName name="Exh9_TL_ExcessProfitNet_Total">'Exh9'!$J$37</definedName>
    <definedName name="GroupNumber">'Info'!$B$8</definedName>
    <definedName name="InsMarketMethod" localSheetId="4">'InputTOTAL'!#REF!</definedName>
    <definedName name="InsMarketMethod">'InputTOTAL'!$F$8</definedName>
    <definedName name="LAD_BI_Year1">'Exh3B'!$F$18</definedName>
    <definedName name="LAD_BI_Year2">'Exh3B'!$F$33</definedName>
    <definedName name="LAD_BI_Year3">'Exh3B'!$F$48</definedName>
    <definedName name="LAD_BI_Year4">'Exh3B'!$F$63</definedName>
    <definedName name="LAD_BI_Year5">'Exh3B'!$F$78</definedName>
    <definedName name="LAD_BI_Year6">'Exh3B'!$F$93</definedName>
    <definedName name="LAD_BI_Year7">'Exh3B'!$F$108</definedName>
    <definedName name="LAD_PhysDmg_Year1">'Exh3C'!$F$18</definedName>
    <definedName name="LAD_PhysDmg_Year2">'Exh3C'!$F$33</definedName>
    <definedName name="LAD_PhysDmg_Year3">'Exh3C'!$F$48</definedName>
    <definedName name="LAD_PhysDmg_Year4">'Exh3C'!$F$63</definedName>
    <definedName name="LAD_PhysDmg_Year5">'Exh3C'!$F$78</definedName>
    <definedName name="LAD_PhysDmg_Year6">'Exh3C'!$F$93</definedName>
    <definedName name="LAD_PhysDmg_Year7">'Exh3C'!$F$108</definedName>
    <definedName name="LAD_PIP_Year1">'Exh3A'!$F$18</definedName>
    <definedName name="LAD_PIP_Year2">'Exh3A'!$F$33</definedName>
    <definedName name="LAD_PIP_Year3">'Exh3A'!$F$48</definedName>
    <definedName name="LAD_PIP_Year4">'Exh3A'!$F$63</definedName>
    <definedName name="LAD_PIP_Year5">'Exh3A'!$F$78</definedName>
    <definedName name="LAD_PIP_Year6">'Exh3A'!$F$93</definedName>
    <definedName name="LAD_PIP_Year7">'Exh3A'!$F$108</definedName>
    <definedName name="_xlnm.Print_Area" localSheetId="5">'Exh1A'!$A$1:$J$123</definedName>
    <definedName name="_xlnm.Print_Area" localSheetId="6">'Exh1B'!$A$1:$J$123</definedName>
    <definedName name="_xlnm.Print_Area" localSheetId="7">'Exh1C'!$A$1:$J$123</definedName>
    <definedName name="_xlnm.Print_Area" localSheetId="8">'Exh1T'!$A$1:$J$123</definedName>
    <definedName name="_xlnm.Print_Area" localSheetId="9">'Exh2A'!$A$1:$L$41</definedName>
    <definedName name="_xlnm.Print_Area" localSheetId="10">'Exh2B1'!$A$1:$L$41</definedName>
    <definedName name="_xlnm.Print_Area" localSheetId="11">'Exh2B2'!$A$1:$L$41</definedName>
    <definedName name="_xlnm.Print_Area" localSheetId="12">'Exh2C'!$A$1:$L$41</definedName>
    <definedName name="_xlnm.Print_Area" localSheetId="13">'Exh2T'!$A$1:$L$41</definedName>
    <definedName name="_xlnm.Print_Area" localSheetId="14">'Exh3A'!$A$5:$G$108</definedName>
    <definedName name="_xlnm.Print_Area" localSheetId="15">'Exh3B'!$A$5:$G$108</definedName>
    <definedName name="_xlnm.Print_Area" localSheetId="16">'Exh3C'!$A$5:$G$108</definedName>
    <definedName name="_xlnm.Print_Area" localSheetId="17">'Exh3T'!$A$5:$G$108</definedName>
    <definedName name="_xlnm.Print_Area" localSheetId="19">'Exh5A'!$A$1:$I$27</definedName>
    <definedName name="_xlnm.Print_Area" localSheetId="23">'Exh6'!$A$1:$T$39</definedName>
    <definedName name="_xlnm.Print_Area" localSheetId="24">'Exh7'!$A$1:$T$39,'Exh7'!#REF!</definedName>
    <definedName name="_xlnm.Print_Area" localSheetId="25">'Exh8'!$A$1:$T$39,'Exh8'!#REF!</definedName>
    <definedName name="_xlnm.Print_Area" localSheetId="0">'Info'!$A$1:$E$45</definedName>
    <definedName name="_xlnm.Print_Area" localSheetId="1">'InputA'!$A$6:$M$94</definedName>
    <definedName name="_xlnm.Print_Area" localSheetId="2">'InputB'!$A$6:$M$94</definedName>
    <definedName name="_xlnm.Print_Area" localSheetId="3">'InputC'!$A$6:$M$94</definedName>
    <definedName name="_xlnm.Print_Area" localSheetId="4">'InputTOTAL'!$A$173:$M$225</definedName>
    <definedName name="_xlnm.Print_Titles" localSheetId="14">'Exh3A'!$1:$4</definedName>
    <definedName name="_xlnm.Print_Titles" localSheetId="15">'Exh3B'!$1:$4</definedName>
    <definedName name="_xlnm.Print_Titles" localSheetId="16">'Exh3C'!$1:$4</definedName>
    <definedName name="_xlnm.Print_Titles" localSheetId="1">'InputA'!$1:$5</definedName>
    <definedName name="_xlnm.Print_Titles" localSheetId="2">'InputB'!$1:$5</definedName>
    <definedName name="_xlnm.Print_Titles" localSheetId="3">'InputC'!$1:$5</definedName>
    <definedName name="_xlnm.Print_Titles" localSheetId="4">'InputTOTAL'!$1:$5</definedName>
    <definedName name="RateOfReturnPreTaxTOTAL">'Exh4'!$K$34</definedName>
    <definedName name="ReportYear">'Info'!$B$6</definedName>
    <definedName name="ROR_TL_Total">'Exh4'!$K$34</definedName>
    <definedName name="ROR_TL_Year1">'Exh4'!$J$34</definedName>
    <definedName name="ROR_TL_Year2">'Exh4'!$I$34</definedName>
    <definedName name="ROR_TL_Year3">'Exh4'!$H$34</definedName>
    <definedName name="ROR_TL_Year4">'Exh4'!$G$34</definedName>
    <definedName name="ROR_TL_Year5">'Exh4'!$F$34</definedName>
    <definedName name="ROR_TL_Year6">'Exh4'!$E$34</definedName>
    <definedName name="ROR_TL_Year7">'Exh4'!$D$34</definedName>
    <definedName name="UCJFEMB_BI_TotalAmount_Year1">SUM('Exh1B'!$D$12:$I$12)</definedName>
    <definedName name="UCJFEMB_BI_TotalAmount_Year2">SUM('Exh1B'!$D$24:$I$24)</definedName>
    <definedName name="UCJFEMB_BI_TotalAmount_Year3">SUM('Exh1B'!$D$36:$I$36)</definedName>
    <definedName name="UCJFEMB_BI_TotalAmount_Year4">SUM('Exh1B'!$D$53:$I$53)</definedName>
    <definedName name="UCJFEMB_BI_TotalAmount_Year5">SUM('Exh1B'!$D$65:$I$65)</definedName>
    <definedName name="UCJFEMB_BI_TotalAmount_Year6">SUM('Exh1B'!$D$77:$I$77)</definedName>
    <definedName name="UCJFEMB_BI_TotalAmount_Year7">SUM('Exh1B'!$D$94:$I$94)</definedName>
    <definedName name="UCJFEMB_BI_TotalAmount_Year8">SUM('Exh1B'!$D$106:$I$106)</definedName>
    <definedName name="UCJFEMB_BI_TotalAmount_Year9">SUM('Exh1B'!$D$118:$I$118)</definedName>
    <definedName name="UCJFEMB_PhysDmg_TotalAmount_Year1">SUM('Exh1C'!$D$12:$I$12)</definedName>
    <definedName name="UCJFEMB_PhysDmg_TotalAmount_Year2">SUM('Exh1C'!$D$24:$I$24)</definedName>
    <definedName name="UCJFEMB_PhysDmg_TotalAmount_Year3">SUM('Exh1C'!$D$36:$I$36)</definedName>
    <definedName name="UCJFEMB_PhysDmg_TotalAmount_Year4">SUM('Exh1C'!$D$51:$I$51)</definedName>
    <definedName name="UCJFEMB_PhysDmg_TotalAmount_Year5">SUM('Exh1C'!$D$65:$I$65)</definedName>
    <definedName name="UCJFEMB_PhysDmg_TotalAmount_Year6">SUM('Exh1C'!$D$75:$I$75)</definedName>
    <definedName name="UCJFEMB_PhysDmg_TotalAmount_Year7">SUM('Exh1C'!$D$104:$I$104)</definedName>
    <definedName name="UCJFEMB_PhysDmg_TotalAmount_Year9">SUM('Exh1C'!$D$118:$I$118)</definedName>
    <definedName name="UCJFEMB_PIP_LossIncurred_Year1">'Exh1A'!#REF!</definedName>
    <definedName name="UCJFEMB_PIP_LossIncurred_Year2">'Exh1A'!#REF!</definedName>
    <definedName name="UCJFEMB_PIP_LossIncurred_Year3">'Exh1A'!#REF!</definedName>
    <definedName name="UCJFEMB_PIP_LossIncurred_Year4">'Exh1A'!#REF!</definedName>
    <definedName name="UCJFEMB_PIP_LossIncurred_Year5">'Exh1A'!#REF!</definedName>
    <definedName name="UCJFEMB_PIP_LossIncurred_Year6">'Exh1A'!#REF!</definedName>
    <definedName name="UCJFEMB_PIP_LossIncurred_Year7">'Exh1A'!#REF!</definedName>
    <definedName name="UCJFEMB_PIP_LossIncurred_Year8">'Exh1A'!#REF!</definedName>
    <definedName name="UCJFEMB_PIP_LossIncurred_Year9">'Exh1A'!#REF!</definedName>
    <definedName name="UCJFEMB_PIP_LossPaid_Year1">'Exh1A'!$H$12</definedName>
    <definedName name="UCJFEMB_PIP_LossPaid_Year2">'Exh1A'!$H$24</definedName>
    <definedName name="UCJFEMB_PIP_LossPaid_Year3">'Exh1A'!$H$36</definedName>
    <definedName name="UCJFEMB_PIP_LossPaid_Year4">'Exh1A'!$H$53</definedName>
    <definedName name="UCJFEMB_PIP_LossPaid_Year5">'Exh1A'!$H$65</definedName>
    <definedName name="UCJFEMB_PIP_LossPaid_Year6">'Exh1A'!$H$77</definedName>
    <definedName name="UCJFEMB_PIP_LossPaid_Year7">'Exh1A'!$H$94</definedName>
    <definedName name="UCJFEMB_PIP_LossPaid_Year8">'Exh1A'!$H$106</definedName>
    <definedName name="UCJFEMB_PIP_LossPaid_Year9">'Exh1A'!$H$118</definedName>
    <definedName name="UCJFEMB_PIP_LossUnpaid_Year1">'Exh1A'!$I$12</definedName>
    <definedName name="UCJFEMB_PIP_LossUnpaid_Year2">'Exh1A'!$I$24</definedName>
    <definedName name="UCJFEMB_PIP_LossUnpaid_Year3">'Exh1A'!$I$36</definedName>
    <definedName name="UCJFEMB_PIP_LossUnpaid_Year4">'Exh1A'!$I$53</definedName>
    <definedName name="UCJFEMB_PIP_LossUnpaid_Year5">'Exh1A'!$I$65</definedName>
    <definedName name="UCJFEMB_PIP_LossUnpaid_Year6">'Exh1A'!$I$77</definedName>
    <definedName name="UCJFEMB_PIP_LossUnpaid_Year7">'Exh1A'!$I$94</definedName>
    <definedName name="UCJFEMB_PIP_LossUnpaid_Year8">'Exh1A'!$I$106</definedName>
    <definedName name="UCJFEMB_PIP_LossUnpaid_Year9">'Exh1A'!$I$118</definedName>
    <definedName name="UCJFEMB_PIP_PremiumEarned_Year1">'Exh1A'!$E$12</definedName>
    <definedName name="UCJFEMB_PIP_PremiumEarned_Year2">'Exh1A'!$E$24</definedName>
    <definedName name="UCJFEMB_PIP_PremiumEarned_Year3">'Exh1A'!$E$36</definedName>
    <definedName name="UCJFEMB_PIP_PremiumEarned_Year4">'Exh1A'!$E$53</definedName>
    <definedName name="UCJFEMB_PIP_PremiumEarned_Year5">'Exh1A'!$E$65</definedName>
    <definedName name="UCJFEMB_PIP_PremiumEarned_Year6">'Exh1A'!$E$77</definedName>
    <definedName name="UCJFEMB_PIP_PremiumEarned_Year7">'Exh1A'!$E$94</definedName>
    <definedName name="UCJFEMB_PIP_PremiumEarned_Year8">'Exh1A'!$E$106</definedName>
    <definedName name="UCJFEMB_PIP_PremiumEarned_Year9">'Exh1A'!$E$118</definedName>
    <definedName name="UCJFEMB_PIP_PremiumUnearned_Year1">'Exh1A'!$G$12</definedName>
    <definedName name="UCJFEMB_PIP_PremiumUnearned_Year2">'Exh1A'!$G$24</definedName>
    <definedName name="UCJFEMB_PIP_PremiumUnearned_Year3">'Exh1A'!$G$36</definedName>
    <definedName name="UCJFEMB_PIP_PremiumUnearned_Year4">'Exh1A'!$G$53</definedName>
    <definedName name="UCJFEMB_PIP_PremiumUnearned_Year5">'Exh1A'!$G$65</definedName>
    <definedName name="UCJFEMB_PIP_PremiumUnearned_Year6">'Exh1A'!$G$77</definedName>
    <definedName name="UCJFEMB_PIP_PremiumUnearned_Year7">'Exh1A'!$G$94</definedName>
    <definedName name="UCJFEMB_PIP_PremiumUnearned_Year8">'Exh1A'!$G$106</definedName>
    <definedName name="UCJFEMB_PIP_PremiumUnearned_Year9">'Exh1A'!$G$118</definedName>
    <definedName name="UCJFEMB_PIP_PremiumWritten_Year1">'Exh1A'!$D$12</definedName>
    <definedName name="UCJFEMB_PIP_PremiumWritten_Year2">'Exh1A'!$D$24</definedName>
    <definedName name="UCJFEMB_PIP_PremiumWritten_Year3">'Exh1A'!$D$36</definedName>
    <definedName name="UCJFEMB_PIP_PremiumWritten_Year4">'Exh1A'!$D$53</definedName>
    <definedName name="UCJFEMB_PIP_PremiumWritten_Year5">'Exh1A'!$D$65</definedName>
    <definedName name="UCJFEMB_PIP_PremiumWritten_Year6">'Exh1A'!$D$77</definedName>
    <definedName name="UCJFEMB_PIP_PremiumWritten_Year7">'Exh1A'!$D$94</definedName>
    <definedName name="UCJFEMB_PIP_PremiumWritten_Year8">'Exh1A'!$D$106</definedName>
    <definedName name="UCJFEMB_PIP_PremiumWritten_Year9">'Exh1A'!$D$118</definedName>
  </definedNames>
  <calcPr fullCalcOnLoad="1"/>
</workbook>
</file>

<file path=xl/comments1.xml><?xml version="1.0" encoding="utf-8"?>
<comments xmlns="http://schemas.openxmlformats.org/spreadsheetml/2006/main">
  <authors>
    <author> Matthew Burlew</author>
    <author>Matthew Burlew</author>
  </authors>
  <commentList>
    <comment ref="A8" authorId="0">
      <text>
        <r>
          <rPr>
            <b/>
            <sz val="8"/>
            <rFont val="Tahoma"/>
            <family val="2"/>
          </rPr>
          <t>Note:</t>
        </r>
        <r>
          <rPr>
            <sz val="8"/>
            <rFont val="Tahoma"/>
            <family val="2"/>
          </rPr>
          <t xml:space="preserve">
If not part of a group then enter as 0000.</t>
        </r>
      </text>
    </comment>
    <comment ref="A10" authorId="1">
      <text>
        <r>
          <rPr>
            <b/>
            <sz val="8"/>
            <rFont val="Tahoma"/>
            <family val="2"/>
          </rPr>
          <t>Note:</t>
        </r>
        <r>
          <rPr>
            <sz val="8"/>
            <rFont val="Tahoma"/>
            <family val="2"/>
          </rPr>
          <t xml:space="preserve">
If the report only includes one company then enter the remaining NAIC #s as 00000.</t>
        </r>
      </text>
    </comment>
    <comment ref="A11" authorId="1">
      <text>
        <r>
          <rPr>
            <b/>
            <sz val="8"/>
            <rFont val="Tahoma"/>
            <family val="2"/>
          </rPr>
          <t xml:space="preserve">Note:
</t>
        </r>
        <r>
          <rPr>
            <sz val="8"/>
            <rFont val="Tahoma"/>
            <family val="2"/>
          </rPr>
          <t>If the report only includes two companies then enter the remaining NAIC #s as 00000.</t>
        </r>
      </text>
    </comment>
    <comment ref="A12" authorId="1">
      <text>
        <r>
          <rPr>
            <b/>
            <sz val="8"/>
            <rFont val="Tahoma"/>
            <family val="2"/>
          </rPr>
          <t xml:space="preserve">Note:
</t>
        </r>
        <r>
          <rPr>
            <sz val="8"/>
            <rFont val="Tahoma"/>
            <family val="2"/>
          </rPr>
          <t>If the report only includes three companies then enter the remaining NAIC #s as 00000.</t>
        </r>
      </text>
    </comment>
    <comment ref="A13" authorId="1">
      <text>
        <r>
          <rPr>
            <b/>
            <sz val="8"/>
            <rFont val="Tahoma"/>
            <family val="2"/>
          </rPr>
          <t xml:space="preserve">Note:
</t>
        </r>
        <r>
          <rPr>
            <sz val="8"/>
            <rFont val="Tahoma"/>
            <family val="2"/>
          </rPr>
          <t>If the report only includes four companies then enter the remaining NAIC #s as 00000.</t>
        </r>
      </text>
    </comment>
    <comment ref="A14" authorId="1">
      <text>
        <r>
          <rPr>
            <b/>
            <sz val="8"/>
            <rFont val="Tahoma"/>
            <family val="2"/>
          </rPr>
          <t>Note:</t>
        </r>
        <r>
          <rPr>
            <sz val="8"/>
            <rFont val="Tahoma"/>
            <family val="2"/>
          </rPr>
          <t xml:space="preserve">
If the report only includes five companies then enter the NAIC # as 00000.</t>
        </r>
      </text>
    </comment>
    <comment ref="A15" authorId="1">
      <text>
        <r>
          <rPr>
            <b/>
            <sz val="8"/>
            <rFont val="Tahoma"/>
            <family val="2"/>
          </rPr>
          <t>Note:</t>
        </r>
        <r>
          <rPr>
            <sz val="8"/>
            <rFont val="Tahoma"/>
            <family val="2"/>
          </rPr>
          <t xml:space="preserve">
If the report only includes six companies then enter the NAIC # as 00000.</t>
        </r>
      </text>
    </comment>
    <comment ref="A16" authorId="1">
      <text>
        <r>
          <rPr>
            <b/>
            <sz val="8"/>
            <rFont val="Tahoma"/>
            <family val="2"/>
          </rPr>
          <t>Note:</t>
        </r>
        <r>
          <rPr>
            <sz val="8"/>
            <rFont val="Tahoma"/>
            <family val="2"/>
          </rPr>
          <t xml:space="preserve">
If the report only includes seven companies then enter the NAIC # as 00000.</t>
        </r>
      </text>
    </comment>
    <comment ref="A17" authorId="1">
      <text>
        <r>
          <rPr>
            <b/>
            <sz val="8"/>
            <rFont val="Tahoma"/>
            <family val="2"/>
          </rPr>
          <t>Note:</t>
        </r>
        <r>
          <rPr>
            <sz val="8"/>
            <rFont val="Tahoma"/>
            <family val="2"/>
          </rPr>
          <t xml:space="preserve">
If the report only includes eight companies (or less) then enter the NAIC # as 00000.</t>
        </r>
      </text>
    </comment>
    <comment ref="A18" authorId="1">
      <text>
        <r>
          <rPr>
            <b/>
            <sz val="8"/>
            <rFont val="Tahoma"/>
            <family val="2"/>
          </rPr>
          <t>Note:</t>
        </r>
        <r>
          <rPr>
            <sz val="8"/>
            <rFont val="Tahoma"/>
            <family val="2"/>
          </rPr>
          <t xml:space="preserve">
If the report only includes nine companies (or less) then enter the NAIC # as 00000.
If more than ten companies are included then list the remainder in the comments.</t>
        </r>
      </text>
    </comment>
    <comment ref="A19" authorId="1">
      <text>
        <r>
          <rPr>
            <b/>
            <sz val="8"/>
            <rFont val="Tahoma"/>
            <family val="2"/>
          </rPr>
          <t>Note:</t>
        </r>
        <r>
          <rPr>
            <sz val="8"/>
            <rFont val="Tahoma"/>
            <family val="2"/>
          </rPr>
          <t xml:space="preserve">
If the report only includes eight companies (or less) then enter the NAIC # as 00000.</t>
        </r>
      </text>
    </comment>
    <comment ref="A20" authorId="1">
      <text>
        <r>
          <rPr>
            <b/>
            <sz val="8"/>
            <rFont val="Tahoma"/>
            <family val="2"/>
          </rPr>
          <t>Note:</t>
        </r>
        <r>
          <rPr>
            <sz val="8"/>
            <rFont val="Tahoma"/>
            <family val="2"/>
          </rPr>
          <t xml:space="preserve">
If the report only includes nine companies (or less) then enter the NAIC # as 00000.
If more than ten companies are included then list the remainder in the comments.</t>
        </r>
      </text>
    </comment>
  </commentList>
</comments>
</file>

<file path=xl/comments5.xml><?xml version="1.0" encoding="utf-8"?>
<comments xmlns="http://schemas.openxmlformats.org/spreadsheetml/2006/main">
  <authors>
    <author>Matthew Burlew</author>
  </authors>
  <commentList>
    <comment ref="L101" authorId="0">
      <text>
        <r>
          <rPr>
            <b/>
            <sz val="8"/>
            <rFont val="Tahoma"/>
            <family val="2"/>
          </rPr>
          <t>NJ DOBI:</t>
        </r>
        <r>
          <rPr>
            <sz val="8"/>
            <rFont val="Tahoma"/>
            <family val="2"/>
          </rPr>
          <t xml:space="preserve">
Amounts for 1999 and prior come from last year's spreadsheet.</t>
        </r>
      </text>
    </comment>
  </commentList>
</comments>
</file>

<file path=xl/sharedStrings.xml><?xml version="1.0" encoding="utf-8"?>
<sst xmlns="http://schemas.openxmlformats.org/spreadsheetml/2006/main" count="2222" uniqueCount="426">
  <si>
    <t>XXX</t>
  </si>
  <si>
    <t>Item 2</t>
  </si>
  <si>
    <t>Item 3</t>
  </si>
  <si>
    <t>Item 5</t>
  </si>
  <si>
    <t>Item 6</t>
  </si>
  <si>
    <t>Item 8</t>
  </si>
  <si>
    <t>Item 1</t>
  </si>
  <si>
    <t>Item 4</t>
  </si>
  <si>
    <t>Unaffiliated Preferred Stock</t>
  </si>
  <si>
    <t>Affiliated Preferred Stock</t>
  </si>
  <si>
    <t>Unaffiliated Common Stock</t>
  </si>
  <si>
    <t>Item 7</t>
  </si>
  <si>
    <t>Affiliated Common Stock</t>
  </si>
  <si>
    <t>Other Invested Assets</t>
  </si>
  <si>
    <t>Item 9</t>
  </si>
  <si>
    <t>Collateral Loans</t>
  </si>
  <si>
    <t>Derivative Instruments</t>
  </si>
  <si>
    <t>Calendar Year</t>
  </si>
  <si>
    <t>Total</t>
  </si>
  <si>
    <t xml:space="preserve">Development </t>
  </si>
  <si>
    <t>Factors</t>
  </si>
  <si>
    <t>Factor</t>
  </si>
  <si>
    <t>LDF</t>
  </si>
  <si>
    <t>Item 10</t>
  </si>
  <si>
    <t>Item 11</t>
  </si>
  <si>
    <t>Item 12</t>
  </si>
  <si>
    <t>Item 13</t>
  </si>
  <si>
    <t>Item 14</t>
  </si>
  <si>
    <t>Item 15</t>
  </si>
  <si>
    <t>Item 16</t>
  </si>
  <si>
    <t>Item 17</t>
  </si>
  <si>
    <t>Item 18</t>
  </si>
  <si>
    <t>Invested Assets</t>
  </si>
  <si>
    <t>Accident Year</t>
  </si>
  <si>
    <t>15 months</t>
  </si>
  <si>
    <t>27 months</t>
  </si>
  <si>
    <t>39 months</t>
  </si>
  <si>
    <t>51 months</t>
  </si>
  <si>
    <t>63 months</t>
  </si>
  <si>
    <t>75 months</t>
  </si>
  <si>
    <t>87 months</t>
  </si>
  <si>
    <t>15-27 months</t>
  </si>
  <si>
    <t>27-39 months</t>
  </si>
  <si>
    <t>39-51 months</t>
  </si>
  <si>
    <t>51-63 months</t>
  </si>
  <si>
    <t>63-75 months</t>
  </si>
  <si>
    <t>75-87 months</t>
  </si>
  <si>
    <t>Premium</t>
  </si>
  <si>
    <t>Exhibit 1</t>
  </si>
  <si>
    <t>Excess Profit Refund Paid</t>
  </si>
  <si>
    <t>Carryforward Used</t>
  </si>
  <si>
    <t>Exhibit 3</t>
  </si>
  <si>
    <t>Part 1</t>
  </si>
  <si>
    <t>Part 2</t>
  </si>
  <si>
    <t>Exhibit 5</t>
  </si>
  <si>
    <t>Exhibit 7</t>
  </si>
  <si>
    <t>Part 3</t>
  </si>
  <si>
    <t>Part 4</t>
  </si>
  <si>
    <t>Exhibit 8</t>
  </si>
  <si>
    <t/>
  </si>
  <si>
    <t>Exhibit 6</t>
  </si>
  <si>
    <t>Mortgage Loans on Real Estate</t>
  </si>
  <si>
    <t>Depreciation on Real Estate</t>
  </si>
  <si>
    <t>Total Deductions</t>
  </si>
  <si>
    <t>Exhibit 4</t>
  </si>
  <si>
    <t>Bonds Acquired</t>
  </si>
  <si>
    <t>Item 2.1</t>
  </si>
  <si>
    <t>Item 2.2</t>
  </si>
  <si>
    <t>Item 4.1</t>
  </si>
  <si>
    <t>Item 4.2</t>
  </si>
  <si>
    <t>---</t>
  </si>
  <si>
    <t>Item 7a</t>
  </si>
  <si>
    <t>Item 7b</t>
  </si>
  <si>
    <t>Item 9a</t>
  </si>
  <si>
    <t>Item 9b</t>
  </si>
  <si>
    <t>Item 10a</t>
  </si>
  <si>
    <t>Item 10b</t>
  </si>
  <si>
    <t>Group Name:</t>
  </si>
  <si>
    <t>Group NAIC #:</t>
  </si>
  <si>
    <t>Year Filed:</t>
  </si>
  <si>
    <t>Item 2.3</t>
  </si>
  <si>
    <t>Item 2.4</t>
  </si>
  <si>
    <t>Item 2.5</t>
  </si>
  <si>
    <t>Item 2.6</t>
  </si>
  <si>
    <t>Item 2.7</t>
  </si>
  <si>
    <t>Item 2.8</t>
  </si>
  <si>
    <t>Item 2.9</t>
  </si>
  <si>
    <t>Item 2.10</t>
  </si>
  <si>
    <t>Item 2.11</t>
  </si>
  <si>
    <t>Item 2.12</t>
  </si>
  <si>
    <t>Item 2.13</t>
  </si>
  <si>
    <t>Item 2.14</t>
  </si>
  <si>
    <t>Item 2.15</t>
  </si>
  <si>
    <t>Item 2.16</t>
  </si>
  <si>
    <t>Item 2.17</t>
  </si>
  <si>
    <t>Item 2.18</t>
  </si>
  <si>
    <t>Item 2.19</t>
  </si>
  <si>
    <t>Calendar Year Excess Profit Paid</t>
  </si>
  <si>
    <t>Incremental</t>
  </si>
  <si>
    <t>Cumulative</t>
  </si>
  <si>
    <t>Unpaid</t>
  </si>
  <si>
    <t>Incurred</t>
  </si>
  <si>
    <t xml:space="preserve">  Provide Documentation if greater than 1.000</t>
  </si>
  <si>
    <t>Sheet 1</t>
  </si>
  <si>
    <t>Tail Factor:</t>
  </si>
  <si>
    <t>Tail Factor (99 months-ultimate)</t>
  </si>
  <si>
    <t>Development</t>
  </si>
  <si>
    <t>Col (6)</t>
  </si>
  <si>
    <t>Direct</t>
  </si>
  <si>
    <t>Written</t>
  </si>
  <si>
    <t>Earned</t>
  </si>
  <si>
    <t>Dividends</t>
  </si>
  <si>
    <t>on Direct</t>
  </si>
  <si>
    <t>Business</t>
  </si>
  <si>
    <t>Unearned</t>
  </si>
  <si>
    <t>Losses</t>
  </si>
  <si>
    <t>Sheet 2</t>
  </si>
  <si>
    <t>Sheet 3</t>
  </si>
  <si>
    <t>Col (1)</t>
  </si>
  <si>
    <t>Col (2)</t>
  </si>
  <si>
    <t>Col (3)</t>
  </si>
  <si>
    <t>Col (4)</t>
  </si>
  <si>
    <t>Col (5)</t>
  </si>
  <si>
    <t>Col (7)</t>
  </si>
  <si>
    <t>Col (10)</t>
  </si>
  <si>
    <t>Direct Commission &amp; Brokerage - NJ</t>
  </si>
  <si>
    <t>Direct Written Premium</t>
  </si>
  <si>
    <t>Direct Earned Premium</t>
  </si>
  <si>
    <t>Direct Taxes, Licenses &amp; Fees - NJ</t>
  </si>
  <si>
    <t>LAD Fees Paid - NJ</t>
  </si>
  <si>
    <t>Investment Expense Incurred</t>
  </si>
  <si>
    <t>Real Estate for Co's Own Occupancy</t>
  </si>
  <si>
    <t>Col (3A)</t>
  </si>
  <si>
    <t>Col (3B)</t>
  </si>
  <si>
    <t>Investment Income</t>
  </si>
  <si>
    <t>Item 4.3</t>
  </si>
  <si>
    <t>Item 4.4</t>
  </si>
  <si>
    <t>Item 4.5</t>
  </si>
  <si>
    <t>Ending Invested Assets</t>
  </si>
  <si>
    <t>Loss + ALAE</t>
  </si>
  <si>
    <t>Col (A)</t>
  </si>
  <si>
    <t>Col (B)</t>
  </si>
  <si>
    <t>for Accident Year</t>
  </si>
  <si>
    <t>Direct Other Acquisition Expense</t>
  </si>
  <si>
    <t>Direct Commission &amp; Brokerage</t>
  </si>
  <si>
    <t>Direct Prepaid Expenses</t>
  </si>
  <si>
    <t>LAD Fees Paid</t>
  </si>
  <si>
    <t>Direct Unearned Premium Reserves</t>
  </si>
  <si>
    <t>87-99 months</t>
  </si>
  <si>
    <t>Paid Dividends (incl. Excess Profit Refunds)</t>
  </si>
  <si>
    <t>Exhibit 1A</t>
  </si>
  <si>
    <t>Direct Unpaid Loss (Case + Bulk/IBNR)</t>
  </si>
  <si>
    <t>Direct Unpaid ALAE (Case +Bulk/IBNR)</t>
  </si>
  <si>
    <t>Exhibit 1B</t>
  </si>
  <si>
    <t>Exhibit 1C</t>
  </si>
  <si>
    <t>Exhibit 2B</t>
  </si>
  <si>
    <t>Exhibit 3C</t>
  </si>
  <si>
    <t>Exhibit 5A</t>
  </si>
  <si>
    <t>Exhibit 5B</t>
  </si>
  <si>
    <t>Exhibit 5C</t>
  </si>
  <si>
    <t>Declared, but Unpaid Dividends (incl. Excess Profit Refunds)</t>
  </si>
  <si>
    <t>Item 19</t>
  </si>
  <si>
    <t>Item 20</t>
  </si>
  <si>
    <t>Item 21</t>
  </si>
  <si>
    <t>Item 22</t>
  </si>
  <si>
    <t>Item 23</t>
  </si>
  <si>
    <t>Item 24</t>
  </si>
  <si>
    <t>Item 25</t>
  </si>
  <si>
    <t>15 mo. - ult.</t>
  </si>
  <si>
    <t>27 mo. - ult.</t>
  </si>
  <si>
    <t>51 mo. - ult.</t>
  </si>
  <si>
    <t>63 mo. - ult.</t>
  </si>
  <si>
    <t>39 mo. - ult.</t>
  </si>
  <si>
    <t>Item 2 Total Carryforward Used</t>
  </si>
  <si>
    <t>Item 3 Carryforward Unused</t>
  </si>
  <si>
    <t>Item 1 Excess Profit Paid</t>
  </si>
  <si>
    <t>75 mo. - ult.</t>
  </si>
  <si>
    <t>87 mo. - ult.</t>
  </si>
  <si>
    <t>99 mo. - ult.</t>
  </si>
  <si>
    <t>Input Sheet</t>
  </si>
  <si>
    <t>Item 26</t>
  </si>
  <si>
    <t>Section A</t>
  </si>
  <si>
    <t>Section C</t>
  </si>
  <si>
    <t>Direct Written Premium - CW</t>
  </si>
  <si>
    <t>Direct Earned Premium - CW</t>
  </si>
  <si>
    <t>Direct Other Acquisition Expense - CW</t>
  </si>
  <si>
    <t>Direct General Expense - CW</t>
  </si>
  <si>
    <t>Direct Commission &amp; Brokerage - CW</t>
  </si>
  <si>
    <t>Direct Taxes, Licenses &amp; Fees - CW</t>
  </si>
  <si>
    <t>Agents Balances</t>
  </si>
  <si>
    <t>Unearned Premium Reserve</t>
  </si>
  <si>
    <t>as of</t>
  </si>
  <si>
    <t>Part 1  -  Countrywide</t>
  </si>
  <si>
    <t>Part 2  -  New Jersey</t>
  </si>
  <si>
    <t>Direct General Expense</t>
  </si>
  <si>
    <t>Direct Taxes, Licenses &amp; Fees</t>
  </si>
  <si>
    <t>Liability</t>
  </si>
  <si>
    <t>Captive Agent</t>
  </si>
  <si>
    <t>Indep. Agent</t>
  </si>
  <si>
    <t>Physical Damage</t>
  </si>
  <si>
    <t>Allowable Capped Expense</t>
  </si>
  <si>
    <t>Additional Allowable Efficiency Expense</t>
  </si>
  <si>
    <t>Item 6a</t>
  </si>
  <si>
    <t>Item 6b</t>
  </si>
  <si>
    <t>Item 27</t>
  </si>
  <si>
    <t>Item 28</t>
  </si>
  <si>
    <t>Item 29</t>
  </si>
  <si>
    <t xml:space="preserve">    (if multiple methods in group, choose method of largest company)</t>
  </si>
  <si>
    <t>Item 30</t>
  </si>
  <si>
    <t>Excess Profit Carryforward Used</t>
  </si>
  <si>
    <t>Reinvestment into New Jersey</t>
  </si>
  <si>
    <t>Reinvestment Carryforward Used</t>
  </si>
  <si>
    <t>Extraordinary Loss Incurred</t>
  </si>
  <si>
    <t>Extraordinary Loss Carryforward Used</t>
  </si>
  <si>
    <t>Calendar Year Reinvestment</t>
  </si>
  <si>
    <t>Calendar Year Extraordinary Loss Incurred</t>
  </si>
  <si>
    <t>Calendar Year Reinvestment into New Jersey</t>
  </si>
  <si>
    <t>Exhibit 9</t>
  </si>
  <si>
    <t>Amount to be Reinvested into New Jersey</t>
  </si>
  <si>
    <t>Item 31</t>
  </si>
  <si>
    <t xml:space="preserve">  Note: Expense caps will be put on the DOBI</t>
  </si>
  <si>
    <t xml:space="preserve">  web site by May 31 each year.</t>
  </si>
  <si>
    <t xml:space="preserve">  http://www.state.nj.us/dobi</t>
  </si>
  <si>
    <t>Net Catastrophe Reinsurance</t>
  </si>
  <si>
    <t>Net Catastrophe Reinsurance Exp. - NJ</t>
  </si>
  <si>
    <t>Net Catastrophe Reinsurance Exp. - CW</t>
  </si>
  <si>
    <t>7-Yr Total</t>
  </si>
  <si>
    <t>NJ Department of Banking &amp; Insurance</t>
  </si>
  <si>
    <t>Division of Insurance, Office of Property &amp; Casualty</t>
  </si>
  <si>
    <t>N.J.A.C. 11:3-20</t>
  </si>
  <si>
    <t>NAIC Group #</t>
  </si>
  <si>
    <t>Group Name</t>
  </si>
  <si>
    <t>Company Name</t>
  </si>
  <si>
    <t>NAIC Company #1</t>
  </si>
  <si>
    <t>NAIC Company #2</t>
  </si>
  <si>
    <t>NAIC Company #3</t>
  </si>
  <si>
    <t>NAIC Company #4</t>
  </si>
  <si>
    <t>Comments:</t>
  </si>
  <si>
    <t>Report Year</t>
  </si>
  <si>
    <t>I certify that the report complies with all statutory and regulatory requirements to the best of my knowledge and belief.</t>
  </si>
  <si>
    <t>enter company #1 name here</t>
  </si>
  <si>
    <t>enter group # here</t>
  </si>
  <si>
    <t>Notes:</t>
  </si>
  <si>
    <t>Item 1 Extraordinary Loss Inc.</t>
  </si>
  <si>
    <t>Item 2.20</t>
  </si>
  <si>
    <t>Item 2.21</t>
  </si>
  <si>
    <t>Item 2.22</t>
  </si>
  <si>
    <t>Item 2.23</t>
  </si>
  <si>
    <t>Total Carryforward Used:</t>
  </si>
  <si>
    <t>NAIC Company #5</t>
  </si>
  <si>
    <t>NAIC Company #6</t>
  </si>
  <si>
    <t>-----</t>
  </si>
  <si>
    <t>Premium to Surplus Ratio</t>
  </si>
  <si>
    <t>After-Tax Target Return on Surplus</t>
  </si>
  <si>
    <t>After-Tax Investment Income on Surplus</t>
  </si>
  <si>
    <t>enter</t>
  </si>
  <si>
    <t>2. If using same formula as here in a prior rate filing but w/ updated values, then provide the NJ filing #, page reference #, and updated values w/ support.</t>
  </si>
  <si>
    <r>
      <t>Insurer Marketing Method (</t>
    </r>
    <r>
      <rPr>
        <b/>
        <u val="single"/>
        <sz val="12"/>
        <color indexed="8"/>
        <rFont val="Arial"/>
        <family val="2"/>
      </rPr>
      <t>D</t>
    </r>
    <r>
      <rPr>
        <sz val="12"/>
        <color indexed="8"/>
        <rFont val="Arial"/>
        <family val="2"/>
      </rPr>
      <t xml:space="preserve">irect Writer, </t>
    </r>
    <r>
      <rPr>
        <b/>
        <u val="single"/>
        <sz val="12"/>
        <color indexed="8"/>
        <rFont val="Arial"/>
        <family val="2"/>
      </rPr>
      <t>C</t>
    </r>
    <r>
      <rPr>
        <sz val="12"/>
        <color indexed="8"/>
        <rFont val="Arial"/>
        <family val="2"/>
      </rPr>
      <t xml:space="preserve">aptive Agent, </t>
    </r>
    <r>
      <rPr>
        <b/>
        <u val="single"/>
        <sz val="12"/>
        <color indexed="8"/>
        <rFont val="Arial"/>
        <family val="2"/>
      </rPr>
      <t>I</t>
    </r>
    <r>
      <rPr>
        <sz val="12"/>
        <color indexed="8"/>
        <rFont val="Arial"/>
        <family val="2"/>
      </rPr>
      <t>ndep. Agent)</t>
    </r>
  </si>
  <si>
    <t>Private Passenger Automobile Excess Profit Report</t>
  </si>
  <si>
    <t>NAIC Company #7</t>
  </si>
  <si>
    <t>NAIC Company #9</t>
  </si>
  <si>
    <t>NAIC Company #8</t>
  </si>
  <si>
    <t>NAIC Company #10</t>
  </si>
  <si>
    <t>Mortgage Loans on RE</t>
  </si>
  <si>
    <t>Cash on Hand/Deposit</t>
  </si>
  <si>
    <t>enter code or 0000</t>
  </si>
  <si>
    <t>Date:</t>
  </si>
  <si>
    <t>enter date</t>
  </si>
  <si>
    <t>Certification (N.J.A.C. 11:3-20.5(e)):</t>
  </si>
  <si>
    <t>* Ensure that the AIRE codes and profit source/information is filled out on the InputA sheet.</t>
  </si>
  <si>
    <t>Contact Person:</t>
  </si>
  <si>
    <t>Name:</t>
  </si>
  <si>
    <t>enter here</t>
  </si>
  <si>
    <t>Title:</t>
  </si>
  <si>
    <t>Telephone:</t>
  </si>
  <si>
    <t>E-Mail:</t>
  </si>
  <si>
    <t>Officer Certifying Survey:</t>
  </si>
  <si>
    <t>Include any changes in companies included with reasons why, and any other clarifying information.</t>
  </si>
  <si>
    <t xml:space="preserve">    NJ Dept. of Banking &amp; Insurance, Office of Property &amp; Casualty, 20 W. State St., PO Box 325, Trenton, NJ 08625-0325</t>
  </si>
  <si>
    <t>enter company #1 # here (or 0)</t>
  </si>
  <si>
    <t>enter company #2 # here (or 0)</t>
  </si>
  <si>
    <t>enter company #3 # here (or 0)</t>
  </si>
  <si>
    <t>enter company #4 # here (or 0)</t>
  </si>
  <si>
    <t>enter company #5 # here (or 0)</t>
  </si>
  <si>
    <t>enter company #6 # here (or 0)</t>
  </si>
  <si>
    <t>enter company #7 # here (or 0)</t>
  </si>
  <si>
    <t>enter company #8 # here (or 0)</t>
  </si>
  <si>
    <t>enter company #9 # here (or 0)</t>
  </si>
  <si>
    <t>enter company #10 # here (or 0)</t>
  </si>
  <si>
    <t>version 06/15/2010</t>
  </si>
  <si>
    <t>* Please do not send in hard copies of this report and/or any cover letters or attachments (the latter two items are optional).</t>
  </si>
  <si>
    <t>* Do not modify any exhibits or formulas in any way without contacting DOBI at the e-mail address above.</t>
  </si>
  <si>
    <t>TOTAL</t>
  </si>
  <si>
    <t>Development Adjustment</t>
  </si>
  <si>
    <t>Data on this Exhibit is Countrywide for all lines written</t>
  </si>
  <si>
    <t>Annual Statement, Exhibit of Net Investment Income, Earned During Year column</t>
  </si>
  <si>
    <t>Line 10</t>
  </si>
  <si>
    <t>Line 11</t>
  </si>
  <si>
    <t>Line 14</t>
  </si>
  <si>
    <t>Line 2.1</t>
  </si>
  <si>
    <t>Line 2.21</t>
  </si>
  <si>
    <t>Line 2.22</t>
  </si>
  <si>
    <t>Line 2.2</t>
  </si>
  <si>
    <t>Line 8</t>
  </si>
  <si>
    <t>Annual Statement, Assets Page, Assets Current Year column</t>
  </si>
  <si>
    <t>Line 1</t>
  </si>
  <si>
    <t>L 3.1+3.2</t>
  </si>
  <si>
    <t>L 4.2+4.3</t>
  </si>
  <si>
    <t>Line 6</t>
  </si>
  <si>
    <t>Contract Loans</t>
  </si>
  <si>
    <t>Line 5</t>
  </si>
  <si>
    <t>Cash, Cash Equiv., &amp; Short Term Dep.</t>
  </si>
  <si>
    <t>Proj. Ultimate</t>
  </si>
  <si>
    <t>C.I. L+DCCE</t>
  </si>
  <si>
    <t>L+DCCE</t>
  </si>
  <si>
    <t>Dev. Factor</t>
  </si>
  <si>
    <t>A&amp;OE</t>
  </si>
  <si>
    <t>Loss</t>
  </si>
  <si>
    <t>D&amp;CC</t>
  </si>
  <si>
    <t>Loss+D&amp;CC</t>
  </si>
  <si>
    <t>Ratio</t>
  </si>
  <si>
    <t>Cum. Case Inc.</t>
  </si>
  <si>
    <t>D&amp;CCE</t>
  </si>
  <si>
    <t>Loss+D&amp;CCE</t>
  </si>
  <si>
    <t>NAIC Company #11</t>
  </si>
  <si>
    <t>NAIC Company #12</t>
  </si>
  <si>
    <t>enter company #11 # here (or 0)</t>
  </si>
  <si>
    <t>enter company #12 # here (or 0)</t>
  </si>
  <si>
    <t>Total from the Annual Statement</t>
  </si>
  <si>
    <t>Excluded Types included in Item 1</t>
  </si>
  <si>
    <t>UCJF Assessments (19.1/PIP only)</t>
  </si>
  <si>
    <t>Please note that the years are</t>
  </si>
  <si>
    <t xml:space="preserve">  in reverse order of other sections of</t>
  </si>
  <si>
    <t xml:space="preserve">  the Input Sheet.</t>
  </si>
  <si>
    <t>Bodily Injury</t>
  </si>
  <si>
    <t>Property Damage</t>
  </si>
  <si>
    <t>Exhibit 2</t>
  </si>
  <si>
    <t>Source: Countrywide Insurance Expense Exhibit (IEE) Part 3</t>
  </si>
  <si>
    <t>enter with trailing 000's</t>
  </si>
  <si>
    <t>Direct Incurred Loss</t>
  </si>
  <si>
    <t>Direct Incurred Defense &amp; Cost Containment Expense</t>
  </si>
  <si>
    <t>Direct Incurred Adjusting &amp; Other Expense</t>
  </si>
  <si>
    <t>Personal Injury Prot.</t>
  </si>
  <si>
    <t>Interest, Dividends &amp; Real Estate Income</t>
  </si>
  <si>
    <t>Bonds</t>
  </si>
  <si>
    <t>Properties Held except for ins. occ.</t>
  </si>
  <si>
    <t>LSOF 9</t>
  </si>
  <si>
    <t>Provide Documentation if greater than 0.  This item is optional.</t>
  </si>
  <si>
    <t>Enter AIRE Codes Used by Insurer</t>
  </si>
  <si>
    <t>To remove red highlight from cells, enter the reference in the line below by overwriting the blue text in the Source lines</t>
  </si>
  <si>
    <t>Sum of Above 2 Items</t>
  </si>
  <si>
    <t>Item 1 Reinvestment into NJ</t>
  </si>
  <si>
    <t>Net AIRE [Input Sheet, Exhibit 9, Item 5A + Item 5B - Item 5C]</t>
  </si>
  <si>
    <t>Tail Factor (51 months-ultimate)</t>
  </si>
  <si>
    <t>99 months</t>
  </si>
  <si>
    <t>Item 29a</t>
  </si>
  <si>
    <t>Item 29b</t>
  </si>
  <si>
    <t>Direct Accident Year Ultimate Loss &amp; LAE [Exhibit 2, Part 4, Col (4)]</t>
  </si>
  <si>
    <t>All data on Exhibit 7 is for NJ only, for all coverages combined.  Date for the most recent 7 years is calculated, previous years must be entered by the user from the previous spreadsheet.</t>
  </si>
  <si>
    <t>All data on Exhibit 6 is for NJ only, for all coverages combined, and is the amount paid out as Excess Profit in accordance with a filed and approved plan.</t>
  </si>
  <si>
    <t>BI</t>
  </si>
  <si>
    <t>PD</t>
  </si>
  <si>
    <t>Other Liability</t>
  </si>
  <si>
    <t>PIP</t>
  </si>
  <si>
    <t>Phys Damage</t>
  </si>
  <si>
    <t>Pre-Tax Rate of Return [Exhibit 4, Item 8, 3-Yr Total]</t>
  </si>
  <si>
    <t>Total as Reported on State Page Exhibit</t>
  </si>
  <si>
    <t>Exclusions Reported on State Page Exhibit</t>
  </si>
  <si>
    <t>Excess Profit Data [Item 1 -  Item 2]</t>
  </si>
  <si>
    <t>UCJF Assessments &amp; Excess Medical Benefits</t>
  </si>
  <si>
    <t>Refund of Excess Profit, included in Col (3)</t>
  </si>
  <si>
    <t>All Other Dividends, included in Col (3)</t>
  </si>
  <si>
    <t>Item 3-4</t>
  </si>
  <si>
    <t>Exhibit 3A</t>
  </si>
  <si>
    <t>Exhibit 3B</t>
  </si>
  <si>
    <t>Direct CY Net Earned Premium [Item 2 - Item 3 + Item 4]</t>
  </si>
  <si>
    <t>Total Expenses [Sum (Item 7 - Item 13)]</t>
  </si>
  <si>
    <t>7 Year Total</t>
  </si>
  <si>
    <t xml:space="preserve">   Part 3, Line 21.1 (except Item 9)</t>
  </si>
  <si>
    <t>Source: Annual Statement - SPE, Line 19.2 (except Item 10)</t>
  </si>
  <si>
    <t>Source: Annual Statement - SPE, Line 19.1 (except Item 10)</t>
  </si>
  <si>
    <t>Source: Annual Statement - SPE, Line 21,1 (except Item 10)</t>
  </si>
  <si>
    <t xml:space="preserve">   Line 19.1 (except Item 9)</t>
  </si>
  <si>
    <t>Section T</t>
  </si>
  <si>
    <t>All Coverages</t>
  </si>
  <si>
    <t>Source: Annual Statement - State Page Exhibit, Line 19.2</t>
  </si>
  <si>
    <t>Source: Annual Statement - State Page Exhibit, Line 19.1</t>
  </si>
  <si>
    <t>Source: Annual Statement - State Page Exhibit, Line 21.1</t>
  </si>
  <si>
    <t>Excess Medical Benefits</t>
  </si>
  <si>
    <t>Calendar Year as of March 31</t>
  </si>
  <si>
    <t>Section B</t>
  </si>
  <si>
    <t>Rate of Return</t>
  </si>
  <si>
    <t>A&amp;OE Ratio [Exhibit 2, Part 4, Col (4]</t>
  </si>
  <si>
    <t>Exhibit 2C</t>
  </si>
  <si>
    <t>Exhibit 2A</t>
  </si>
  <si>
    <t>Source (16)</t>
  </si>
  <si>
    <t>Item 16C</t>
  </si>
  <si>
    <t>Item 16A</t>
  </si>
  <si>
    <t>Item 16B</t>
  </si>
  <si>
    <t>Source (4)</t>
  </si>
  <si>
    <t>Item 4A</t>
  </si>
  <si>
    <t>Item 4B</t>
  </si>
  <si>
    <t>Item 4C</t>
  </si>
  <si>
    <t>Line 7</t>
  </si>
  <si>
    <t>Real Estate</t>
  </si>
  <si>
    <t>AIRE Assessment Allocation</t>
  </si>
  <si>
    <t>AIRE Assessment at Present Rate</t>
  </si>
  <si>
    <t>AIRE Redistribution of Investment Inc.</t>
  </si>
  <si>
    <t xml:space="preserve">Line 4 </t>
  </si>
  <si>
    <t>Assets Pg. 2</t>
  </si>
  <si>
    <t>Cumulative Incurred Loss and D&amp;CCE</t>
  </si>
  <si>
    <t>Source for Item 16 Entries</t>
  </si>
  <si>
    <t>Net Actual Loss [Item 28 - Item 29 if positive]</t>
  </si>
  <si>
    <t>1. If using same formula as here in last rate filing, then provide the NJ filing # and page reference # in cell F211.</t>
  </si>
  <si>
    <t>3. If using a different formula in an approved rate filing than Is used here, provide the filing's profit loading, NJ filing #, and page reference # in cell F211.</t>
  </si>
  <si>
    <r>
      <t xml:space="preserve">* E-Mail this report by </t>
    </r>
    <r>
      <rPr>
        <b/>
        <sz val="12"/>
        <rFont val="Arial"/>
        <family val="2"/>
      </rPr>
      <t>July 1</t>
    </r>
    <r>
      <rPr>
        <sz val="12"/>
        <rFont val="Arial"/>
        <family val="2"/>
      </rPr>
      <t xml:space="preserve"> to </t>
    </r>
    <r>
      <rPr>
        <b/>
        <sz val="12"/>
        <rFont val="Arial"/>
        <family val="2"/>
      </rPr>
      <t>reports@dobi.nj.gov</t>
    </r>
    <r>
      <rPr>
        <sz val="12"/>
        <rFont val="Arial"/>
        <family val="2"/>
      </rPr>
      <t>.  Alternatively, report may be sent on CD-ROM or DVD-R to:</t>
    </r>
  </si>
  <si>
    <t>Allowable Expense Caps for filing effective 6/15</t>
  </si>
  <si>
    <t>Year 2017 and PRIOR</t>
  </si>
  <si>
    <t>Year 2018 and SUBSEQUENT</t>
  </si>
  <si>
    <t>enter reference(s) where data for Exhibit 9 Item 16 can be found (or indicate if an exhibit is attached)</t>
  </si>
  <si>
    <t>Special Instructions for Exhibit 9, Source (16) section:</t>
  </si>
  <si>
    <t>* For Year 2017 and Prior column, filer could input in figures from the 2018 Excess Profit Report or from the most recent PPA Approval filing submitted and approved in or before Year 2017.</t>
  </si>
  <si>
    <t>* For Year 2018 and Subsequent column, filer should input in figures from the most recent PPA Prior Approval filing submitted and approved in or after Year 2018.</t>
  </si>
  <si>
    <t>Net Loss [-Item 27, if Item 27 is negative]</t>
  </si>
  <si>
    <t>* Please note Special Instruction on InputTOTAL Tab regarding Exhibit 9, Source (16) due to Year 2018 Change in Federal</t>
  </si>
  <si>
    <t xml:space="preserve">   Corporate Income Tax Rate from 35 percent to 21 percent.</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</si>
</sst>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_)"/>
    <numFmt numFmtId="167" formatCode="dd\-mmm\-yy_)"/>
    <numFmt numFmtId="168" formatCode="hh:mm\ AM/PM_)"/>
    <numFmt numFmtId="169" formatCode="0_);\(0\)"/>
    <numFmt numFmtId="170" formatCode="#,##0.000_);\(#,##0.000\)"/>
    <numFmt numFmtId="171" formatCode="0.000"/>
    <numFmt numFmtId="172" formatCode="&quot;Item &quot;#\:"/>
    <numFmt numFmtId="173" formatCode="0.0000"/>
    <numFmt numFmtId="174" formatCode="#,##0.000"/>
    <numFmt numFmtId="175" formatCode="&quot;@ 12/31/&quot;\ @"/>
    <numFmt numFmtId="176" formatCode="&quot;@ 12/31/&quot;\ 00"/>
    <numFmt numFmtId="177" formatCode="&quot;@ 12/31/&quot;\ \9\9"/>
    <numFmt numFmtId="178" formatCode="&quot;@ 12/31/&quot;yy"/>
    <numFmt numFmtId="179" formatCode="yyyy"/>
    <numFmt numFmtId="180" formatCode="&quot;(Col &quot;0&quot;)&quot;"/>
    <numFmt numFmtId="181" formatCode="&quot;Column &quot;#\:"/>
    <numFmt numFmtId="182" formatCode="&quot;Column &quot;#"/>
    <numFmt numFmtId="183" formatCode="&quot;Item &quot;#"/>
    <numFmt numFmtId="184" formatCode="&quot;@ 12/31/&quot;00"/>
    <numFmt numFmtId="185" formatCode="&quot;Calendar Year&quot;\ #"/>
    <numFmt numFmtId="186" formatCode="&quot;Calendar Year&quot;\ #&quot;, First Quarter&quot;"/>
    <numFmt numFmtId="187" formatCode="&quot;@ 3/31/&quot;00"/>
    <numFmt numFmtId="188" formatCode="&quot;Calendar Year&quot;\ #&quot;,First Quarter&quot;"/>
    <numFmt numFmtId="189" formatCode=";;"/>
    <numFmt numFmtId="190" formatCode="0.0%"/>
    <numFmt numFmtId="191" formatCode="0.000000000000000%"/>
    <numFmt numFmtId="192" formatCode="&quot;AY&quot;0000"/>
    <numFmt numFmtId="193" formatCode="#,##0.0000"/>
    <numFmt numFmtId="194" formatCode="#,##0.0"/>
    <numFmt numFmtId="195" formatCode="&quot;$&quot;#,##0"/>
    <numFmt numFmtId="196" formatCode="&quot;$&quot;#,##0.00"/>
    <numFmt numFmtId="197" formatCode="0000"/>
    <numFmt numFmtId="198" formatCode="00000"/>
    <numFmt numFmtId="199" formatCode="mmmm\-yy"/>
    <numFmt numFmtId="200" formatCode="0.00000"/>
    <numFmt numFmtId="201" formatCode="0.000000"/>
    <numFmt numFmtId="202" formatCode="0.0"/>
    <numFmt numFmtId="203" formatCode="0.000%"/>
    <numFmt numFmtId="204" formatCode="_(* #,##0.0_);_(* \(#,##0.0\);_(* &quot;-&quot;??_);_(@_)"/>
    <numFmt numFmtId="205" formatCode="_(* #,##0_);_(* \(#,##0\);_(* &quot;-&quot;??_);_(@_)"/>
    <numFmt numFmtId="206" formatCode="_(* #,##0.000_);_(* \(#,##0.000\);_(* &quot;-&quot;??_);_(@_)"/>
    <numFmt numFmtId="207" formatCode="_(* #,##0.0000_);_(* \(#,##0.0000\);_(* &quot;-&quot;??_);_(@_)"/>
    <numFmt numFmtId="208" formatCode="0.0_);[Red]\(0.0\)"/>
    <numFmt numFmtId="209" formatCode="0_);[Red]\(0\)"/>
    <numFmt numFmtId="210" formatCode="0;[Red]0"/>
    <numFmt numFmtId="211" formatCode="00"/>
    <numFmt numFmtId="212" formatCode="&quot;Yes&quot;;&quot;Yes&quot;;&quot;No&quot;"/>
    <numFmt numFmtId="213" formatCode="&quot;True&quot;;&quot;True&quot;;&quot;False&quot;"/>
    <numFmt numFmtId="214" formatCode="&quot;On&quot;;&quot;On&quot;;&quot;Off&quot;"/>
    <numFmt numFmtId="215" formatCode="[$€-2]\ #,##0.00_);[Red]\([$€-2]\ #,##0.00\)"/>
    <numFmt numFmtId="216" formatCode="#,##0.00000"/>
    <numFmt numFmtId="217" formatCode="General_)"/>
    <numFmt numFmtId="218" formatCode="&quot;(Line &quot;\ 00.0\ &quot;)&quot;"/>
    <numFmt numFmtId="219" formatCode="&quot;(Line &quot;00.0&quot;)&quot;"/>
  </numFmts>
  <fonts count="77">
    <font>
      <sz val="10"/>
      <color indexed="8"/>
      <name val="Arial"/>
      <family val="2"/>
    </font>
    <font>
      <sz val="10"/>
      <name val="Arial"/>
      <family val="0"/>
    </font>
    <font>
      <sz val="12"/>
      <color indexed="12"/>
      <name val="Arial"/>
      <family val="2"/>
    </font>
    <font>
      <b/>
      <sz val="12"/>
      <name val="Arial"/>
      <family val="2"/>
    </font>
    <font>
      <sz val="12"/>
      <name val="Arial"/>
      <family val="2"/>
    </font>
    <font>
      <sz val="12"/>
      <color indexed="8"/>
      <name val="Arial"/>
      <family val="2"/>
    </font>
    <font>
      <b/>
      <sz val="12"/>
      <color indexed="17"/>
      <name val="Arial"/>
      <family val="2"/>
    </font>
    <font>
      <sz val="12"/>
      <color indexed="17"/>
      <name val="Arial"/>
      <family val="2"/>
    </font>
    <font>
      <b/>
      <sz val="12"/>
      <color indexed="8"/>
      <name val="Arial"/>
      <family val="2"/>
    </font>
    <font>
      <u val="single"/>
      <sz val="12"/>
      <name val="Arial"/>
      <family val="2"/>
    </font>
    <font>
      <u val="single"/>
      <sz val="12"/>
      <color indexed="8"/>
      <name val="Arial"/>
      <family val="2"/>
    </font>
    <font>
      <b/>
      <u val="single"/>
      <sz val="12"/>
      <name val="Arial"/>
      <family val="2"/>
    </font>
    <font>
      <sz val="12"/>
      <color indexed="10"/>
      <name val="Arial"/>
      <family val="2"/>
    </font>
    <font>
      <b/>
      <sz val="12"/>
      <color indexed="12"/>
      <name val="Arial"/>
      <family val="2"/>
    </font>
    <font>
      <b/>
      <u val="single"/>
      <sz val="12"/>
      <color indexed="8"/>
      <name val="Arial"/>
      <family val="2"/>
    </font>
    <font>
      <b/>
      <sz val="12"/>
      <color indexed="10"/>
      <name val="Arial"/>
      <family val="2"/>
    </font>
    <font>
      <sz val="12"/>
      <color indexed="9"/>
      <name val="Arial"/>
      <family val="2"/>
    </font>
    <font>
      <sz val="8"/>
      <name val="Arial"/>
      <family val="2"/>
    </font>
    <font>
      <sz val="16"/>
      <name val="Arial"/>
      <family val="2"/>
    </font>
    <font>
      <sz val="12"/>
      <name val="Times New Roman"/>
      <family val="1"/>
    </font>
    <font>
      <sz val="12"/>
      <name val="SWISS"/>
      <family val="0"/>
    </font>
    <font>
      <sz val="12"/>
      <color indexed="12"/>
      <name val="Times New Roman"/>
      <family val="1"/>
    </font>
    <font>
      <b/>
      <sz val="8"/>
      <name val="Tahoma"/>
      <family val="2"/>
    </font>
    <font>
      <sz val="8"/>
      <name val="Tahoma"/>
      <family val="2"/>
    </font>
    <font>
      <b/>
      <sz val="12"/>
      <name val="Times New Roman"/>
      <family val="1"/>
    </font>
    <font>
      <sz val="12"/>
      <color indexed="9"/>
      <name val="Times New Roman"/>
      <family val="1"/>
    </font>
    <font>
      <sz val="12"/>
      <color indexed="8"/>
      <name val="Times New Roman"/>
      <family val="1"/>
    </font>
    <font>
      <sz val="12"/>
      <color indexed="55"/>
      <name val="Arial"/>
      <family val="2"/>
    </font>
    <font>
      <u val="single"/>
      <sz val="7.5"/>
      <color indexed="12"/>
      <name val="Arial"/>
      <family val="2"/>
    </font>
    <font>
      <u val="single"/>
      <sz val="7.5"/>
      <color indexed="36"/>
      <name val="Arial"/>
      <family val="2"/>
    </font>
    <font>
      <sz val="14"/>
      <name val="Times New Roman"/>
      <family val="1"/>
    </font>
    <font>
      <b/>
      <sz val="14"/>
      <name val="Times New Roman"/>
      <family val="1"/>
    </font>
    <font>
      <sz val="14"/>
      <name val="Arial"/>
      <family val="2"/>
    </font>
    <font>
      <b/>
      <sz val="12"/>
      <color indexed="10"/>
      <name val="Times New Roman"/>
      <family val="1"/>
    </font>
    <font>
      <i/>
      <sz val="12"/>
      <color indexed="8"/>
      <name val="Arial"/>
      <family val="2"/>
    </font>
    <font>
      <b/>
      <sz val="12"/>
      <color indexed="12"/>
      <name val="Times New Roman"/>
      <family val="1"/>
    </font>
    <font>
      <b/>
      <u val="single"/>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Arial"/>
      <family val="2"/>
    </font>
    <font>
      <sz val="12"/>
      <color rgb="FF002060"/>
      <name val="Arial"/>
      <family val="2"/>
    </font>
    <font>
      <sz val="12"/>
      <color rgb="FFFF0000"/>
      <name val="Arial"/>
      <family val="2"/>
    </font>
    <font>
      <b/>
      <sz val="12"/>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color indexed="8"/>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style="medium"/>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top>
        <color indexed="63"/>
      </top>
      <bottom style="thin">
        <color indexed="8"/>
      </bottom>
    </border>
    <border>
      <left>
        <color indexed="63"/>
      </left>
      <right style="medium">
        <color indexed="8"/>
      </right>
      <top style="medium">
        <color indexed="8"/>
      </top>
      <bottom>
        <color indexed="63"/>
      </botto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color indexed="8"/>
      </bottom>
    </border>
    <border>
      <left>
        <color indexed="63"/>
      </left>
      <right>
        <color indexed="63"/>
      </right>
      <top style="thin"/>
      <bottom style="thin"/>
    </border>
    <border>
      <left style="medium"/>
      <right style="medium"/>
      <top style="medium"/>
      <bottom style="medium"/>
    </border>
    <border>
      <left style="thin"/>
      <right style="thin"/>
      <top style="medium"/>
      <bottom>
        <color indexed="63"/>
      </bottom>
    </border>
    <border>
      <left style="thin"/>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 fillId="0" borderId="0">
      <alignment/>
      <protection/>
    </xf>
    <xf numFmtId="0" fontId="20" fillId="0" borderId="0">
      <alignment/>
      <protection/>
    </xf>
    <xf numFmtId="0" fontId="0"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18">
    <xf numFmtId="0" fontId="0" fillId="0" borderId="0" xfId="0" applyAlignment="1">
      <alignment/>
    </xf>
    <xf numFmtId="37" fontId="5" fillId="0" borderId="0" xfId="0" applyNumberFormat="1" applyFont="1" applyAlignment="1" applyProtection="1">
      <alignment/>
      <protection/>
    </xf>
    <xf numFmtId="3" fontId="5" fillId="0" borderId="0" xfId="0" applyNumberFormat="1"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center"/>
      <protection/>
    </xf>
    <xf numFmtId="3" fontId="4" fillId="0" borderId="0" xfId="0" applyNumberFormat="1" applyFont="1" applyBorder="1" applyAlignment="1" applyProtection="1">
      <alignment/>
      <protection/>
    </xf>
    <xf numFmtId="3" fontId="5" fillId="0" borderId="0" xfId="0" applyNumberFormat="1" applyFont="1" applyAlignment="1" applyProtection="1">
      <alignment horizontal="fill"/>
      <protection/>
    </xf>
    <xf numFmtId="173" fontId="5" fillId="0" borderId="0" xfId="0" applyNumberFormat="1" applyFont="1" applyAlignment="1" applyProtection="1">
      <alignment/>
      <protection/>
    </xf>
    <xf numFmtId="3" fontId="5" fillId="0" borderId="0" xfId="0" applyNumberFormat="1" applyFont="1" applyAlignment="1" applyProtection="1">
      <alignment/>
      <protection/>
    </xf>
    <xf numFmtId="171" fontId="5" fillId="0" borderId="0" xfId="0" applyNumberFormat="1" applyFont="1" applyBorder="1" applyAlignment="1" applyProtection="1">
      <alignment/>
      <protection/>
    </xf>
    <xf numFmtId="171" fontId="5" fillId="0" borderId="0" xfId="0" applyNumberFormat="1" applyFont="1" applyAlignment="1" applyProtection="1">
      <alignment/>
      <protection/>
    </xf>
    <xf numFmtId="167" fontId="5" fillId="0" borderId="0" xfId="0" applyNumberFormat="1" applyFont="1" applyAlignment="1" applyProtection="1">
      <alignment/>
      <protection/>
    </xf>
    <xf numFmtId="168" fontId="5" fillId="0" borderId="0" xfId="0" applyNumberFormat="1" applyFont="1" applyAlignment="1" applyProtection="1">
      <alignment/>
      <protection/>
    </xf>
    <xf numFmtId="3" fontId="5" fillId="0" borderId="10" xfId="0" applyNumberFormat="1" applyFont="1" applyBorder="1" applyAlignment="1" applyProtection="1">
      <alignment/>
      <protection/>
    </xf>
    <xf numFmtId="0" fontId="4" fillId="0" borderId="0" xfId="0" applyFont="1" applyAlignment="1">
      <alignment vertical="top"/>
    </xf>
    <xf numFmtId="0" fontId="5" fillId="0" borderId="0" xfId="0" applyFont="1" applyAlignment="1">
      <alignment vertical="top"/>
    </xf>
    <xf numFmtId="1" fontId="9" fillId="0" borderId="0" xfId="0" applyNumberFormat="1" applyFont="1" applyBorder="1" applyAlignment="1">
      <alignment vertical="top"/>
    </xf>
    <xf numFmtId="1" fontId="10" fillId="0" borderId="0" xfId="0" applyNumberFormat="1" applyFont="1" applyBorder="1" applyAlignment="1" applyProtection="1">
      <alignment vertical="top"/>
      <protection/>
    </xf>
    <xf numFmtId="1" fontId="10" fillId="0" borderId="11" xfId="0" applyNumberFormat="1" applyFont="1" applyBorder="1" applyAlignment="1" applyProtection="1">
      <alignment vertical="top"/>
      <protection/>
    </xf>
    <xf numFmtId="3" fontId="9" fillId="0" borderId="0" xfId="0" applyNumberFormat="1" applyFont="1" applyBorder="1" applyAlignment="1">
      <alignment vertical="top"/>
    </xf>
    <xf numFmtId="3" fontId="10" fillId="0" borderId="0" xfId="0" applyNumberFormat="1" applyFont="1" applyBorder="1" applyAlignment="1" applyProtection="1">
      <alignment vertical="top"/>
      <protection/>
    </xf>
    <xf numFmtId="3" fontId="10" fillId="0" borderId="11" xfId="0" applyNumberFormat="1" applyFont="1" applyBorder="1" applyAlignment="1" applyProtection="1">
      <alignment vertical="top"/>
      <protection/>
    </xf>
    <xf numFmtId="3" fontId="4" fillId="0" borderId="0" xfId="0" applyNumberFormat="1" applyFont="1" applyBorder="1" applyAlignment="1">
      <alignment vertical="top"/>
    </xf>
    <xf numFmtId="3" fontId="10" fillId="0" borderId="12" xfId="0" applyNumberFormat="1" applyFont="1" applyBorder="1" applyAlignment="1" applyProtection="1">
      <alignment vertical="top"/>
      <protection/>
    </xf>
    <xf numFmtId="3" fontId="4" fillId="0" borderId="12" xfId="0" applyNumberFormat="1" applyFont="1" applyBorder="1" applyAlignment="1">
      <alignment vertical="top"/>
    </xf>
    <xf numFmtId="3" fontId="2" fillId="0" borderId="0" xfId="0" applyNumberFormat="1" applyFont="1" applyBorder="1" applyAlignment="1" applyProtection="1">
      <alignment vertical="top"/>
      <protection locked="0"/>
    </xf>
    <xf numFmtId="3" fontId="2" fillId="0" borderId="12" xfId="0" applyNumberFormat="1" applyFont="1" applyBorder="1" applyAlignment="1" applyProtection="1">
      <alignment vertical="top"/>
      <protection locked="0"/>
    </xf>
    <xf numFmtId="3" fontId="2" fillId="0" borderId="11" xfId="0" applyNumberFormat="1" applyFont="1" applyBorder="1" applyAlignment="1" applyProtection="1">
      <alignment vertical="top"/>
      <protection locked="0"/>
    </xf>
    <xf numFmtId="3" fontId="4" fillId="0" borderId="0" xfId="0" applyNumberFormat="1" applyFont="1" applyBorder="1" applyAlignment="1">
      <alignment horizontal="center" vertical="top"/>
    </xf>
    <xf numFmtId="3" fontId="4" fillId="0" borderId="12" xfId="0" applyNumberFormat="1" applyFont="1" applyBorder="1" applyAlignment="1">
      <alignment horizontal="center" vertical="top"/>
    </xf>
    <xf numFmtId="3" fontId="2" fillId="0" borderId="10" xfId="0" applyNumberFormat="1" applyFont="1" applyBorder="1" applyAlignment="1" applyProtection="1">
      <alignment vertical="top"/>
      <protection locked="0"/>
    </xf>
    <xf numFmtId="3" fontId="2" fillId="0" borderId="13" xfId="0" applyNumberFormat="1" applyFont="1" applyBorder="1" applyAlignment="1" applyProtection="1">
      <alignment vertical="top"/>
      <protection locked="0"/>
    </xf>
    <xf numFmtId="3" fontId="2" fillId="0" borderId="14" xfId="0" applyNumberFormat="1" applyFont="1" applyBorder="1" applyAlignment="1" applyProtection="1">
      <alignment vertical="top"/>
      <protection locked="0"/>
    </xf>
    <xf numFmtId="3" fontId="2" fillId="0" borderId="0" xfId="0" applyNumberFormat="1" applyFont="1" applyBorder="1" applyAlignment="1" applyProtection="1">
      <alignment horizontal="right" vertical="top"/>
      <protection locked="0"/>
    </xf>
    <xf numFmtId="1" fontId="10" fillId="0" borderId="12" xfId="0" applyNumberFormat="1" applyFont="1" applyBorder="1" applyAlignment="1" applyProtection="1">
      <alignment vertical="top"/>
      <protection/>
    </xf>
    <xf numFmtId="3" fontId="4" fillId="0" borderId="0" xfId="0" applyNumberFormat="1" applyFont="1" applyBorder="1" applyAlignment="1" applyProtection="1">
      <alignment vertical="top"/>
      <protection/>
    </xf>
    <xf numFmtId="3" fontId="4" fillId="0" borderId="10" xfId="0" applyNumberFormat="1" applyFont="1" applyBorder="1" applyAlignment="1" applyProtection="1">
      <alignment vertical="top"/>
      <protection/>
    </xf>
    <xf numFmtId="3" fontId="5" fillId="0" borderId="0" xfId="0" applyNumberFormat="1" applyFont="1" applyBorder="1" applyAlignment="1" applyProtection="1">
      <alignment horizontal="right" vertical="top"/>
      <protection/>
    </xf>
    <xf numFmtId="3" fontId="5" fillId="0" borderId="12" xfId="0" applyNumberFormat="1" applyFont="1" applyBorder="1" applyAlignment="1" applyProtection="1">
      <alignment horizontal="right" vertical="top"/>
      <protection/>
    </xf>
    <xf numFmtId="3" fontId="5" fillId="0" borderId="0" xfId="0" applyNumberFormat="1" applyFont="1" applyBorder="1" applyAlignment="1" applyProtection="1">
      <alignment horizontal="center" vertical="top"/>
      <protection/>
    </xf>
    <xf numFmtId="3" fontId="5" fillId="0" borderId="12" xfId="0" applyNumberFormat="1" applyFont="1" applyBorder="1" applyAlignment="1" applyProtection="1">
      <alignment horizontal="center" vertical="top"/>
      <protection/>
    </xf>
    <xf numFmtId="3" fontId="5" fillId="0" borderId="0" xfId="0" applyNumberFormat="1" applyFont="1" applyBorder="1" applyAlignment="1" applyProtection="1">
      <alignment vertical="top"/>
      <protection/>
    </xf>
    <xf numFmtId="3" fontId="7" fillId="0" borderId="0" xfId="0" applyNumberFormat="1" applyFont="1" applyBorder="1" applyAlignment="1" applyProtection="1">
      <alignment horizontal="center" vertical="top"/>
      <protection/>
    </xf>
    <xf numFmtId="3" fontId="7" fillId="0" borderId="12" xfId="0" applyNumberFormat="1" applyFont="1" applyBorder="1" applyAlignment="1" applyProtection="1">
      <alignment horizontal="center" vertical="top"/>
      <protection/>
    </xf>
    <xf numFmtId="3" fontId="5" fillId="0" borderId="12" xfId="0" applyNumberFormat="1" applyFont="1" applyBorder="1" applyAlignment="1" applyProtection="1" quotePrefix="1">
      <alignment vertical="top"/>
      <protection/>
    </xf>
    <xf numFmtId="0" fontId="5" fillId="0" borderId="0" xfId="0" applyFont="1" applyAlignment="1" applyProtection="1">
      <alignment horizontal="left" vertical="top"/>
      <protection locked="0"/>
    </xf>
    <xf numFmtId="1" fontId="5" fillId="0" borderId="0" xfId="0" applyNumberFormat="1" applyFont="1" applyAlignment="1" applyProtection="1">
      <alignment horizontal="left" vertical="top"/>
      <protection locked="0"/>
    </xf>
    <xf numFmtId="3" fontId="5" fillId="0" borderId="0" xfId="0" applyNumberFormat="1" applyFont="1" applyBorder="1" applyAlignment="1" applyProtection="1">
      <alignment/>
      <protection/>
    </xf>
    <xf numFmtId="3" fontId="5" fillId="0" borderId="12" xfId="0" applyNumberFormat="1" applyFont="1" applyBorder="1" applyAlignment="1" applyProtection="1">
      <alignment/>
      <protection/>
    </xf>
    <xf numFmtId="3" fontId="5" fillId="0" borderId="10" xfId="0" applyNumberFormat="1" applyFont="1" applyBorder="1" applyAlignment="1" applyProtection="1">
      <alignment/>
      <protection/>
    </xf>
    <xf numFmtId="3" fontId="5" fillId="0" borderId="15" xfId="0" applyNumberFormat="1" applyFont="1" applyBorder="1" applyAlignment="1" applyProtection="1">
      <alignment/>
      <protection/>
    </xf>
    <xf numFmtId="171" fontId="5" fillId="0" borderId="0" xfId="0" applyNumberFormat="1" applyFont="1" applyBorder="1" applyAlignment="1" applyProtection="1">
      <alignment/>
      <protection/>
    </xf>
    <xf numFmtId="171" fontId="5" fillId="0" borderId="12" xfId="0" applyNumberFormat="1" applyFont="1" applyBorder="1" applyAlignment="1" applyProtection="1">
      <alignment/>
      <protection/>
    </xf>
    <xf numFmtId="3" fontId="4" fillId="0" borderId="0" xfId="0" applyNumberFormat="1" applyFont="1" applyBorder="1" applyAlignment="1" applyProtection="1">
      <alignment/>
      <protection/>
    </xf>
    <xf numFmtId="3" fontId="4" fillId="0" borderId="12" xfId="0" applyNumberFormat="1" applyFont="1" applyBorder="1" applyAlignment="1" applyProtection="1">
      <alignment/>
      <protection/>
    </xf>
    <xf numFmtId="10" fontId="4" fillId="0" borderId="0" xfId="0" applyNumberFormat="1" applyFont="1" applyBorder="1" applyAlignment="1" applyProtection="1">
      <alignment/>
      <protection/>
    </xf>
    <xf numFmtId="190" fontId="5" fillId="0" borderId="0" xfId="61" applyNumberFormat="1" applyFont="1" applyBorder="1" applyAlignment="1" applyProtection="1">
      <alignment/>
      <protection/>
    </xf>
    <xf numFmtId="190" fontId="5" fillId="0" borderId="12" xfId="61" applyNumberFormat="1" applyFont="1" applyBorder="1" applyAlignment="1" applyProtection="1">
      <alignment/>
      <protection/>
    </xf>
    <xf numFmtId="10" fontId="5" fillId="0" borderId="0" xfId="0" applyNumberFormat="1" applyFont="1" applyBorder="1" applyAlignment="1" applyProtection="1">
      <alignment/>
      <protection/>
    </xf>
    <xf numFmtId="10" fontId="5" fillId="0" borderId="12" xfId="0" applyNumberFormat="1" applyFont="1" applyBorder="1" applyAlignment="1" applyProtection="1">
      <alignment/>
      <protection/>
    </xf>
    <xf numFmtId="190" fontId="5" fillId="0" borderId="10" xfId="0" applyNumberFormat="1" applyFont="1" applyBorder="1" applyAlignment="1" applyProtection="1">
      <alignment/>
      <protection/>
    </xf>
    <xf numFmtId="190" fontId="5" fillId="0" borderId="15" xfId="0" applyNumberFormat="1" applyFont="1" applyBorder="1" applyAlignment="1" applyProtection="1">
      <alignment/>
      <protection/>
    </xf>
    <xf numFmtId="3" fontId="5" fillId="0" borderId="0" xfId="0" applyNumberFormat="1" applyFont="1" applyBorder="1" applyAlignment="1" applyProtection="1">
      <alignment horizontal="right"/>
      <protection/>
    </xf>
    <xf numFmtId="3" fontId="5" fillId="0" borderId="10" xfId="0" applyNumberFormat="1" applyFont="1" applyBorder="1" applyAlignment="1" applyProtection="1">
      <alignment horizontal="right"/>
      <protection/>
    </xf>
    <xf numFmtId="10" fontId="12" fillId="0" borderId="0" xfId="0" applyNumberFormat="1" applyFont="1" applyBorder="1" applyAlignment="1" applyProtection="1">
      <alignment/>
      <protection/>
    </xf>
    <xf numFmtId="3" fontId="12" fillId="0" borderId="0" xfId="0" applyNumberFormat="1" applyFont="1" applyBorder="1" applyAlignment="1" applyProtection="1">
      <alignment/>
      <protection/>
    </xf>
    <xf numFmtId="10" fontId="12" fillId="0" borderId="12" xfId="0" applyNumberFormat="1" applyFont="1" applyBorder="1" applyAlignment="1" applyProtection="1">
      <alignment/>
      <protection/>
    </xf>
    <xf numFmtId="3" fontId="12" fillId="0" borderId="0" xfId="0" applyNumberFormat="1" applyFont="1" applyBorder="1" applyAlignment="1" applyProtection="1">
      <alignment horizontal="right"/>
      <protection/>
    </xf>
    <xf numFmtId="3" fontId="12" fillId="0" borderId="10" xfId="0" applyNumberFormat="1" applyFont="1" applyBorder="1" applyAlignment="1" applyProtection="1">
      <alignment/>
      <protection/>
    </xf>
    <xf numFmtId="3" fontId="4" fillId="0" borderId="0" xfId="0" applyNumberFormat="1" applyFont="1" applyBorder="1" applyAlignment="1" applyProtection="1">
      <alignment horizontal="right"/>
      <protection/>
    </xf>
    <xf numFmtId="3" fontId="4" fillId="0" borderId="10" xfId="0" applyNumberFormat="1" applyFont="1" applyBorder="1" applyAlignment="1" applyProtection="1">
      <alignment horizontal="right"/>
      <protection/>
    </xf>
    <xf numFmtId="10" fontId="4" fillId="0" borderId="0" xfId="0" applyNumberFormat="1" applyFont="1" applyBorder="1" applyAlignment="1" applyProtection="1" quotePrefix="1">
      <alignment/>
      <protection/>
    </xf>
    <xf numFmtId="3" fontId="12" fillId="0" borderId="12" xfId="0" applyNumberFormat="1" applyFont="1" applyBorder="1" applyAlignment="1" applyProtection="1" quotePrefix="1">
      <alignment/>
      <protection/>
    </xf>
    <xf numFmtId="3" fontId="4" fillId="0" borderId="12" xfId="0" applyNumberFormat="1" applyFont="1" applyBorder="1" applyAlignment="1" applyProtection="1" quotePrefix="1">
      <alignment/>
      <protection/>
    </xf>
    <xf numFmtId="10" fontId="4" fillId="0" borderId="12" xfId="0" applyNumberFormat="1" applyFont="1" applyBorder="1" applyAlignment="1" applyProtection="1">
      <alignment/>
      <protection/>
    </xf>
    <xf numFmtId="10" fontId="4" fillId="0" borderId="15" xfId="0" applyNumberFormat="1" applyFont="1" applyBorder="1" applyAlignment="1" applyProtection="1">
      <alignment/>
      <protection/>
    </xf>
    <xf numFmtId="174" fontId="5" fillId="0" borderId="12" xfId="0" applyNumberFormat="1" applyFont="1" applyBorder="1" applyAlignment="1" applyProtection="1">
      <alignment/>
      <protection/>
    </xf>
    <xf numFmtId="174" fontId="5" fillId="0" borderId="0" xfId="0" applyNumberFormat="1" applyFont="1" applyBorder="1" applyAlignment="1" applyProtection="1">
      <alignment/>
      <protection/>
    </xf>
    <xf numFmtId="3" fontId="4" fillId="0" borderId="0" xfId="0" applyNumberFormat="1" applyFont="1" applyBorder="1" applyAlignment="1" applyProtection="1">
      <alignment horizontal="center" vertical="top"/>
      <protection/>
    </xf>
    <xf numFmtId="3" fontId="4" fillId="0" borderId="12" xfId="0" applyNumberFormat="1" applyFont="1" applyBorder="1" applyAlignment="1" applyProtection="1">
      <alignment horizontal="center" vertical="top"/>
      <protection/>
    </xf>
    <xf numFmtId="3" fontId="5" fillId="0" borderId="12" xfId="0" applyNumberFormat="1" applyFont="1" applyBorder="1" applyAlignment="1" applyProtection="1">
      <alignment vertical="top"/>
      <protection/>
    </xf>
    <xf numFmtId="171" fontId="5" fillId="0" borderId="12" xfId="0" applyNumberFormat="1" applyFont="1" applyBorder="1" applyAlignment="1" applyProtection="1">
      <alignment vertical="top"/>
      <protection/>
    </xf>
    <xf numFmtId="171" fontId="5" fillId="0" borderId="10" xfId="0" applyNumberFormat="1" applyFont="1" applyBorder="1" applyAlignment="1" applyProtection="1">
      <alignment vertical="top"/>
      <protection/>
    </xf>
    <xf numFmtId="171" fontId="5" fillId="0" borderId="15" xfId="0" applyNumberFormat="1" applyFont="1" applyBorder="1" applyAlignment="1" applyProtection="1">
      <alignment vertical="top"/>
      <protection/>
    </xf>
    <xf numFmtId="3" fontId="5" fillId="0" borderId="10" xfId="0" applyNumberFormat="1" applyFont="1" applyBorder="1" applyAlignment="1" applyProtection="1">
      <alignment vertical="top"/>
      <protection/>
    </xf>
    <xf numFmtId="3" fontId="4" fillId="0" borderId="16" xfId="0" applyNumberFormat="1" applyFont="1" applyBorder="1" applyAlignment="1" applyProtection="1">
      <alignment vertical="top"/>
      <protection/>
    </xf>
    <xf numFmtId="165" fontId="5" fillId="0" borderId="0" xfId="0" applyNumberFormat="1" applyFont="1" applyAlignment="1" applyProtection="1">
      <alignment vertical="top"/>
      <protection/>
    </xf>
    <xf numFmtId="3" fontId="5" fillId="0" borderId="16" xfId="0" applyNumberFormat="1" applyFont="1" applyBorder="1" applyAlignment="1" applyProtection="1">
      <alignment vertical="top"/>
      <protection/>
    </xf>
    <xf numFmtId="1" fontId="10" fillId="0" borderId="0" xfId="0" applyNumberFormat="1" applyFont="1" applyBorder="1" applyAlignment="1" applyProtection="1">
      <alignment horizontal="right" vertical="top"/>
      <protection/>
    </xf>
    <xf numFmtId="3" fontId="2" fillId="0" borderId="15" xfId="0" applyNumberFormat="1" applyFont="1" applyBorder="1" applyAlignment="1" applyProtection="1">
      <alignment vertical="top"/>
      <protection locked="0"/>
    </xf>
    <xf numFmtId="195" fontId="4" fillId="0" borderId="0" xfId="0" applyNumberFormat="1" applyFont="1" applyBorder="1" applyAlignment="1" applyProtection="1">
      <alignment horizontal="right"/>
      <protection/>
    </xf>
    <xf numFmtId="3" fontId="4" fillId="0" borderId="0" xfId="0" applyNumberFormat="1" applyFont="1" applyBorder="1" applyAlignment="1" applyProtection="1">
      <alignment horizontal="center"/>
      <protection/>
    </xf>
    <xf numFmtId="3" fontId="4" fillId="0" borderId="12" xfId="0" applyNumberFormat="1" applyFont="1" applyBorder="1" applyAlignment="1" applyProtection="1">
      <alignment/>
      <protection/>
    </xf>
    <xf numFmtId="3" fontId="4" fillId="0" borderId="12" xfId="0" applyNumberFormat="1" applyFont="1" applyBorder="1" applyAlignment="1" applyProtection="1">
      <alignment vertical="top"/>
      <protection/>
    </xf>
    <xf numFmtId="3" fontId="2" fillId="0" borderId="0" xfId="0" applyNumberFormat="1" applyFont="1" applyBorder="1" applyAlignment="1" applyProtection="1">
      <alignment vertical="top"/>
      <protection/>
    </xf>
    <xf numFmtId="3" fontId="2" fillId="0" borderId="11" xfId="0" applyNumberFormat="1" applyFont="1" applyBorder="1" applyAlignment="1" applyProtection="1">
      <alignment vertical="top"/>
      <protection/>
    </xf>
    <xf numFmtId="3" fontId="4" fillId="0" borderId="15" xfId="0" applyNumberFormat="1" applyFont="1" applyBorder="1" applyAlignment="1" applyProtection="1">
      <alignment vertical="top"/>
      <protection/>
    </xf>
    <xf numFmtId="3" fontId="2" fillId="0" borderId="0" xfId="0" applyNumberFormat="1" applyFont="1" applyAlignment="1" applyProtection="1">
      <alignment vertical="top"/>
      <protection/>
    </xf>
    <xf numFmtId="0" fontId="4" fillId="0" borderId="16" xfId="0" applyFont="1" applyBorder="1" applyAlignment="1" applyProtection="1">
      <alignment vertical="top"/>
      <protection/>
    </xf>
    <xf numFmtId="0" fontId="4" fillId="0" borderId="17" xfId="0" applyFont="1" applyBorder="1" applyAlignment="1" applyProtection="1">
      <alignment vertical="top"/>
      <protection/>
    </xf>
    <xf numFmtId="3" fontId="5" fillId="0" borderId="18" xfId="0" applyNumberFormat="1" applyFont="1" applyBorder="1" applyAlignment="1" applyProtection="1">
      <alignment horizontal="centerContinuous" vertical="top"/>
      <protection/>
    </xf>
    <xf numFmtId="3" fontId="5" fillId="0" borderId="19" xfId="0" applyNumberFormat="1" applyFont="1" applyBorder="1" applyAlignment="1" applyProtection="1">
      <alignment horizontal="centerContinuous" vertical="top"/>
      <protection/>
    </xf>
    <xf numFmtId="3" fontId="2" fillId="0" borderId="12" xfId="0" applyNumberFormat="1" applyFont="1" applyBorder="1" applyAlignment="1" applyProtection="1">
      <alignment vertical="top"/>
      <protection/>
    </xf>
    <xf numFmtId="0" fontId="4" fillId="0" borderId="0" xfId="0" applyFont="1" applyAlignment="1" applyProtection="1">
      <alignment vertical="top"/>
      <protection/>
    </xf>
    <xf numFmtId="0" fontId="5" fillId="0" borderId="0" xfId="0" applyFont="1" applyAlignment="1" applyProtection="1">
      <alignment vertical="top"/>
      <protection/>
    </xf>
    <xf numFmtId="0" fontId="4" fillId="0" borderId="0" xfId="0" applyFont="1" applyAlignment="1" applyProtection="1">
      <alignment horizontal="left" vertical="top"/>
      <protection/>
    </xf>
    <xf numFmtId="0" fontId="5" fillId="0" borderId="0" xfId="0" applyFont="1" applyAlignment="1" applyProtection="1" quotePrefix="1">
      <alignment horizontal="right" vertical="top"/>
      <protection/>
    </xf>
    <xf numFmtId="0" fontId="5" fillId="0" borderId="0" xfId="0" applyFont="1" applyAlignment="1" applyProtection="1">
      <alignment horizontal="right" vertical="top"/>
      <protection/>
    </xf>
    <xf numFmtId="0" fontId="4" fillId="0" borderId="0" xfId="0" applyFont="1" applyAlignment="1" applyProtection="1" quotePrefix="1">
      <alignment horizontal="left" vertical="top"/>
      <protection/>
    </xf>
    <xf numFmtId="0" fontId="5" fillId="0" borderId="0" xfId="0" applyFont="1" applyAlignment="1" applyProtection="1" quotePrefix="1">
      <alignment vertical="top"/>
      <protection/>
    </xf>
    <xf numFmtId="1" fontId="4" fillId="0" borderId="0" xfId="0" applyNumberFormat="1" applyFont="1" applyAlignment="1" applyProtection="1">
      <alignment horizontal="left" vertical="top"/>
      <protection/>
    </xf>
    <xf numFmtId="182" fontId="5" fillId="0" borderId="0" xfId="0" applyNumberFormat="1" applyFont="1" applyBorder="1" applyAlignment="1" applyProtection="1" quotePrefix="1">
      <alignment horizontal="right" vertical="top"/>
      <protection/>
    </xf>
    <xf numFmtId="0" fontId="5" fillId="0" borderId="20" xfId="0" applyFont="1" applyBorder="1" applyAlignment="1" applyProtection="1">
      <alignment vertical="top"/>
      <protection/>
    </xf>
    <xf numFmtId="0" fontId="5" fillId="0" borderId="16" xfId="0" applyFont="1" applyBorder="1" applyAlignment="1" applyProtection="1">
      <alignment vertical="top"/>
      <protection/>
    </xf>
    <xf numFmtId="0" fontId="7" fillId="0" borderId="0" xfId="0" applyFont="1" applyBorder="1" applyAlignment="1" applyProtection="1">
      <alignment vertical="top"/>
      <protection/>
    </xf>
    <xf numFmtId="182" fontId="5" fillId="0" borderId="0" xfId="0" applyNumberFormat="1" applyFont="1" applyBorder="1" applyAlignment="1" applyProtection="1">
      <alignment horizontal="right" vertical="top"/>
      <protection/>
    </xf>
    <xf numFmtId="0" fontId="5" fillId="0" borderId="21" xfId="0" applyNumberFormat="1" applyFont="1" applyBorder="1" applyAlignment="1" applyProtection="1">
      <alignment horizontal="left" vertical="top"/>
      <protection/>
    </xf>
    <xf numFmtId="0" fontId="5" fillId="0" borderId="0" xfId="0" applyFont="1" applyBorder="1" applyAlignment="1" applyProtection="1">
      <alignment vertical="top"/>
      <protection/>
    </xf>
    <xf numFmtId="2" fontId="5" fillId="0" borderId="0" xfId="0" applyNumberFormat="1" applyFont="1" applyBorder="1" applyAlignment="1" applyProtection="1">
      <alignment horizontal="right" vertical="top"/>
      <protection/>
    </xf>
    <xf numFmtId="0" fontId="5" fillId="0" borderId="0" xfId="0" applyFont="1" applyBorder="1" applyAlignment="1" applyProtection="1" quotePrefix="1">
      <alignment horizontal="right" vertical="top"/>
      <protection/>
    </xf>
    <xf numFmtId="2" fontId="5" fillId="0" borderId="0" xfId="0" applyNumberFormat="1" applyFont="1" applyBorder="1" applyAlignment="1" applyProtection="1" quotePrefix="1">
      <alignment horizontal="right" vertical="top"/>
      <protection/>
    </xf>
    <xf numFmtId="0" fontId="4" fillId="0" borderId="0" xfId="0" applyFont="1" applyBorder="1" applyAlignment="1" applyProtection="1">
      <alignment horizontal="center" vertical="top"/>
      <protection/>
    </xf>
    <xf numFmtId="2" fontId="10" fillId="0" borderId="0" xfId="0" applyNumberFormat="1" applyFont="1" applyBorder="1" applyAlignment="1" applyProtection="1">
      <alignment horizontal="right" vertical="top"/>
      <protection/>
    </xf>
    <xf numFmtId="2" fontId="10" fillId="0" borderId="0" xfId="0" applyNumberFormat="1" applyFont="1" applyBorder="1" applyAlignment="1" applyProtection="1" quotePrefix="1">
      <alignment horizontal="right" vertical="top"/>
      <protection/>
    </xf>
    <xf numFmtId="0" fontId="10" fillId="0" borderId="0" xfId="0" applyFont="1" applyBorder="1" applyAlignment="1" applyProtection="1" quotePrefix="1">
      <alignment horizontal="right" vertical="top"/>
      <protection/>
    </xf>
    <xf numFmtId="0" fontId="5" fillId="0" borderId="0" xfId="0" applyFont="1" applyBorder="1" applyAlignment="1" applyProtection="1" quotePrefix="1">
      <alignment horizontal="left" vertical="top"/>
      <protection/>
    </xf>
    <xf numFmtId="2" fontId="5" fillId="0" borderId="0" xfId="0" applyNumberFormat="1" applyFont="1" applyBorder="1" applyAlignment="1" applyProtection="1">
      <alignment horizontal="left" vertical="top"/>
      <protection/>
    </xf>
    <xf numFmtId="0" fontId="4" fillId="0" borderId="0" xfId="0" applyFont="1" applyBorder="1" applyAlignment="1" applyProtection="1">
      <alignment vertical="top"/>
      <protection/>
    </xf>
    <xf numFmtId="0" fontId="5" fillId="0" borderId="22" xfId="0" applyNumberFormat="1" applyFont="1" applyBorder="1" applyAlignment="1" applyProtection="1">
      <alignment horizontal="left" vertical="top"/>
      <protection/>
    </xf>
    <xf numFmtId="0" fontId="5" fillId="0" borderId="10" xfId="0" applyFont="1" applyBorder="1" applyAlignment="1" applyProtection="1">
      <alignment vertical="top"/>
      <protection/>
    </xf>
    <xf numFmtId="3" fontId="5" fillId="0" borderId="13" xfId="0" applyNumberFormat="1" applyFont="1" applyBorder="1" applyAlignment="1" applyProtection="1">
      <alignment vertical="top"/>
      <protection/>
    </xf>
    <xf numFmtId="0" fontId="5" fillId="0" borderId="21" xfId="0" applyFont="1" applyBorder="1" applyAlignment="1" applyProtection="1">
      <alignment vertical="top"/>
      <protection/>
    </xf>
    <xf numFmtId="183" fontId="5" fillId="0" borderId="21" xfId="0" applyNumberFormat="1" applyFont="1" applyBorder="1" applyAlignment="1" applyProtection="1">
      <alignment horizontal="left" vertical="top"/>
      <protection/>
    </xf>
    <xf numFmtId="2" fontId="5" fillId="0" borderId="0" xfId="0" applyNumberFormat="1" applyFont="1" applyBorder="1" applyAlignment="1" applyProtection="1">
      <alignment vertical="top"/>
      <protection/>
    </xf>
    <xf numFmtId="183" fontId="5" fillId="0" borderId="22" xfId="0" applyNumberFormat="1" applyFont="1" applyBorder="1" applyAlignment="1" applyProtection="1">
      <alignment horizontal="left" vertical="top"/>
      <protection/>
    </xf>
    <xf numFmtId="2" fontId="5" fillId="0" borderId="12" xfId="0" applyNumberFormat="1" applyFont="1" applyBorder="1" applyAlignment="1" applyProtection="1">
      <alignment horizontal="right" vertical="top"/>
      <protection/>
    </xf>
    <xf numFmtId="0" fontId="4"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horizontal="right"/>
      <protection/>
    </xf>
    <xf numFmtId="0" fontId="4" fillId="0" borderId="0" xfId="0" applyFont="1" applyAlignment="1" applyProtection="1">
      <alignment horizontal="right"/>
      <protection/>
    </xf>
    <xf numFmtId="0" fontId="4" fillId="0" borderId="0" xfId="0" applyFont="1" applyAlignment="1" applyProtection="1" quotePrefix="1">
      <alignment horizontal="left"/>
      <protection/>
    </xf>
    <xf numFmtId="1" fontId="4" fillId="0" borderId="0" xfId="0" applyNumberFormat="1" applyFont="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10" fillId="0" borderId="21" xfId="0" applyFont="1" applyBorder="1" applyAlignment="1" applyProtection="1">
      <alignment horizontal="center"/>
      <protection/>
    </xf>
    <xf numFmtId="3" fontId="5" fillId="0" borderId="12" xfId="0" applyNumberFormat="1" applyFont="1" applyBorder="1" applyAlignment="1" applyProtection="1">
      <alignment/>
      <protection/>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5" fillId="0" borderId="16" xfId="0" applyFont="1" applyBorder="1" applyAlignment="1" applyProtection="1" quotePrefix="1">
      <alignment horizontal="right"/>
      <protection/>
    </xf>
    <xf numFmtId="0" fontId="5" fillId="0" borderId="17" xfId="0" applyFont="1" applyBorder="1" applyAlignment="1" applyProtection="1" quotePrefix="1">
      <alignment horizontal="right"/>
      <protection/>
    </xf>
    <xf numFmtId="0" fontId="5" fillId="0" borderId="0" xfId="0" applyFont="1" applyBorder="1" applyAlignment="1" applyProtection="1" quotePrefix="1">
      <alignment horizontal="right"/>
      <protection/>
    </xf>
    <xf numFmtId="0" fontId="5" fillId="0" borderId="0"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12" xfId="0" applyFont="1" applyBorder="1" applyAlignment="1" applyProtection="1">
      <alignment horizontal="right"/>
      <protection/>
    </xf>
    <xf numFmtId="3" fontId="4" fillId="0" borderId="0" xfId="0" applyNumberFormat="1" applyFont="1" applyBorder="1" applyAlignment="1" applyProtection="1" quotePrefix="1">
      <alignment horizontal="right"/>
      <protection/>
    </xf>
    <xf numFmtId="4" fontId="8" fillId="0" borderId="23" xfId="0" applyNumberFormat="1" applyFont="1" applyBorder="1" applyAlignment="1" applyProtection="1">
      <alignment horizontal="left"/>
      <protection/>
    </xf>
    <xf numFmtId="4" fontId="3" fillId="0" borderId="23" xfId="0" applyNumberFormat="1" applyFont="1" applyBorder="1" applyAlignment="1" applyProtection="1">
      <alignment horizontal="left"/>
      <protection/>
    </xf>
    <xf numFmtId="0" fontId="4" fillId="0" borderId="0" xfId="0" applyFont="1" applyBorder="1" applyAlignment="1" applyProtection="1">
      <alignment/>
      <protection/>
    </xf>
    <xf numFmtId="4" fontId="10" fillId="0" borderId="24" xfId="0" applyNumberFormat="1" applyFont="1" applyBorder="1" applyAlignment="1" applyProtection="1">
      <alignment horizontal="center"/>
      <protection/>
    </xf>
    <xf numFmtId="1" fontId="5" fillId="0" borderId="24" xfId="0" applyNumberFormat="1" applyFont="1" applyBorder="1" applyAlignment="1" applyProtection="1">
      <alignment horizontal="center"/>
      <protection/>
    </xf>
    <xf numFmtId="0" fontId="5" fillId="0" borderId="0" xfId="0" applyFont="1" applyBorder="1" applyAlignment="1" applyProtection="1" quotePrefix="1">
      <alignment horizontal="center"/>
      <protection/>
    </xf>
    <xf numFmtId="3" fontId="5" fillId="0" borderId="0" xfId="0" applyNumberFormat="1" applyFont="1" applyBorder="1" applyAlignment="1" applyProtection="1">
      <alignment horizontal="center"/>
      <protection/>
    </xf>
    <xf numFmtId="1" fontId="4" fillId="0" borderId="24" xfId="0" applyNumberFormat="1"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Border="1" applyAlignment="1" applyProtection="1" quotePrefix="1">
      <alignment horizontal="left"/>
      <protection/>
    </xf>
    <xf numFmtId="0" fontId="4" fillId="0" borderId="0" xfId="0" applyFont="1" applyBorder="1" applyAlignment="1" applyProtection="1">
      <alignment horizontal="centerContinuous"/>
      <protection/>
    </xf>
    <xf numFmtId="0" fontId="5" fillId="0" borderId="0" xfId="0" applyFont="1" applyAlignment="1" applyProtection="1" quotePrefix="1">
      <alignment horizontal="right"/>
      <protection/>
    </xf>
    <xf numFmtId="0" fontId="8" fillId="0" borderId="20" xfId="0" applyFont="1" applyBorder="1" applyAlignment="1" applyProtection="1">
      <alignment/>
      <protection/>
    </xf>
    <xf numFmtId="0" fontId="5" fillId="0" borderId="16" xfId="0" applyFont="1" applyBorder="1" applyAlignment="1" applyProtection="1">
      <alignment/>
      <protection/>
    </xf>
    <xf numFmtId="0" fontId="8" fillId="0" borderId="16" xfId="0" applyFont="1" applyBorder="1" applyAlignment="1" applyProtection="1">
      <alignment vertical="top"/>
      <protection/>
    </xf>
    <xf numFmtId="0" fontId="5" fillId="0" borderId="17" xfId="0" applyFont="1" applyBorder="1" applyAlignment="1" applyProtection="1">
      <alignment vertical="top"/>
      <protection/>
    </xf>
    <xf numFmtId="0" fontId="5" fillId="0" borderId="21" xfId="0" applyFont="1" applyBorder="1" applyAlignment="1" applyProtection="1" quotePrefix="1">
      <alignment horizontal="center"/>
      <protection/>
    </xf>
    <xf numFmtId="0" fontId="5" fillId="0" borderId="21" xfId="0" applyFont="1" applyBorder="1" applyAlignment="1" applyProtection="1" quotePrefix="1">
      <alignment horizontal="center" vertical="top"/>
      <protection/>
    </xf>
    <xf numFmtId="0" fontId="5" fillId="0" borderId="12" xfId="0" applyFont="1" applyBorder="1" applyAlignment="1" applyProtection="1">
      <alignment vertical="top"/>
      <protection/>
    </xf>
    <xf numFmtId="0" fontId="5" fillId="0" borderId="25" xfId="0" applyFont="1" applyBorder="1" applyAlignment="1" applyProtection="1">
      <alignment horizontal="centerContinuous"/>
      <protection/>
    </xf>
    <xf numFmtId="0" fontId="5" fillId="0" borderId="26" xfId="0" applyFont="1" applyBorder="1" applyAlignment="1" applyProtection="1">
      <alignment horizontal="centerContinuous"/>
      <protection/>
    </xf>
    <xf numFmtId="0" fontId="5" fillId="0" borderId="21" xfId="0" applyFont="1" applyBorder="1" applyAlignment="1" applyProtection="1">
      <alignment horizontal="center" vertical="top"/>
      <protection/>
    </xf>
    <xf numFmtId="1" fontId="10" fillId="0" borderId="0" xfId="0" applyNumberFormat="1" applyFont="1" applyBorder="1" applyAlignment="1" applyProtection="1">
      <alignment horizontal="right"/>
      <protection/>
    </xf>
    <xf numFmtId="1" fontId="10" fillId="0" borderId="12" xfId="0" applyNumberFormat="1" applyFont="1" applyBorder="1" applyAlignment="1" applyProtection="1">
      <alignment horizontal="right"/>
      <protection/>
    </xf>
    <xf numFmtId="1" fontId="10" fillId="0" borderId="0" xfId="0" applyNumberFormat="1" applyFont="1" applyBorder="1" applyAlignment="1" applyProtection="1">
      <alignment/>
      <protection/>
    </xf>
    <xf numFmtId="0" fontId="10" fillId="0" borderId="21" xfId="0" applyFont="1" applyBorder="1" applyAlignment="1" applyProtection="1">
      <alignment horizontal="center" vertical="top"/>
      <protection/>
    </xf>
    <xf numFmtId="0" fontId="5" fillId="0" borderId="22"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 fontId="12" fillId="0" borderId="0" xfId="0" applyNumberFormat="1" applyFont="1" applyBorder="1" applyAlignment="1" applyProtection="1">
      <alignment vertical="top"/>
      <protection/>
    </xf>
    <xf numFmtId="0" fontId="5" fillId="0" borderId="22" xfId="0" applyFont="1" applyBorder="1" applyAlignment="1" applyProtection="1" quotePrefix="1">
      <alignment horizontal="center" vertical="top"/>
      <protection/>
    </xf>
    <xf numFmtId="3" fontId="12" fillId="0" borderId="10" xfId="0" applyNumberFormat="1" applyFont="1" applyBorder="1" applyAlignment="1" applyProtection="1">
      <alignment vertical="top"/>
      <protection/>
    </xf>
    <xf numFmtId="0" fontId="8" fillId="0" borderId="20" xfId="0" applyFont="1" applyBorder="1" applyAlignment="1" applyProtection="1" quotePrefix="1">
      <alignment vertical="top"/>
      <protection/>
    </xf>
    <xf numFmtId="0" fontId="5" fillId="0" borderId="21" xfId="0" applyFont="1" applyBorder="1" applyAlignment="1" applyProtection="1">
      <alignment horizontal="center"/>
      <protection/>
    </xf>
    <xf numFmtId="0" fontId="5" fillId="0" borderId="12" xfId="0" applyFont="1" applyBorder="1" applyAlignment="1" applyProtection="1" quotePrefix="1">
      <alignment horizontal="right"/>
      <protection/>
    </xf>
    <xf numFmtId="0" fontId="10" fillId="0" borderId="0" xfId="0" applyFont="1" applyBorder="1" applyAlignment="1" applyProtection="1" quotePrefix="1">
      <alignment horizontal="right"/>
      <protection/>
    </xf>
    <xf numFmtId="0" fontId="5" fillId="0" borderId="10" xfId="0" applyFont="1" applyBorder="1" applyAlignment="1" applyProtection="1" quotePrefix="1">
      <alignment horizontal="right" vertical="top"/>
      <protection/>
    </xf>
    <xf numFmtId="0" fontId="5" fillId="0" borderId="22" xfId="0" applyFont="1" applyBorder="1" applyAlignment="1" applyProtection="1">
      <alignment vertical="top"/>
      <protection/>
    </xf>
    <xf numFmtId="0" fontId="5" fillId="0" borderId="0" xfId="0" applyFont="1" applyBorder="1" applyAlignment="1" applyProtection="1">
      <alignment horizontal="right" vertical="top"/>
      <protection/>
    </xf>
    <xf numFmtId="0" fontId="4" fillId="0" borderId="0" xfId="0" applyFont="1" applyAlignment="1" applyProtection="1">
      <alignment horizontal="right" vertical="top"/>
      <protection/>
    </xf>
    <xf numFmtId="0" fontId="5" fillId="0" borderId="0" xfId="0" applyFont="1" applyBorder="1" applyAlignment="1" applyProtection="1" quotePrefix="1">
      <alignment horizontal="left"/>
      <protection/>
    </xf>
    <xf numFmtId="171" fontId="5" fillId="0" borderId="0" xfId="0" applyNumberFormat="1" applyFont="1" applyBorder="1" applyAlignment="1" applyProtection="1">
      <alignment horizontal="right" vertical="top"/>
      <protection/>
    </xf>
    <xf numFmtId="0" fontId="5" fillId="0" borderId="10" xfId="0" applyFont="1" applyBorder="1" applyAlignment="1" applyProtection="1" quotePrefix="1">
      <alignment horizontal="left" vertical="top"/>
      <protection/>
    </xf>
    <xf numFmtId="0" fontId="4" fillId="0" borderId="0" xfId="0" applyFont="1" applyAlignment="1" applyProtection="1">
      <alignment/>
      <protection/>
    </xf>
    <xf numFmtId="0" fontId="7" fillId="0" borderId="20" xfId="0" applyFont="1" applyBorder="1" applyAlignment="1" applyProtection="1">
      <alignment/>
      <protection/>
    </xf>
    <xf numFmtId="0" fontId="5" fillId="0" borderId="16" xfId="0" applyFont="1" applyBorder="1" applyAlignment="1" applyProtection="1">
      <alignment/>
      <protection/>
    </xf>
    <xf numFmtId="0" fontId="5" fillId="0" borderId="16" xfId="0" applyFont="1" applyBorder="1" applyAlignment="1" applyProtection="1">
      <alignment horizontal="centerContinuous"/>
      <protection/>
    </xf>
    <xf numFmtId="0" fontId="5" fillId="0" borderId="17" xfId="0" applyFont="1" applyBorder="1" applyAlignment="1" applyProtection="1">
      <alignment horizontal="centerContinuous"/>
      <protection/>
    </xf>
    <xf numFmtId="0" fontId="7" fillId="0" borderId="21" xfId="0" applyFont="1" applyBorder="1" applyAlignment="1" applyProtection="1">
      <alignment/>
      <protection/>
    </xf>
    <xf numFmtId="0" fontId="5" fillId="0" borderId="0" xfId="0" applyFont="1" applyBorder="1" applyAlignment="1" applyProtection="1">
      <alignment horizontal="centerContinuous"/>
      <protection/>
    </xf>
    <xf numFmtId="0" fontId="5" fillId="0" borderId="0" xfId="0" applyFont="1" applyBorder="1" applyAlignment="1" applyProtection="1">
      <alignment/>
      <protection/>
    </xf>
    <xf numFmtId="0" fontId="5" fillId="0" borderId="12" xfId="0" applyFont="1" applyBorder="1" applyAlignment="1" applyProtection="1">
      <alignment horizontal="centerContinuous"/>
      <protection/>
    </xf>
    <xf numFmtId="0" fontId="5" fillId="0" borderId="21" xfId="0" applyFont="1" applyBorder="1" applyAlignment="1" applyProtection="1">
      <alignment/>
      <protection/>
    </xf>
    <xf numFmtId="0" fontId="10" fillId="0" borderId="12" xfId="0" applyFont="1" applyBorder="1" applyAlignment="1" applyProtection="1" quotePrefix="1">
      <alignment horizontal="righ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5" fillId="0" borderId="12" xfId="0" applyFont="1" applyBorder="1" applyAlignment="1" applyProtection="1">
      <alignment/>
      <protection/>
    </xf>
    <xf numFmtId="0" fontId="4" fillId="0" borderId="0" xfId="0" applyFont="1" applyBorder="1" applyAlignment="1" applyProtection="1">
      <alignment/>
      <protection/>
    </xf>
    <xf numFmtId="0" fontId="12" fillId="0" borderId="0" xfId="0" applyFont="1" applyBorder="1" applyAlignment="1" applyProtection="1">
      <alignment/>
      <protection/>
    </xf>
    <xf numFmtId="0" fontId="12" fillId="0" borderId="12" xfId="0" applyFont="1" applyBorder="1" applyAlignment="1" applyProtection="1">
      <alignment/>
      <protection/>
    </xf>
    <xf numFmtId="0" fontId="4" fillId="0" borderId="12" xfId="0" applyFont="1" applyBorder="1" applyAlignment="1" applyProtection="1">
      <alignment horizontal="centerContinuous"/>
      <protection/>
    </xf>
    <xf numFmtId="0" fontId="4" fillId="0" borderId="10" xfId="0" applyFont="1" applyBorder="1" applyAlignment="1" applyProtection="1">
      <alignment/>
      <protection/>
    </xf>
    <xf numFmtId="0" fontId="5" fillId="0" borderId="22" xfId="0" applyFont="1" applyBorder="1" applyAlignment="1" applyProtection="1">
      <alignment horizontal="center"/>
      <protection/>
    </xf>
    <xf numFmtId="0" fontId="5" fillId="0" borderId="10" xfId="0" applyFont="1" applyBorder="1" applyAlignment="1" applyProtection="1">
      <alignment/>
      <protection/>
    </xf>
    <xf numFmtId="0" fontId="3" fillId="0" borderId="0" xfId="0" applyFont="1" applyAlignment="1" applyProtection="1">
      <alignment/>
      <protection/>
    </xf>
    <xf numFmtId="1" fontId="2" fillId="0" borderId="0" xfId="0" applyNumberFormat="1" applyFont="1" applyAlignment="1" applyProtection="1">
      <alignment horizontal="left"/>
      <protection/>
    </xf>
    <xf numFmtId="1" fontId="15" fillId="0" borderId="0" xfId="0" applyNumberFormat="1" applyFont="1" applyAlignment="1" applyProtection="1">
      <alignment horizontal="left"/>
      <protection/>
    </xf>
    <xf numFmtId="1" fontId="13" fillId="0" borderId="0" xfId="0" applyNumberFormat="1" applyFont="1" applyAlignment="1" applyProtection="1">
      <alignment horizontal="left"/>
      <protection/>
    </xf>
    <xf numFmtId="0" fontId="3" fillId="0" borderId="20" xfId="0" applyFont="1" applyBorder="1" applyAlignment="1" applyProtection="1">
      <alignment/>
      <protection/>
    </xf>
    <xf numFmtId="0" fontId="5" fillId="0" borderId="27" xfId="0" applyFont="1" applyBorder="1" applyAlignment="1" applyProtection="1">
      <alignment horizontal="centerContinuous"/>
      <protection/>
    </xf>
    <xf numFmtId="0" fontId="5" fillId="0" borderId="17" xfId="0" applyFont="1" applyBorder="1" applyAlignment="1" applyProtection="1" quotePrefix="1">
      <alignment horizontal="left"/>
      <protection/>
    </xf>
    <xf numFmtId="0" fontId="8" fillId="0" borderId="28" xfId="0" applyFont="1" applyBorder="1" applyAlignment="1" applyProtection="1">
      <alignment/>
      <protection/>
    </xf>
    <xf numFmtId="0" fontId="5" fillId="0" borderId="27" xfId="0" applyFont="1" applyBorder="1" applyAlignment="1" applyProtection="1" quotePrefix="1">
      <alignment/>
      <protection/>
    </xf>
    <xf numFmtId="0" fontId="5" fillId="0" borderId="27" xfId="0" applyFont="1" applyBorder="1" applyAlignment="1" applyProtection="1">
      <alignment/>
      <protection/>
    </xf>
    <xf numFmtId="1" fontId="5" fillId="0" borderId="29" xfId="0" applyNumberFormat="1" applyFont="1" applyBorder="1" applyAlignment="1" applyProtection="1">
      <alignment/>
      <protection/>
    </xf>
    <xf numFmtId="0" fontId="3" fillId="0" borderId="21" xfId="0" applyFont="1" applyBorder="1" applyAlignment="1" applyProtection="1">
      <alignment/>
      <protection/>
    </xf>
    <xf numFmtId="0" fontId="10" fillId="0" borderId="0" xfId="0" applyFont="1" applyBorder="1" applyAlignment="1" applyProtection="1" quotePrefix="1">
      <alignment/>
      <protection/>
    </xf>
    <xf numFmtId="1" fontId="10" fillId="0" borderId="0" xfId="0" applyNumberFormat="1" applyFont="1" applyBorder="1" applyAlignment="1" applyProtection="1">
      <alignment/>
      <protection/>
    </xf>
    <xf numFmtId="1" fontId="10" fillId="0" borderId="12" xfId="0" applyNumberFormat="1" applyFont="1" applyBorder="1" applyAlignment="1" applyProtection="1" quotePrefix="1">
      <alignment horizontal="right"/>
      <protection/>
    </xf>
    <xf numFmtId="0" fontId="5" fillId="0" borderId="22" xfId="0" applyFont="1" applyBorder="1" applyAlignment="1" applyProtection="1" quotePrefix="1">
      <alignment horizontal="center"/>
      <protection/>
    </xf>
    <xf numFmtId="0" fontId="5" fillId="0" borderId="10" xfId="0" applyFont="1" applyBorder="1" applyAlignment="1" applyProtection="1" quotePrefix="1">
      <alignment horizontal="left"/>
      <protection/>
    </xf>
    <xf numFmtId="0" fontId="5" fillId="0" borderId="0" xfId="0" applyFont="1" applyBorder="1" applyAlignment="1" applyProtection="1">
      <alignment horizontal="left"/>
      <protection/>
    </xf>
    <xf numFmtId="1" fontId="10" fillId="0" borderId="17" xfId="0" applyNumberFormat="1" applyFont="1" applyBorder="1" applyAlignment="1" applyProtection="1">
      <alignment/>
      <protection/>
    </xf>
    <xf numFmtId="0" fontId="5" fillId="0" borderId="20" xfId="0" applyFont="1" applyBorder="1" applyAlignment="1" applyProtection="1">
      <alignment/>
      <protection/>
    </xf>
    <xf numFmtId="0" fontId="5" fillId="0" borderId="27" xfId="0" applyFont="1" applyBorder="1" applyAlignment="1" applyProtection="1" quotePrefix="1">
      <alignment horizontal="centerContinuous"/>
      <protection/>
    </xf>
    <xf numFmtId="0" fontId="5" fillId="0" borderId="29" xfId="0" applyFont="1" applyBorder="1" applyAlignment="1" applyProtection="1">
      <alignment/>
      <protection/>
    </xf>
    <xf numFmtId="0" fontId="5" fillId="0" borderId="21" xfId="0" applyFont="1" applyBorder="1" applyAlignment="1" applyProtection="1" quotePrefix="1">
      <alignment horizontal="centerContinuous"/>
      <protection/>
    </xf>
    <xf numFmtId="0" fontId="10" fillId="0" borderId="12" xfId="0" applyFont="1" applyBorder="1" applyAlignment="1" applyProtection="1" quotePrefix="1">
      <alignment horizontal="right" wrapText="1"/>
      <protection/>
    </xf>
    <xf numFmtId="0" fontId="5" fillId="0" borderId="21" xfId="0" applyFont="1" applyBorder="1" applyAlignment="1" applyProtection="1">
      <alignment horizontal="centerContinuous"/>
      <protection/>
    </xf>
    <xf numFmtId="0" fontId="10" fillId="0" borderId="12" xfId="0" applyFont="1" applyBorder="1" applyAlignment="1" applyProtection="1">
      <alignment horizontal="right" wrapText="1"/>
      <protection/>
    </xf>
    <xf numFmtId="3" fontId="5" fillId="0" borderId="22" xfId="0" applyNumberFormat="1" applyFont="1" applyBorder="1" applyAlignment="1" applyProtection="1">
      <alignment horizontal="centerContinuous"/>
      <protection/>
    </xf>
    <xf numFmtId="3" fontId="5" fillId="0" borderId="15" xfId="0" applyNumberFormat="1" applyFont="1" applyBorder="1" applyAlignment="1" applyProtection="1">
      <alignment/>
      <protection/>
    </xf>
    <xf numFmtId="3" fontId="5" fillId="0" borderId="0" xfId="0" applyNumberFormat="1" applyFont="1" applyAlignment="1" applyProtection="1">
      <alignment vertical="top"/>
      <protection/>
    </xf>
    <xf numFmtId="0" fontId="5" fillId="0" borderId="20" xfId="0" applyFont="1" applyBorder="1" applyAlignment="1" applyProtection="1">
      <alignment horizontal="centerContinuous"/>
      <protection/>
    </xf>
    <xf numFmtId="0" fontId="5" fillId="0" borderId="29" xfId="0" applyFont="1" applyBorder="1" applyAlignment="1" applyProtection="1" quotePrefix="1">
      <alignment horizontal="right"/>
      <protection/>
    </xf>
    <xf numFmtId="1" fontId="10" fillId="0" borderId="21" xfId="0" applyNumberFormat="1" applyFont="1" applyBorder="1" applyAlignment="1" applyProtection="1" quotePrefix="1">
      <alignment horizontal="centerContinuous"/>
      <protection/>
    </xf>
    <xf numFmtId="1" fontId="10" fillId="0" borderId="0" xfId="0" applyNumberFormat="1" applyFont="1" applyBorder="1" applyAlignment="1" applyProtection="1" quotePrefix="1">
      <alignment horizontal="centerContinuous"/>
      <protection/>
    </xf>
    <xf numFmtId="1" fontId="10" fillId="0" borderId="30" xfId="0" applyNumberFormat="1" applyFont="1" applyBorder="1" applyAlignment="1" applyProtection="1">
      <alignment horizontal="right"/>
      <protection/>
    </xf>
    <xf numFmtId="1" fontId="5" fillId="0" borderId="0" xfId="0" applyNumberFormat="1" applyFont="1" applyBorder="1" applyAlignment="1" applyProtection="1">
      <alignment horizontal="center"/>
      <protection/>
    </xf>
    <xf numFmtId="3" fontId="5" fillId="0" borderId="31" xfId="0" applyNumberFormat="1" applyFont="1" applyBorder="1" applyAlignment="1" applyProtection="1">
      <alignment/>
      <protection/>
    </xf>
    <xf numFmtId="3" fontId="4" fillId="0" borderId="25" xfId="0" applyNumberFormat="1" applyFont="1" applyBorder="1" applyAlignment="1" applyProtection="1">
      <alignment horizontal="center"/>
      <protection/>
    </xf>
    <xf numFmtId="3" fontId="5" fillId="0" borderId="25" xfId="0" applyNumberFormat="1" applyFont="1" applyBorder="1" applyAlignment="1" applyProtection="1">
      <alignment horizontal="center"/>
      <protection/>
    </xf>
    <xf numFmtId="3" fontId="5" fillId="0" borderId="32" xfId="0" applyNumberFormat="1" applyFont="1" applyBorder="1" applyAlignment="1" applyProtection="1">
      <alignment/>
      <protection/>
    </xf>
    <xf numFmtId="1" fontId="5" fillId="0" borderId="21" xfId="0" applyNumberFormat="1" applyFont="1" applyBorder="1" applyAlignment="1" applyProtection="1" quotePrefix="1">
      <alignment horizontal="center"/>
      <protection/>
    </xf>
    <xf numFmtId="1" fontId="5" fillId="0" borderId="0" xfId="0" applyNumberFormat="1" applyFont="1" applyBorder="1" applyAlignment="1" applyProtection="1" quotePrefix="1">
      <alignment horizontal="center"/>
      <protection/>
    </xf>
    <xf numFmtId="3" fontId="7" fillId="0" borderId="0" xfId="0" applyNumberFormat="1" applyFont="1" applyBorder="1" applyAlignment="1" applyProtection="1">
      <alignment horizontal="center"/>
      <protection/>
    </xf>
    <xf numFmtId="0" fontId="5" fillId="0" borderId="0" xfId="0" applyFont="1" applyBorder="1" applyAlignment="1" applyProtection="1" quotePrefix="1">
      <alignment horizontal="centerContinuous"/>
      <protection/>
    </xf>
    <xf numFmtId="0" fontId="5" fillId="0" borderId="22" xfId="0" applyFont="1" applyBorder="1" applyAlignment="1" applyProtection="1">
      <alignment horizontal="centerContinuous"/>
      <protection/>
    </xf>
    <xf numFmtId="0" fontId="5" fillId="0" borderId="10" xfId="0" applyFont="1" applyBorder="1" applyAlignment="1" applyProtection="1" quotePrefix="1">
      <alignment horizontal="centerContinuous"/>
      <protection/>
    </xf>
    <xf numFmtId="1" fontId="5" fillId="0" borderId="27" xfId="0" applyNumberFormat="1" applyFont="1" applyBorder="1" applyAlignment="1" applyProtection="1">
      <alignment horizontal="center"/>
      <protection/>
    </xf>
    <xf numFmtId="0" fontId="5" fillId="0" borderId="29" xfId="0" applyFont="1" applyBorder="1" applyAlignment="1" applyProtection="1" quotePrefix="1">
      <alignment horizontal="center" wrapText="1"/>
      <protection/>
    </xf>
    <xf numFmtId="0" fontId="4" fillId="0" borderId="0" xfId="0" applyFont="1" applyBorder="1" applyAlignment="1" applyProtection="1">
      <alignment horizontal="left" wrapText="1"/>
      <protection/>
    </xf>
    <xf numFmtId="0" fontId="4" fillId="0" borderId="21" xfId="0" applyFont="1" applyBorder="1" applyAlignment="1" applyProtection="1" quotePrefix="1">
      <alignment horizontal="center"/>
      <protection/>
    </xf>
    <xf numFmtId="0" fontId="12" fillId="0" borderId="0" xfId="0" applyFont="1" applyBorder="1" applyAlignment="1" applyProtection="1">
      <alignment horizontal="left"/>
      <protection/>
    </xf>
    <xf numFmtId="0" fontId="4" fillId="0" borderId="22" xfId="0" applyFont="1" applyBorder="1" applyAlignment="1" applyProtection="1">
      <alignment horizontal="center" vertical="top"/>
      <protection/>
    </xf>
    <xf numFmtId="1" fontId="10" fillId="0" borderId="33" xfId="0" applyNumberFormat="1" applyFont="1" applyBorder="1" applyAlignment="1" applyProtection="1">
      <alignment horizontal="right" vertical="top"/>
      <protection/>
    </xf>
    <xf numFmtId="1" fontId="10" fillId="0" borderId="34" xfId="0" applyNumberFormat="1" applyFont="1" applyBorder="1" applyAlignment="1" applyProtection="1">
      <alignment horizontal="right" vertical="top"/>
      <protection/>
    </xf>
    <xf numFmtId="3" fontId="5" fillId="0" borderId="35" xfId="0" applyNumberFormat="1" applyFont="1" applyBorder="1" applyAlignment="1" applyProtection="1">
      <alignment horizontal="centerContinuous" vertical="top"/>
      <protection/>
    </xf>
    <xf numFmtId="0" fontId="9" fillId="0" borderId="27" xfId="0" applyFont="1" applyBorder="1" applyAlignment="1" applyProtection="1">
      <alignment horizontal="centerContinuous" vertical="top"/>
      <protection/>
    </xf>
    <xf numFmtId="3" fontId="5" fillId="0" borderId="36" xfId="0" applyNumberFormat="1" applyFont="1" applyBorder="1" applyAlignment="1" applyProtection="1">
      <alignment horizontal="centerContinuous" vertical="top"/>
      <protection/>
    </xf>
    <xf numFmtId="1" fontId="10" fillId="0" borderId="37" xfId="0" applyNumberFormat="1" applyFont="1" applyBorder="1" applyAlignment="1" applyProtection="1">
      <alignment horizontal="right" vertical="top"/>
      <protection/>
    </xf>
    <xf numFmtId="0" fontId="4" fillId="0" borderId="12" xfId="0" applyFont="1" applyBorder="1" applyAlignment="1" applyProtection="1">
      <alignment vertical="top"/>
      <protection/>
    </xf>
    <xf numFmtId="3" fontId="5" fillId="0" borderId="10" xfId="0" applyNumberFormat="1" applyFont="1" applyBorder="1" applyAlignment="1" applyProtection="1">
      <alignment horizontal="center" vertical="top"/>
      <protection/>
    </xf>
    <xf numFmtId="3" fontId="5" fillId="0" borderId="15" xfId="0" applyNumberFormat="1" applyFont="1" applyBorder="1" applyAlignment="1" applyProtection="1">
      <alignment horizontal="center" vertical="top"/>
      <protection/>
    </xf>
    <xf numFmtId="2" fontId="7" fillId="0" borderId="24" xfId="0" applyNumberFormat="1" applyFont="1" applyBorder="1" applyAlignment="1" applyProtection="1" quotePrefix="1">
      <alignment horizontal="center" vertical="top"/>
      <protection/>
    </xf>
    <xf numFmtId="2" fontId="7" fillId="0" borderId="0" xfId="0" applyNumberFormat="1" applyFont="1" applyBorder="1" applyAlignment="1" applyProtection="1" quotePrefix="1">
      <alignment horizontal="left" vertical="top"/>
      <protection/>
    </xf>
    <xf numFmtId="3" fontId="5" fillId="0" borderId="0" xfId="0" applyNumberFormat="1" applyFont="1" applyBorder="1" applyAlignment="1" applyProtection="1" quotePrefix="1">
      <alignment horizontal="left" vertical="top"/>
      <protection/>
    </xf>
    <xf numFmtId="3" fontId="4" fillId="0" borderId="18" xfId="0" applyNumberFormat="1" applyFont="1" applyBorder="1" applyAlignment="1" applyProtection="1">
      <alignment horizontal="centerContinuous" vertical="top"/>
      <protection/>
    </xf>
    <xf numFmtId="3" fontId="4" fillId="0" borderId="19" xfId="0" applyNumberFormat="1" applyFont="1" applyBorder="1" applyAlignment="1" applyProtection="1">
      <alignment horizontal="centerContinuous" vertical="top"/>
      <protection/>
    </xf>
    <xf numFmtId="1" fontId="9" fillId="0" borderId="0" xfId="0" applyNumberFormat="1" applyFont="1" applyBorder="1" applyAlignment="1" applyProtection="1">
      <alignment vertical="top"/>
      <protection/>
    </xf>
    <xf numFmtId="2" fontId="11" fillId="0" borderId="24" xfId="0" applyNumberFormat="1" applyFont="1" applyBorder="1" applyAlignment="1" applyProtection="1">
      <alignment horizontal="left" vertical="top"/>
      <protection/>
    </xf>
    <xf numFmtId="2" fontId="4" fillId="0" borderId="0" xfId="0" applyNumberFormat="1" applyFont="1" applyBorder="1" applyAlignment="1" applyProtection="1">
      <alignment vertical="top"/>
      <protection/>
    </xf>
    <xf numFmtId="2" fontId="3" fillId="0" borderId="0" xfId="0" applyNumberFormat="1" applyFont="1" applyBorder="1" applyAlignment="1" applyProtection="1">
      <alignment vertical="top"/>
      <protection/>
    </xf>
    <xf numFmtId="3" fontId="5" fillId="0" borderId="11" xfId="0" applyNumberFormat="1" applyFont="1" applyBorder="1" applyAlignment="1" applyProtection="1">
      <alignment horizontal="center" vertical="top"/>
      <protection/>
    </xf>
    <xf numFmtId="0" fontId="4" fillId="0" borderId="13" xfId="0" applyFont="1" applyBorder="1" applyAlignment="1" applyProtection="1">
      <alignment vertical="top"/>
      <protection/>
    </xf>
    <xf numFmtId="3" fontId="4" fillId="0" borderId="24" xfId="0" applyNumberFormat="1" applyFont="1" applyBorder="1" applyAlignment="1" applyProtection="1">
      <alignment vertical="top"/>
      <protection/>
    </xf>
    <xf numFmtId="3" fontId="4" fillId="0" borderId="0" xfId="0" applyNumberFormat="1" applyFont="1" applyBorder="1" applyAlignment="1" applyProtection="1">
      <alignment horizontal="left" vertical="top"/>
      <protection/>
    </xf>
    <xf numFmtId="3" fontId="11" fillId="0" borderId="24" xfId="0" applyNumberFormat="1" applyFont="1" applyBorder="1" applyAlignment="1" applyProtection="1">
      <alignment vertical="top"/>
      <protection/>
    </xf>
    <xf numFmtId="3" fontId="4" fillId="0" borderId="24" xfId="0" applyNumberFormat="1" applyFont="1" applyBorder="1" applyAlignment="1" applyProtection="1" quotePrefix="1">
      <alignment horizontal="center" vertical="top"/>
      <protection/>
    </xf>
    <xf numFmtId="3" fontId="4" fillId="0" borderId="0" xfId="0" applyNumberFormat="1" applyFont="1" applyBorder="1" applyAlignment="1" applyProtection="1" quotePrefix="1">
      <alignment horizontal="left" vertical="top"/>
      <protection/>
    </xf>
    <xf numFmtId="3" fontId="9" fillId="0" borderId="0" xfId="0" applyNumberFormat="1" applyFont="1" applyBorder="1" applyAlignment="1" applyProtection="1">
      <alignment vertical="top"/>
      <protection/>
    </xf>
    <xf numFmtId="3" fontId="3" fillId="0" borderId="0" xfId="0" applyNumberFormat="1" applyFont="1" applyBorder="1" applyAlignment="1" applyProtection="1">
      <alignment vertical="top"/>
      <protection/>
    </xf>
    <xf numFmtId="3" fontId="4" fillId="0" borderId="0" xfId="0" applyNumberFormat="1" applyFont="1" applyAlignment="1" applyProtection="1">
      <alignment vertical="top"/>
      <protection/>
    </xf>
    <xf numFmtId="3" fontId="11" fillId="0" borderId="23" xfId="0" applyNumberFormat="1" applyFont="1" applyBorder="1" applyAlignment="1" applyProtection="1">
      <alignment horizontal="left" vertical="top"/>
      <protection/>
    </xf>
    <xf numFmtId="3" fontId="4" fillId="0" borderId="38" xfId="0" applyNumberFormat="1" applyFont="1" applyBorder="1" applyAlignment="1" applyProtection="1">
      <alignment vertical="top"/>
      <protection/>
    </xf>
    <xf numFmtId="1" fontId="4" fillId="0" borderId="0" xfId="0" applyNumberFormat="1" applyFont="1" applyBorder="1" applyAlignment="1" applyProtection="1">
      <alignment vertical="top"/>
      <protection/>
    </xf>
    <xf numFmtId="1" fontId="3" fillId="0" borderId="0" xfId="0" applyNumberFormat="1" applyFont="1" applyBorder="1" applyAlignment="1" applyProtection="1">
      <alignment vertical="top"/>
      <protection/>
    </xf>
    <xf numFmtId="1" fontId="9" fillId="0" borderId="34" xfId="0" applyNumberFormat="1" applyFont="1" applyBorder="1" applyAlignment="1" applyProtection="1">
      <alignment vertical="top"/>
      <protection/>
    </xf>
    <xf numFmtId="2" fontId="5" fillId="0" borderId="24" xfId="0" applyNumberFormat="1" applyFont="1" applyBorder="1" applyAlignment="1" applyProtection="1">
      <alignment horizontal="center" vertical="top"/>
      <protection/>
    </xf>
    <xf numFmtId="0" fontId="5" fillId="0" borderId="0" xfId="0" applyFont="1" applyBorder="1" applyAlignment="1" applyProtection="1">
      <alignment horizontal="left" vertical="top"/>
      <protection/>
    </xf>
    <xf numFmtId="2" fontId="5" fillId="0" borderId="39" xfId="0" applyNumberFormat="1" applyFont="1" applyBorder="1" applyAlignment="1" applyProtection="1">
      <alignment horizontal="center" vertical="top"/>
      <protection/>
    </xf>
    <xf numFmtId="2" fontId="5" fillId="0" borderId="38" xfId="0" applyNumberFormat="1" applyFont="1" applyBorder="1" applyAlignment="1" applyProtection="1">
      <alignment horizontal="center" vertical="top"/>
      <protection/>
    </xf>
    <xf numFmtId="0" fontId="5" fillId="0" borderId="38" xfId="0" applyFont="1" applyBorder="1" applyAlignment="1" applyProtection="1">
      <alignment horizontal="left" vertical="top"/>
      <protection/>
    </xf>
    <xf numFmtId="0" fontId="4" fillId="0" borderId="38" xfId="0" applyFont="1" applyBorder="1" applyAlignment="1" applyProtection="1">
      <alignment vertical="top"/>
      <protection/>
    </xf>
    <xf numFmtId="3" fontId="5" fillId="0" borderId="38" xfId="0" applyNumberFormat="1" applyFont="1" applyBorder="1" applyAlignment="1" applyProtection="1">
      <alignment vertical="top"/>
      <protection/>
    </xf>
    <xf numFmtId="3" fontId="2" fillId="0" borderId="38" xfId="0" applyNumberFormat="1" applyFont="1" applyBorder="1" applyAlignment="1" applyProtection="1">
      <alignment vertical="top"/>
      <protection/>
    </xf>
    <xf numFmtId="3" fontId="5" fillId="0" borderId="38" xfId="0" applyNumberFormat="1" applyFont="1" applyBorder="1" applyAlignment="1" applyProtection="1">
      <alignment horizontal="center" vertical="top"/>
      <protection/>
    </xf>
    <xf numFmtId="3" fontId="4" fillId="0" borderId="0" xfId="0" applyNumberFormat="1" applyFont="1" applyBorder="1" applyAlignment="1" applyProtection="1" quotePrefix="1">
      <alignment horizontal="center" vertical="top"/>
      <protection/>
    </xf>
    <xf numFmtId="3" fontId="2" fillId="0" borderId="0" xfId="0" applyNumberFormat="1" applyFont="1" applyBorder="1" applyAlignment="1" applyProtection="1">
      <alignment horizontal="right" vertical="top"/>
      <protection/>
    </xf>
    <xf numFmtId="3" fontId="11" fillId="0" borderId="38" xfId="0" applyNumberFormat="1" applyFont="1" applyBorder="1" applyAlignment="1" applyProtection="1">
      <alignment vertical="top"/>
      <protection/>
    </xf>
    <xf numFmtId="3" fontId="5" fillId="0" borderId="40" xfId="0" applyNumberFormat="1" applyFont="1" applyBorder="1" applyAlignment="1" applyProtection="1">
      <alignment horizontal="centerContinuous" vertical="top"/>
      <protection/>
    </xf>
    <xf numFmtId="3" fontId="5" fillId="0" borderId="41" xfId="0" applyNumberFormat="1" applyFont="1" applyBorder="1" applyAlignment="1" applyProtection="1">
      <alignment horizontal="centerContinuous" vertical="top"/>
      <protection/>
    </xf>
    <xf numFmtId="0" fontId="4" fillId="0" borderId="11" xfId="0" applyFont="1" applyBorder="1" applyAlignment="1" applyProtection="1">
      <alignment vertical="top"/>
      <protection/>
    </xf>
    <xf numFmtId="3" fontId="4" fillId="0" borderId="24" xfId="0" applyNumberFormat="1" applyFont="1" applyBorder="1" applyAlignment="1" applyProtection="1">
      <alignment horizontal="center" vertical="top"/>
      <protection/>
    </xf>
    <xf numFmtId="3" fontId="11" fillId="0" borderId="20" xfId="0" applyNumberFormat="1" applyFont="1" applyBorder="1" applyAlignment="1" applyProtection="1">
      <alignment horizontal="left" vertical="top"/>
      <protection/>
    </xf>
    <xf numFmtId="3" fontId="4" fillId="0" borderId="16" xfId="0" applyNumberFormat="1" applyFont="1" applyBorder="1" applyAlignment="1" applyProtection="1">
      <alignment horizontal="right" vertical="top"/>
      <protection/>
    </xf>
    <xf numFmtId="0" fontId="4" fillId="0" borderId="27" xfId="0" applyFont="1" applyBorder="1" applyAlignment="1" applyProtection="1">
      <alignment horizontal="centerContinuous" vertical="top"/>
      <protection/>
    </xf>
    <xf numFmtId="0" fontId="4" fillId="0" borderId="29" xfId="0" applyFont="1" applyBorder="1" applyAlignment="1" applyProtection="1">
      <alignment horizontal="centerContinuous" vertical="top"/>
      <protection/>
    </xf>
    <xf numFmtId="0" fontId="5" fillId="0" borderId="0" xfId="0" applyFont="1" applyBorder="1" applyAlignment="1" applyProtection="1" quotePrefix="1">
      <alignment horizontal="center" vertical="top"/>
      <protection/>
    </xf>
    <xf numFmtId="0" fontId="5" fillId="0" borderId="0" xfId="0" applyFont="1" applyAlignment="1" applyProtection="1">
      <alignment horizontal="center" vertical="top"/>
      <protection/>
    </xf>
    <xf numFmtId="3" fontId="4" fillId="0" borderId="42" xfId="0" applyNumberFormat="1" applyFont="1" applyBorder="1" applyAlignment="1" applyProtection="1">
      <alignment horizontal="centerContinuous" vertical="top"/>
      <protection/>
    </xf>
    <xf numFmtId="0" fontId="5" fillId="0" borderId="0" xfId="0" applyFont="1" applyAlignment="1" applyProtection="1">
      <alignment horizontal="left" vertical="top"/>
      <protection/>
    </xf>
    <xf numFmtId="0" fontId="2" fillId="0" borderId="0" xfId="0" applyFont="1" applyBorder="1" applyAlignment="1" applyProtection="1">
      <alignment horizontal="fill" vertical="top"/>
      <protection/>
    </xf>
    <xf numFmtId="2" fontId="11" fillId="0" borderId="23" xfId="0" applyNumberFormat="1" applyFont="1" applyBorder="1" applyAlignment="1" applyProtection="1">
      <alignment vertical="top"/>
      <protection/>
    </xf>
    <xf numFmtId="2" fontId="11" fillId="0" borderId="38" xfId="0" applyNumberFormat="1" applyFont="1" applyBorder="1" applyAlignment="1" applyProtection="1">
      <alignment vertical="top"/>
      <protection/>
    </xf>
    <xf numFmtId="2" fontId="4" fillId="0" borderId="38" xfId="0" applyNumberFormat="1" applyFont="1" applyBorder="1" applyAlignment="1" applyProtection="1">
      <alignment vertical="top"/>
      <protection/>
    </xf>
    <xf numFmtId="2" fontId="4" fillId="0" borderId="40" xfId="0" applyNumberFormat="1" applyFont="1" applyBorder="1" applyAlignment="1" applyProtection="1">
      <alignment horizontal="centerContinuous" vertical="top"/>
      <protection/>
    </xf>
    <xf numFmtId="2" fontId="4" fillId="0" borderId="41" xfId="0" applyNumberFormat="1" applyFont="1" applyBorder="1" applyAlignment="1" applyProtection="1">
      <alignment horizontal="centerContinuous" vertical="top"/>
      <protection/>
    </xf>
    <xf numFmtId="3" fontId="4" fillId="0" borderId="11" xfId="0" applyNumberFormat="1" applyFont="1" applyBorder="1" applyAlignment="1" applyProtection="1">
      <alignment vertical="top"/>
      <protection/>
    </xf>
    <xf numFmtId="3" fontId="15" fillId="0" borderId="24" xfId="0" applyNumberFormat="1" applyFont="1" applyBorder="1" applyAlignment="1" applyProtection="1" quotePrefix="1">
      <alignment horizontal="left" vertical="top"/>
      <protection/>
    </xf>
    <xf numFmtId="3" fontId="5" fillId="0" borderId="16" xfId="0" applyNumberFormat="1" applyFont="1" applyBorder="1" applyAlignment="1" applyProtection="1">
      <alignment horizontal="center" vertical="top"/>
      <protection/>
    </xf>
    <xf numFmtId="0" fontId="4" fillId="0" borderId="43" xfId="0" applyFont="1" applyBorder="1" applyAlignment="1" applyProtection="1">
      <alignment vertical="top"/>
      <protection/>
    </xf>
    <xf numFmtId="1" fontId="2" fillId="0" borderId="0" xfId="0" applyNumberFormat="1" applyFont="1" applyAlignment="1" applyProtection="1">
      <alignment horizontal="left" vertical="top"/>
      <protection/>
    </xf>
    <xf numFmtId="1" fontId="5" fillId="0" borderId="0" xfId="0" applyNumberFormat="1" applyFont="1" applyAlignment="1" applyProtection="1">
      <alignment horizontal="left" vertical="top"/>
      <protection/>
    </xf>
    <xf numFmtId="2" fontId="14" fillId="0" borderId="38" xfId="0" applyNumberFormat="1" applyFont="1" applyBorder="1" applyAlignment="1" applyProtection="1">
      <alignment vertical="top"/>
      <protection/>
    </xf>
    <xf numFmtId="2" fontId="5" fillId="0" borderId="38" xfId="0" applyNumberFormat="1" applyFont="1" applyBorder="1" applyAlignment="1" applyProtection="1">
      <alignment vertical="top"/>
      <protection/>
    </xf>
    <xf numFmtId="2" fontId="15" fillId="0" borderId="24" xfId="0" applyNumberFormat="1" applyFont="1" applyBorder="1" applyAlignment="1" applyProtection="1" quotePrefix="1">
      <alignment horizontal="left" vertical="top"/>
      <protection/>
    </xf>
    <xf numFmtId="0" fontId="5" fillId="0" borderId="24" xfId="0" applyFont="1" applyBorder="1" applyAlignment="1" applyProtection="1" quotePrefix="1">
      <alignment horizontal="left" vertical="top"/>
      <protection/>
    </xf>
    <xf numFmtId="2" fontId="14" fillId="0" borderId="24" xfId="0" applyNumberFormat="1" applyFont="1" applyBorder="1" applyAlignment="1" applyProtection="1" quotePrefix="1">
      <alignment vertical="top"/>
      <protection/>
    </xf>
    <xf numFmtId="2" fontId="5" fillId="0" borderId="24" xfId="0" applyNumberFormat="1" applyFont="1" applyBorder="1" applyAlignment="1" applyProtection="1" quotePrefix="1">
      <alignment horizontal="center" vertical="top"/>
      <protection/>
    </xf>
    <xf numFmtId="2" fontId="5" fillId="0" borderId="0" xfId="0" applyNumberFormat="1" applyFont="1" applyBorder="1" applyAlignment="1" applyProtection="1" quotePrefix="1">
      <alignment horizontal="left" vertical="top"/>
      <protection/>
    </xf>
    <xf numFmtId="2" fontId="4" fillId="0" borderId="24" xfId="0" applyNumberFormat="1" applyFont="1" applyBorder="1" applyAlignment="1" applyProtection="1" quotePrefix="1">
      <alignment horizontal="center" vertical="top"/>
      <protection/>
    </xf>
    <xf numFmtId="2" fontId="14" fillId="0" borderId="24" xfId="0" applyNumberFormat="1" applyFont="1" applyBorder="1" applyAlignment="1" applyProtection="1" quotePrefix="1">
      <alignment horizontal="left" vertical="top"/>
      <protection/>
    </xf>
    <xf numFmtId="2" fontId="4" fillId="0" borderId="0" xfId="0" applyNumberFormat="1" applyFont="1" applyBorder="1" applyAlignment="1" applyProtection="1" quotePrefix="1">
      <alignment horizontal="left" vertical="top"/>
      <protection/>
    </xf>
    <xf numFmtId="2" fontId="4" fillId="0" borderId="0" xfId="0" applyNumberFormat="1" applyFont="1" applyBorder="1" applyAlignment="1" applyProtection="1">
      <alignment horizontal="left" vertical="top"/>
      <protection/>
    </xf>
    <xf numFmtId="2" fontId="14" fillId="0" borderId="24" xfId="0" applyNumberFormat="1" applyFont="1" applyBorder="1" applyAlignment="1" applyProtection="1">
      <alignment horizontal="left" vertical="top"/>
      <protection/>
    </xf>
    <xf numFmtId="2" fontId="4" fillId="0" borderId="13" xfId="0" applyNumberFormat="1" applyFont="1" applyBorder="1" applyAlignment="1" applyProtection="1">
      <alignment vertical="top"/>
      <protection/>
    </xf>
    <xf numFmtId="2" fontId="5" fillId="0" borderId="0" xfId="0" applyNumberFormat="1" applyFont="1" applyBorder="1" applyAlignment="1" applyProtection="1" quotePrefix="1">
      <alignment horizontal="center" vertical="top"/>
      <protection/>
    </xf>
    <xf numFmtId="2" fontId="14" fillId="0" borderId="23" xfId="0" applyNumberFormat="1" applyFont="1" applyBorder="1" applyAlignment="1" applyProtection="1" quotePrefix="1">
      <alignment horizontal="left" vertical="top"/>
      <protection/>
    </xf>
    <xf numFmtId="0" fontId="2" fillId="0" borderId="0" xfId="0" applyFont="1" applyBorder="1" applyAlignment="1" applyProtection="1">
      <alignment vertical="top"/>
      <protection/>
    </xf>
    <xf numFmtId="0" fontId="4" fillId="0" borderId="0" xfId="0" applyFont="1" applyAlignment="1" applyProtection="1">
      <alignment horizontal="center" vertical="top"/>
      <protection/>
    </xf>
    <xf numFmtId="0" fontId="11" fillId="0" borderId="38" xfId="0" applyFont="1" applyBorder="1" applyAlignment="1" applyProtection="1" quotePrefix="1">
      <alignment vertical="top"/>
      <protection/>
    </xf>
    <xf numFmtId="0" fontId="2" fillId="0" borderId="38" xfId="0" applyFont="1" applyBorder="1" applyAlignment="1" applyProtection="1">
      <alignment vertical="top"/>
      <protection/>
    </xf>
    <xf numFmtId="0" fontId="11" fillId="0" borderId="0" xfId="0" applyFont="1" applyBorder="1" applyAlignment="1" applyProtection="1" quotePrefix="1">
      <alignment vertical="top"/>
      <protection/>
    </xf>
    <xf numFmtId="0" fontId="5" fillId="0" borderId="13" xfId="0" applyFont="1" applyBorder="1" applyAlignment="1" applyProtection="1" quotePrefix="1">
      <alignment horizontal="left" vertical="top"/>
      <protection/>
    </xf>
    <xf numFmtId="0" fontId="11" fillId="0" borderId="38" xfId="0" applyFont="1" applyBorder="1" applyAlignment="1" applyProtection="1">
      <alignment vertical="top"/>
      <protection/>
    </xf>
    <xf numFmtId="0" fontId="11" fillId="0" borderId="0" xfId="0" applyFont="1" applyBorder="1" applyAlignment="1" applyProtection="1">
      <alignment vertical="top"/>
      <protection/>
    </xf>
    <xf numFmtId="0" fontId="5" fillId="0" borderId="24" xfId="0" applyFont="1" applyBorder="1" applyAlignment="1" applyProtection="1">
      <alignment horizontal="center" vertical="top"/>
      <protection/>
    </xf>
    <xf numFmtId="2" fontId="14" fillId="0" borderId="20" xfId="0" applyNumberFormat="1" applyFont="1" applyBorder="1" applyAlignment="1" applyProtection="1">
      <alignment horizontal="left" vertical="top"/>
      <protection/>
    </xf>
    <xf numFmtId="3" fontId="5" fillId="0" borderId="16" xfId="0" applyNumberFormat="1" applyFont="1" applyBorder="1" applyAlignment="1" applyProtection="1">
      <alignment horizontal="right" vertical="top"/>
      <protection/>
    </xf>
    <xf numFmtId="2" fontId="14" fillId="0" borderId="21" xfId="0" applyNumberFormat="1" applyFont="1" applyBorder="1" applyAlignment="1" applyProtection="1">
      <alignment horizontal="center" vertical="top"/>
      <protection/>
    </xf>
    <xf numFmtId="0" fontId="7" fillId="0" borderId="0" xfId="0" applyFont="1" applyBorder="1" applyAlignment="1" applyProtection="1">
      <alignment horizontal="right" vertical="top"/>
      <protection/>
    </xf>
    <xf numFmtId="0" fontId="4" fillId="0" borderId="21" xfId="0" applyFont="1" applyBorder="1" applyAlignment="1" applyProtection="1">
      <alignment horizontal="center" vertical="top"/>
      <protection/>
    </xf>
    <xf numFmtId="2" fontId="14" fillId="0" borderId="23" xfId="0" applyNumberFormat="1" applyFont="1" applyBorder="1" applyAlignment="1" applyProtection="1">
      <alignment horizontal="left" vertical="top"/>
      <protection/>
    </xf>
    <xf numFmtId="2" fontId="14" fillId="0" borderId="0" xfId="0" applyNumberFormat="1" applyFont="1" applyBorder="1" applyAlignment="1" applyProtection="1">
      <alignment vertical="top"/>
      <protection/>
    </xf>
    <xf numFmtId="2" fontId="5" fillId="0" borderId="18" xfId="0" applyNumberFormat="1" applyFont="1" applyBorder="1" applyAlignment="1" applyProtection="1">
      <alignment vertical="top"/>
      <protection/>
    </xf>
    <xf numFmtId="2" fontId="4" fillId="0" borderId="24" xfId="0" applyNumberFormat="1" applyFont="1" applyBorder="1" applyAlignment="1" applyProtection="1">
      <alignment horizontal="center" vertical="top"/>
      <protection/>
    </xf>
    <xf numFmtId="2" fontId="7" fillId="0" borderId="0" xfId="0" applyNumberFormat="1" applyFont="1" applyBorder="1" applyAlignment="1" applyProtection="1">
      <alignment vertical="top"/>
      <protection/>
    </xf>
    <xf numFmtId="2" fontId="6" fillId="0" borderId="0" xfId="0" applyNumberFormat="1" applyFont="1" applyBorder="1" applyAlignment="1" applyProtection="1">
      <alignment vertical="top"/>
      <protection/>
    </xf>
    <xf numFmtId="0" fontId="5" fillId="0" borderId="0" xfId="0" applyNumberFormat="1" applyFont="1" applyBorder="1" applyAlignment="1" applyProtection="1" quotePrefix="1">
      <alignment horizontal="left" vertical="top"/>
      <protection/>
    </xf>
    <xf numFmtId="2" fontId="7" fillId="0" borderId="39" xfId="0" applyNumberFormat="1" applyFont="1" applyBorder="1" applyAlignment="1" applyProtection="1" quotePrefix="1">
      <alignment horizontal="center" vertical="top"/>
      <protection/>
    </xf>
    <xf numFmtId="2" fontId="4" fillId="0" borderId="10" xfId="0" applyNumberFormat="1" applyFont="1" applyBorder="1" applyAlignment="1" applyProtection="1" quotePrefix="1">
      <alignment horizontal="left" vertical="top"/>
      <protection/>
    </xf>
    <xf numFmtId="2" fontId="5" fillId="0" borderId="10" xfId="0" applyNumberFormat="1" applyFont="1" applyBorder="1" applyAlignment="1" applyProtection="1" quotePrefix="1">
      <alignment horizontal="left" vertical="top"/>
      <protection/>
    </xf>
    <xf numFmtId="3" fontId="5" fillId="0" borderId="13" xfId="0" applyNumberFormat="1" applyFont="1" applyBorder="1" applyAlignment="1" applyProtection="1" quotePrefix="1">
      <alignment horizontal="left" vertical="top"/>
      <protection/>
    </xf>
    <xf numFmtId="0" fontId="5" fillId="0" borderId="0" xfId="0" applyFont="1" applyBorder="1" applyAlignment="1" applyProtection="1">
      <alignment horizontal="fill" vertical="top"/>
      <protection/>
    </xf>
    <xf numFmtId="0" fontId="4" fillId="0" borderId="10" xfId="0" applyFont="1" applyBorder="1" applyAlignment="1">
      <alignment vertical="top"/>
    </xf>
    <xf numFmtId="0" fontId="4" fillId="0" borderId="0" xfId="0" applyFont="1" applyAlignment="1" applyProtection="1" quotePrefix="1">
      <alignment horizontal="right" vertical="top"/>
      <protection/>
    </xf>
    <xf numFmtId="2" fontId="15" fillId="0" borderId="24" xfId="0" applyNumberFormat="1" applyFont="1" applyBorder="1" applyAlignment="1" applyProtection="1">
      <alignment horizontal="left" vertical="top"/>
      <protection/>
    </xf>
    <xf numFmtId="0" fontId="4" fillId="0" borderId="16" xfId="0" applyFont="1" applyBorder="1" applyAlignment="1">
      <alignment vertical="top"/>
    </xf>
    <xf numFmtId="171" fontId="5" fillId="0" borderId="10" xfId="0" applyNumberFormat="1" applyFont="1" applyBorder="1" applyAlignment="1" applyProtection="1">
      <alignment horizontal="right" vertical="top"/>
      <protection/>
    </xf>
    <xf numFmtId="0" fontId="8" fillId="0" borderId="16" xfId="0" applyFont="1" applyBorder="1" applyAlignment="1" applyProtection="1">
      <alignment horizontal="centerContinuous"/>
      <protection/>
    </xf>
    <xf numFmtId="10" fontId="4" fillId="0" borderId="0" xfId="0" applyNumberFormat="1" applyFont="1" applyBorder="1" applyAlignment="1" applyProtection="1" quotePrefix="1">
      <alignment horizontal="right"/>
      <protection/>
    </xf>
    <xf numFmtId="10" fontId="4" fillId="0" borderId="10" xfId="0" applyNumberFormat="1" applyFont="1" applyBorder="1" applyAlignment="1" applyProtection="1" quotePrefix="1">
      <alignment horizontal="right"/>
      <protection/>
    </xf>
    <xf numFmtId="3" fontId="4" fillId="0" borderId="10" xfId="0" applyNumberFormat="1" applyFont="1" applyBorder="1" applyAlignment="1" applyProtection="1">
      <alignment horizontal="centerContinuous"/>
      <protection/>
    </xf>
    <xf numFmtId="0" fontId="5" fillId="0" borderId="0" xfId="0" applyFont="1" applyAlignment="1" applyProtection="1" quotePrefix="1">
      <alignment/>
      <protection/>
    </xf>
    <xf numFmtId="0" fontId="3" fillId="0" borderId="0" xfId="0" applyFont="1" applyBorder="1" applyAlignment="1" applyProtection="1">
      <alignment horizontal="centerContinuous"/>
      <protection/>
    </xf>
    <xf numFmtId="0" fontId="8" fillId="0" borderId="0" xfId="0" applyFont="1" applyBorder="1" applyAlignment="1" applyProtection="1">
      <alignment horizontal="centerContinuous"/>
      <protection/>
    </xf>
    <xf numFmtId="0" fontId="9" fillId="0" borderId="16" xfId="0" applyFont="1" applyBorder="1" applyAlignment="1" applyProtection="1">
      <alignment horizontal="right" vertical="top"/>
      <protection/>
    </xf>
    <xf numFmtId="0" fontId="7" fillId="0" borderId="10" xfId="0" applyFont="1" applyBorder="1" applyAlignment="1" applyProtection="1">
      <alignment horizontal="left" vertical="top"/>
      <protection/>
    </xf>
    <xf numFmtId="3" fontId="2" fillId="0" borderId="10" xfId="0" applyNumberFormat="1" applyFont="1" applyBorder="1" applyAlignment="1" applyProtection="1">
      <alignment vertical="top"/>
      <protection/>
    </xf>
    <xf numFmtId="3" fontId="7" fillId="0" borderId="10" xfId="0" applyNumberFormat="1" applyFont="1" applyBorder="1" applyAlignment="1" applyProtection="1">
      <alignment horizontal="center" vertical="top"/>
      <protection/>
    </xf>
    <xf numFmtId="3" fontId="7" fillId="0" borderId="15" xfId="0" applyNumberFormat="1" applyFont="1" applyBorder="1" applyAlignment="1" applyProtection="1">
      <alignment horizontal="center" vertical="top"/>
      <protection/>
    </xf>
    <xf numFmtId="3" fontId="4" fillId="0" borderId="0" xfId="0" applyNumberFormat="1" applyFont="1" applyBorder="1" applyAlignment="1" applyProtection="1" quotePrefix="1">
      <alignment vertical="top"/>
      <protection locked="0"/>
    </xf>
    <xf numFmtId="0" fontId="16" fillId="0" borderId="28" xfId="0" applyFont="1" applyBorder="1" applyAlignment="1" applyProtection="1" quotePrefix="1">
      <alignment horizontal="center"/>
      <protection/>
    </xf>
    <xf numFmtId="0" fontId="4" fillId="0" borderId="0" xfId="0" applyFont="1" applyBorder="1" applyAlignment="1">
      <alignment vertical="top"/>
    </xf>
    <xf numFmtId="1" fontId="10" fillId="0" borderId="33" xfId="0" applyNumberFormat="1" applyFont="1" applyBorder="1" applyAlignment="1" applyProtection="1">
      <alignment vertical="top"/>
      <protection/>
    </xf>
    <xf numFmtId="1" fontId="10" fillId="0" borderId="34" xfId="0" applyNumberFormat="1" applyFont="1" applyBorder="1" applyAlignment="1" applyProtection="1">
      <alignment vertical="top"/>
      <protection/>
    </xf>
    <xf numFmtId="0" fontId="8" fillId="0" borderId="16" xfId="0" applyFont="1" applyBorder="1" applyAlignment="1" applyProtection="1">
      <alignment/>
      <protection/>
    </xf>
    <xf numFmtId="171" fontId="5" fillId="0" borderId="0" xfId="0" applyNumberFormat="1" applyFont="1" applyBorder="1" applyAlignment="1" applyProtection="1" quotePrefix="1">
      <alignment horizontal="right" vertical="top"/>
      <protection/>
    </xf>
    <xf numFmtId="171" fontId="5" fillId="0" borderId="10" xfId="0" applyNumberFormat="1" applyFont="1" applyBorder="1" applyAlignment="1" applyProtection="1" quotePrefix="1">
      <alignment horizontal="right" vertical="top"/>
      <protection/>
    </xf>
    <xf numFmtId="2" fontId="7" fillId="0" borderId="21" xfId="0" applyNumberFormat="1" applyFont="1" applyBorder="1" applyAlignment="1" applyProtection="1" quotePrefix="1">
      <alignment horizontal="center" vertical="top"/>
      <protection/>
    </xf>
    <xf numFmtId="0" fontId="4" fillId="0" borderId="21" xfId="0" applyFont="1" applyBorder="1" applyAlignment="1">
      <alignment vertical="top"/>
    </xf>
    <xf numFmtId="0" fontId="4" fillId="0" borderId="12" xfId="0" applyFont="1" applyBorder="1" applyAlignment="1">
      <alignment vertical="top"/>
    </xf>
    <xf numFmtId="0" fontId="5" fillId="0" borderId="0" xfId="0" applyNumberFormat="1" applyFont="1" applyBorder="1" applyAlignment="1" applyProtection="1">
      <alignment horizontal="left" vertical="top"/>
      <protection/>
    </xf>
    <xf numFmtId="3" fontId="5" fillId="0" borderId="44" xfId="0" applyNumberFormat="1" applyFont="1" applyBorder="1" applyAlignment="1" applyProtection="1">
      <alignment/>
      <protection/>
    </xf>
    <xf numFmtId="0" fontId="10" fillId="0" borderId="45" xfId="0" applyFont="1" applyBorder="1" applyAlignment="1" applyProtection="1" quotePrefix="1">
      <alignment horizontal="right" wrapText="1"/>
      <protection/>
    </xf>
    <xf numFmtId="3" fontId="5" fillId="0" borderId="46" xfId="0" applyNumberFormat="1" applyFont="1" applyBorder="1" applyAlignment="1" applyProtection="1">
      <alignment/>
      <protection/>
    </xf>
    <xf numFmtId="2" fontId="14" fillId="0" borderId="21" xfId="0" applyNumberFormat="1" applyFont="1" applyBorder="1" applyAlignment="1" applyProtection="1" quotePrefix="1">
      <alignment horizontal="left" vertical="top"/>
      <protection/>
    </xf>
    <xf numFmtId="3" fontId="4" fillId="0" borderId="0" xfId="0" applyNumberFormat="1" applyFont="1" applyBorder="1" applyAlignment="1" applyProtection="1">
      <alignment horizontal="centerContinuous" vertical="top"/>
      <protection/>
    </xf>
    <xf numFmtId="3" fontId="4" fillId="0" borderId="12" xfId="0" applyNumberFormat="1" applyFont="1" applyBorder="1" applyAlignment="1" applyProtection="1">
      <alignment horizontal="centerContinuous" vertical="top"/>
      <protection/>
    </xf>
    <xf numFmtId="0" fontId="5" fillId="0" borderId="0" xfId="0" applyFont="1" applyBorder="1" applyAlignment="1">
      <alignment vertical="top"/>
    </xf>
    <xf numFmtId="3" fontId="5" fillId="0" borderId="0" xfId="0" applyNumberFormat="1" applyFont="1" applyBorder="1" applyAlignment="1" applyProtection="1">
      <alignment horizontal="centerContinuous" vertical="top"/>
      <protection/>
    </xf>
    <xf numFmtId="2" fontId="14" fillId="0" borderId="21" xfId="0" applyNumberFormat="1" applyFont="1" applyBorder="1" applyAlignment="1" applyProtection="1">
      <alignment horizontal="left" vertical="top"/>
      <protection/>
    </xf>
    <xf numFmtId="3" fontId="7" fillId="0" borderId="47" xfId="0" applyNumberFormat="1" applyFont="1" applyBorder="1" applyAlignment="1" applyProtection="1">
      <alignment horizontal="center"/>
      <protection/>
    </xf>
    <xf numFmtId="3" fontId="4" fillId="0" borderId="0" xfId="0" applyNumberFormat="1" applyFont="1" applyFill="1" applyBorder="1" applyAlignment="1" applyProtection="1">
      <alignment horizontal="right"/>
      <protection/>
    </xf>
    <xf numFmtId="0" fontId="3" fillId="0" borderId="0" xfId="0" applyFont="1" applyBorder="1" applyAlignment="1" applyProtection="1" quotePrefix="1">
      <alignment horizontal="left" vertical="top"/>
      <protection/>
    </xf>
    <xf numFmtId="0" fontId="3" fillId="0" borderId="21" xfId="0" applyFont="1" applyBorder="1" applyAlignment="1" applyProtection="1" quotePrefix="1">
      <alignment horizontal="center" vertical="top"/>
      <protection/>
    </xf>
    <xf numFmtId="10" fontId="12" fillId="0" borderId="0" xfId="0" applyNumberFormat="1" applyFont="1" applyBorder="1" applyAlignment="1" applyProtection="1" quotePrefix="1">
      <alignment/>
      <protection/>
    </xf>
    <xf numFmtId="3" fontId="4" fillId="0" borderId="12" xfId="0" applyNumberFormat="1" applyFont="1" applyFill="1" applyBorder="1" applyAlignment="1" applyProtection="1">
      <alignment/>
      <protection/>
    </xf>
    <xf numFmtId="0" fontId="5" fillId="0" borderId="38" xfId="0" applyFont="1" applyBorder="1" applyAlignment="1" applyProtection="1" quotePrefix="1">
      <alignment horizontal="right" vertical="top"/>
      <protection/>
    </xf>
    <xf numFmtId="0" fontId="4" fillId="0" borderId="38" xfId="0" applyFont="1" applyBorder="1" applyAlignment="1" applyProtection="1" quotePrefix="1">
      <alignment horizontal="left" vertical="top"/>
      <protection/>
    </xf>
    <xf numFmtId="3" fontId="15" fillId="0" borderId="16" xfId="0" applyNumberFormat="1" applyFont="1" applyBorder="1" applyAlignment="1" applyProtection="1">
      <alignment vertical="top"/>
      <protection/>
    </xf>
    <xf numFmtId="0" fontId="5" fillId="0" borderId="48" xfId="0" applyFont="1" applyBorder="1" applyAlignment="1" applyProtection="1">
      <alignment horizontal="center" vertical="top"/>
      <protection/>
    </xf>
    <xf numFmtId="3" fontId="4" fillId="0" borderId="49" xfId="0" applyNumberFormat="1" applyFont="1" applyBorder="1" applyAlignment="1" applyProtection="1">
      <alignment vertical="top"/>
      <protection/>
    </xf>
    <xf numFmtId="3" fontId="4" fillId="0" borderId="50" xfId="0" applyNumberFormat="1" applyFont="1" applyBorder="1" applyAlignment="1" applyProtection="1">
      <alignment vertical="top"/>
      <protection/>
    </xf>
    <xf numFmtId="3" fontId="4" fillId="0" borderId="0" xfId="0" applyNumberFormat="1" applyFont="1" applyBorder="1" applyAlignment="1" applyProtection="1" quotePrefix="1">
      <alignment/>
      <protection/>
    </xf>
    <xf numFmtId="3" fontId="12" fillId="0" borderId="12" xfId="0" applyNumberFormat="1" applyFont="1" applyBorder="1" applyAlignment="1" applyProtection="1">
      <alignment/>
      <protection/>
    </xf>
    <xf numFmtId="3" fontId="12" fillId="0" borderId="0" xfId="0" applyNumberFormat="1" applyFont="1" applyBorder="1" applyAlignment="1" applyProtection="1" quotePrefix="1">
      <alignment/>
      <protection/>
    </xf>
    <xf numFmtId="0" fontId="4" fillId="0" borderId="0" xfId="0" applyFont="1" applyBorder="1" applyAlignment="1" applyProtection="1">
      <alignment wrapText="1"/>
      <protection/>
    </xf>
    <xf numFmtId="0" fontId="12" fillId="0" borderId="0" xfId="0" applyFont="1" applyBorder="1" applyAlignment="1" applyProtection="1">
      <alignment/>
      <protection/>
    </xf>
    <xf numFmtId="171" fontId="12" fillId="0" borderId="0" xfId="0" applyNumberFormat="1" applyFont="1" applyBorder="1" applyAlignment="1" applyProtection="1">
      <alignment/>
      <protection/>
    </xf>
    <xf numFmtId="171" fontId="12" fillId="0" borderId="12" xfId="0" applyNumberFormat="1" applyFont="1" applyBorder="1" applyAlignment="1" applyProtection="1">
      <alignment/>
      <protection/>
    </xf>
    <xf numFmtId="3" fontId="4" fillId="0" borderId="12" xfId="0" applyNumberFormat="1" applyFont="1" applyFill="1" applyBorder="1" applyAlignment="1" applyProtection="1">
      <alignment/>
      <protection/>
    </xf>
    <xf numFmtId="0" fontId="19" fillId="0" borderId="0" xfId="58" applyFont="1">
      <alignment/>
      <protection/>
    </xf>
    <xf numFmtId="197" fontId="21" fillId="0" borderId="25" xfId="58" applyNumberFormat="1" applyFont="1" applyBorder="1" applyAlignment="1">
      <alignment/>
      <protection/>
    </xf>
    <xf numFmtId="0" fontId="19" fillId="0" borderId="0" xfId="58" applyFont="1" applyBorder="1">
      <alignment/>
      <protection/>
    </xf>
    <xf numFmtId="0" fontId="21" fillId="0" borderId="25" xfId="58" applyFont="1" applyBorder="1" applyAlignment="1">
      <alignment horizontal="left"/>
      <protection/>
    </xf>
    <xf numFmtId="198" fontId="21" fillId="0" borderId="18" xfId="58" applyNumberFormat="1" applyFont="1" applyBorder="1" applyAlignment="1">
      <alignment/>
      <protection/>
    </xf>
    <xf numFmtId="0" fontId="24" fillId="0" borderId="0" xfId="58" applyFont="1">
      <alignment/>
      <protection/>
    </xf>
    <xf numFmtId="0" fontId="4" fillId="0" borderId="0" xfId="0" applyFont="1" applyAlignment="1" applyProtection="1">
      <alignment horizontal="left" vertical="top"/>
      <protection locked="0"/>
    </xf>
    <xf numFmtId="1" fontId="4" fillId="0" borderId="0" xfId="0" applyNumberFormat="1" applyFont="1" applyAlignment="1" applyProtection="1">
      <alignment horizontal="left" vertical="top"/>
      <protection locked="0"/>
    </xf>
    <xf numFmtId="0" fontId="19" fillId="0" borderId="0" xfId="57" applyFont="1">
      <alignment/>
      <protection/>
    </xf>
    <xf numFmtId="0" fontId="26" fillId="0" borderId="0" xfId="0" applyFont="1" applyAlignment="1">
      <alignment/>
    </xf>
    <xf numFmtId="3" fontId="3" fillId="0" borderId="0" xfId="0" applyNumberFormat="1" applyFont="1" applyBorder="1" applyAlignment="1" applyProtection="1" quotePrefix="1">
      <alignment/>
      <protection/>
    </xf>
    <xf numFmtId="0" fontId="25" fillId="0" borderId="0" xfId="57" applyFont="1" applyAlignment="1">
      <alignment horizontal="right"/>
      <protection/>
    </xf>
    <xf numFmtId="3" fontId="4" fillId="0" borderId="0" xfId="0" applyNumberFormat="1" applyFont="1" applyFill="1" applyBorder="1" applyAlignment="1" applyProtection="1">
      <alignment horizontal="right" vertical="top"/>
      <protection/>
    </xf>
    <xf numFmtId="3" fontId="4" fillId="0" borderId="0" xfId="0" applyNumberFormat="1" applyFont="1" applyFill="1" applyBorder="1" applyAlignment="1" applyProtection="1">
      <alignment/>
      <protection/>
    </xf>
    <xf numFmtId="3" fontId="4" fillId="0" borderId="0" xfId="0" applyNumberFormat="1" applyFont="1" applyFill="1" applyBorder="1" applyAlignment="1" applyProtection="1" quotePrefix="1">
      <alignment/>
      <protection/>
    </xf>
    <xf numFmtId="0" fontId="12" fillId="0" borderId="0" xfId="0" applyFont="1" applyFill="1" applyBorder="1" applyAlignment="1" applyProtection="1">
      <alignment/>
      <protection/>
    </xf>
    <xf numFmtId="3" fontId="12" fillId="0" borderId="0" xfId="0" applyNumberFormat="1" applyFont="1" applyFill="1" applyBorder="1" applyAlignment="1" applyProtection="1">
      <alignment/>
      <protection/>
    </xf>
    <xf numFmtId="3" fontId="12" fillId="0" borderId="12" xfId="0" applyNumberFormat="1" applyFont="1" applyFill="1" applyBorder="1" applyAlignment="1" applyProtection="1">
      <alignment/>
      <protection/>
    </xf>
    <xf numFmtId="3" fontId="4" fillId="0" borderId="0" xfId="0" applyNumberFormat="1" applyFont="1" applyFill="1" applyBorder="1" applyAlignment="1" applyProtection="1" quotePrefix="1">
      <alignment horizontal="right"/>
      <protection/>
    </xf>
    <xf numFmtId="3" fontId="13" fillId="0" borderId="12" xfId="0" applyNumberFormat="1" applyFont="1" applyFill="1" applyBorder="1" applyAlignment="1" applyProtection="1">
      <alignment/>
      <protection/>
    </xf>
    <xf numFmtId="0" fontId="5" fillId="0" borderId="21" xfId="0" applyFont="1" applyFill="1" applyBorder="1" applyAlignment="1" applyProtection="1">
      <alignment horizontal="center"/>
      <protection/>
    </xf>
    <xf numFmtId="0" fontId="5" fillId="0" borderId="0" xfId="0" applyFont="1" applyFill="1" applyBorder="1" applyAlignment="1" applyProtection="1">
      <alignment/>
      <protection/>
    </xf>
    <xf numFmtId="3" fontId="5" fillId="0" borderId="0" xfId="0" applyNumberFormat="1" applyFont="1" applyFill="1" applyBorder="1" applyAlignment="1" applyProtection="1">
      <alignment/>
      <protection/>
    </xf>
    <xf numFmtId="0" fontId="8" fillId="0" borderId="22" xfId="0" applyFont="1" applyFill="1" applyBorder="1" applyAlignment="1" applyProtection="1">
      <alignment horizontal="center"/>
      <protection/>
    </xf>
    <xf numFmtId="0" fontId="3" fillId="0" borderId="10" xfId="0" applyFont="1" applyFill="1" applyBorder="1" applyAlignment="1" applyProtection="1">
      <alignment horizontal="left" vertical="top"/>
      <protection/>
    </xf>
    <xf numFmtId="3" fontId="3" fillId="0" borderId="10" xfId="0" applyNumberFormat="1" applyFont="1" applyFill="1" applyBorder="1" applyAlignment="1" applyProtection="1" quotePrefix="1">
      <alignment/>
      <protection/>
    </xf>
    <xf numFmtId="2" fontId="7" fillId="0" borderId="0" xfId="0" applyNumberFormat="1" applyFont="1" applyBorder="1" applyAlignment="1" applyProtection="1" quotePrefix="1">
      <alignment horizontal="center" vertical="top"/>
      <protection/>
    </xf>
    <xf numFmtId="3" fontId="5" fillId="0" borderId="26" xfId="0" applyNumberFormat="1" applyFont="1" applyBorder="1" applyAlignment="1" applyProtection="1">
      <alignment/>
      <protection/>
    </xf>
    <xf numFmtId="3" fontId="5" fillId="0" borderId="10" xfId="0" applyNumberFormat="1" applyFont="1" applyBorder="1" applyAlignment="1" applyProtection="1">
      <alignment horizontal="center"/>
      <protection/>
    </xf>
    <xf numFmtId="3" fontId="27" fillId="0" borderId="0" xfId="0" applyNumberFormat="1" applyFont="1" applyBorder="1" applyAlignment="1" applyProtection="1">
      <alignment vertical="top"/>
      <protection/>
    </xf>
    <xf numFmtId="3" fontId="27" fillId="0" borderId="0" xfId="0" applyNumberFormat="1" applyFont="1" applyBorder="1" applyAlignment="1" applyProtection="1">
      <alignment horizontal="right" vertical="top"/>
      <protection/>
    </xf>
    <xf numFmtId="171" fontId="5" fillId="0" borderId="0" xfId="0" applyNumberFormat="1" applyFont="1" applyFill="1" applyBorder="1" applyAlignment="1" applyProtection="1">
      <alignment vertical="top"/>
      <protection/>
    </xf>
    <xf numFmtId="171" fontId="5" fillId="0" borderId="10" xfId="0" applyNumberFormat="1" applyFont="1" applyFill="1" applyBorder="1" applyAlignment="1" applyProtection="1">
      <alignment vertical="top"/>
      <protection/>
    </xf>
    <xf numFmtId="2" fontId="5" fillId="0" borderId="38" xfId="0" applyNumberFormat="1" applyFont="1" applyBorder="1" applyAlignment="1" applyProtection="1">
      <alignment horizontal="left" vertical="top"/>
      <protection/>
    </xf>
    <xf numFmtId="3" fontId="12" fillId="0" borderId="38" xfId="0" applyNumberFormat="1" applyFont="1" applyBorder="1" applyAlignment="1" applyProtection="1">
      <alignment vertical="top"/>
      <protection/>
    </xf>
    <xf numFmtId="3" fontId="15" fillId="0" borderId="0" xfId="0" applyNumberFormat="1" applyFont="1" applyBorder="1" applyAlignment="1" applyProtection="1">
      <alignment horizontal="left" vertical="top"/>
      <protection/>
    </xf>
    <xf numFmtId="183" fontId="5" fillId="0" borderId="21" xfId="0" applyNumberFormat="1" applyFont="1" applyBorder="1" applyAlignment="1" applyProtection="1" quotePrefix="1">
      <alignment horizontal="left" vertical="top"/>
      <protection/>
    </xf>
    <xf numFmtId="3" fontId="5" fillId="0" borderId="51" xfId="0" applyNumberFormat="1" applyFont="1" applyBorder="1" applyAlignment="1" applyProtection="1">
      <alignment vertical="top"/>
      <protection/>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right" vertical="top"/>
      <protection/>
    </xf>
    <xf numFmtId="3" fontId="9" fillId="0" borderId="0" xfId="0" applyNumberFormat="1"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left" vertical="top"/>
      <protection/>
    </xf>
    <xf numFmtId="3" fontId="5" fillId="0" borderId="0" xfId="0" applyNumberFormat="1" applyFont="1" applyFill="1" applyBorder="1" applyAlignment="1" applyProtection="1">
      <alignment horizontal="center" vertical="top"/>
      <protection/>
    </xf>
    <xf numFmtId="3" fontId="5" fillId="0" borderId="0" xfId="0" applyNumberFormat="1" applyFont="1" applyFill="1" applyBorder="1" applyAlignment="1" applyProtection="1">
      <alignment horizontal="right" vertical="top"/>
      <protection/>
    </xf>
    <xf numFmtId="190" fontId="2" fillId="0" borderId="0" xfId="0" applyNumberFormat="1" applyFont="1" applyFill="1" applyBorder="1" applyAlignment="1" applyProtection="1">
      <alignment horizontal="right" vertical="top"/>
      <protection locked="0"/>
    </xf>
    <xf numFmtId="0" fontId="7" fillId="0" borderId="10" xfId="0" applyFont="1" applyFill="1" applyBorder="1" applyAlignment="1" applyProtection="1" quotePrefix="1">
      <alignment horizontal="left" vertical="top"/>
      <protection/>
    </xf>
    <xf numFmtId="3" fontId="5" fillId="0" borderId="10" xfId="0" applyNumberFormat="1" applyFont="1" applyFill="1" applyBorder="1" applyAlignment="1" applyProtection="1">
      <alignment horizontal="right" vertical="top"/>
      <protection/>
    </xf>
    <xf numFmtId="190" fontId="2" fillId="0" borderId="10" xfId="0" applyNumberFormat="1" applyFont="1" applyFill="1" applyBorder="1" applyAlignment="1" applyProtection="1">
      <alignment horizontal="right" vertical="top"/>
      <protection/>
    </xf>
    <xf numFmtId="3" fontId="4" fillId="0" borderId="10" xfId="0" applyNumberFormat="1" applyFont="1" applyFill="1" applyBorder="1" applyAlignment="1" applyProtection="1">
      <alignment horizontal="left" vertical="top"/>
      <protection/>
    </xf>
    <xf numFmtId="3" fontId="7" fillId="0" borderId="10" xfId="0" applyNumberFormat="1" applyFont="1" applyFill="1" applyBorder="1" applyAlignment="1" applyProtection="1">
      <alignment horizontal="center" vertical="top"/>
      <protection/>
    </xf>
    <xf numFmtId="2" fontId="5" fillId="0" borderId="24" xfId="0" applyNumberFormat="1" applyFont="1" applyFill="1" applyBorder="1" applyAlignment="1" applyProtection="1" quotePrefix="1">
      <alignment horizontal="center" vertical="top"/>
      <protection/>
    </xf>
    <xf numFmtId="2" fontId="4" fillId="0" borderId="0" xfId="0" applyNumberFormat="1" applyFont="1" applyFill="1" applyBorder="1" applyAlignment="1" applyProtection="1">
      <alignment vertical="top"/>
      <protection/>
    </xf>
    <xf numFmtId="2" fontId="5" fillId="0" borderId="0" xfId="0" applyNumberFormat="1" applyFont="1" applyFill="1" applyBorder="1" applyAlignment="1" applyProtection="1">
      <alignment vertical="top"/>
      <protection/>
    </xf>
    <xf numFmtId="3" fontId="4" fillId="0" borderId="0" xfId="0" applyNumberFormat="1" applyFont="1" applyFill="1" applyBorder="1" applyAlignment="1" applyProtection="1">
      <alignment horizontal="center" vertical="top"/>
      <protection/>
    </xf>
    <xf numFmtId="3" fontId="4" fillId="0" borderId="12" xfId="0" applyNumberFormat="1" applyFont="1" applyFill="1" applyBorder="1" applyAlignment="1" applyProtection="1">
      <alignment horizontal="center" vertical="top"/>
      <protection/>
    </xf>
    <xf numFmtId="3" fontId="5" fillId="0" borderId="12" xfId="0" applyNumberFormat="1"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0" xfId="0" applyFont="1" applyFill="1" applyAlignment="1" applyProtection="1">
      <alignment horizontal="left" vertical="top"/>
      <protection/>
    </xf>
    <xf numFmtId="10" fontId="2" fillId="0" borderId="0" xfId="0" applyNumberFormat="1" applyFont="1" applyFill="1" applyBorder="1" applyAlignment="1" applyProtection="1">
      <alignment horizontal="center" vertical="top"/>
      <protection locked="0"/>
    </xf>
    <xf numFmtId="3" fontId="2" fillId="0" borderId="0" xfId="0" applyNumberFormat="1" applyFont="1" applyFill="1" applyBorder="1" applyAlignment="1" applyProtection="1">
      <alignment vertical="top"/>
      <protection locked="0"/>
    </xf>
    <xf numFmtId="3" fontId="2" fillId="0" borderId="11" xfId="0" applyNumberFormat="1" applyFont="1" applyFill="1" applyBorder="1" applyAlignment="1" applyProtection="1">
      <alignment vertical="top"/>
      <protection locked="0"/>
    </xf>
    <xf numFmtId="2" fontId="5" fillId="0" borderId="0" xfId="0" applyNumberFormat="1" applyFont="1" applyFill="1" applyBorder="1" applyAlignment="1" applyProtection="1" quotePrefix="1">
      <alignment horizontal="right" vertical="top"/>
      <protection/>
    </xf>
    <xf numFmtId="2" fontId="10" fillId="0" borderId="0" xfId="0" applyNumberFormat="1" applyFont="1" applyFill="1" applyBorder="1" applyAlignment="1" applyProtection="1" quotePrefix="1">
      <alignment horizontal="right" vertical="top"/>
      <protection/>
    </xf>
    <xf numFmtId="3" fontId="5" fillId="0" borderId="0" xfId="0" applyNumberFormat="1" applyFont="1" applyFill="1" applyBorder="1" applyAlignment="1" applyProtection="1">
      <alignment vertical="top"/>
      <protection/>
    </xf>
    <xf numFmtId="182" fontId="5" fillId="0" borderId="0" xfId="0" applyNumberFormat="1" applyFont="1" applyFill="1" applyBorder="1" applyAlignment="1" applyProtection="1" quotePrefix="1">
      <alignment horizontal="right" vertical="top"/>
      <protection/>
    </xf>
    <xf numFmtId="2" fontId="5" fillId="0" borderId="0" xfId="0" applyNumberFormat="1" applyFont="1" applyFill="1" applyBorder="1" applyAlignment="1" applyProtection="1">
      <alignment horizontal="right" vertical="top"/>
      <protection/>
    </xf>
    <xf numFmtId="2" fontId="10" fillId="0" borderId="0" xfId="0" applyNumberFormat="1" applyFont="1" applyFill="1" applyBorder="1" applyAlignment="1" applyProtection="1">
      <alignment horizontal="right" vertical="top"/>
      <protection/>
    </xf>
    <xf numFmtId="0" fontId="5" fillId="0" borderId="0" xfId="0" applyFont="1" applyFill="1" applyAlignment="1" applyProtection="1">
      <alignment vertical="top"/>
      <protection/>
    </xf>
    <xf numFmtId="0" fontId="0" fillId="0" borderId="0" xfId="0" applyFill="1" applyAlignment="1">
      <alignment/>
    </xf>
    <xf numFmtId="3" fontId="7" fillId="0" borderId="0" xfId="0" applyNumberFormat="1" applyFont="1" applyFill="1" applyBorder="1" applyAlignment="1" applyProtection="1">
      <alignment horizontal="center" vertical="top"/>
      <protection/>
    </xf>
    <xf numFmtId="3" fontId="4" fillId="0" borderId="0" xfId="0" applyNumberFormat="1" applyFont="1" applyFill="1" applyBorder="1" applyAlignment="1" applyProtection="1">
      <alignment/>
      <protection/>
    </xf>
    <xf numFmtId="3" fontId="5" fillId="0" borderId="12" xfId="0" applyNumberFormat="1" applyFont="1" applyFill="1" applyBorder="1" applyAlignment="1" applyProtection="1">
      <alignment/>
      <protection/>
    </xf>
    <xf numFmtId="0" fontId="4" fillId="0" borderId="0" xfId="0" applyFont="1" applyFill="1" applyBorder="1" applyAlignment="1" applyProtection="1" quotePrefix="1">
      <alignment horizontal="left"/>
      <protection/>
    </xf>
    <xf numFmtId="3" fontId="5" fillId="0" borderId="0" xfId="61" applyNumberFormat="1" applyFont="1" applyFill="1" applyBorder="1" applyAlignment="1" applyProtection="1">
      <alignment/>
      <protection/>
    </xf>
    <xf numFmtId="3" fontId="2" fillId="0" borderId="0" xfId="0" applyNumberFormat="1" applyFont="1" applyFill="1" applyBorder="1" applyAlignment="1" applyProtection="1">
      <alignment horizontal="left" vertical="top"/>
      <protection locked="0"/>
    </xf>
    <xf numFmtId="0" fontId="19" fillId="0" borderId="0" xfId="58" applyFont="1" applyFill="1">
      <alignment/>
      <protection/>
    </xf>
    <xf numFmtId="2" fontId="2" fillId="0" borderId="0" xfId="0" applyNumberFormat="1" applyFont="1" applyFill="1" applyBorder="1" applyAlignment="1" applyProtection="1">
      <alignment horizontal="center" vertical="top"/>
      <protection locked="0"/>
    </xf>
    <xf numFmtId="0" fontId="30" fillId="0" borderId="0" xfId="58" applyFont="1">
      <alignment/>
      <protection/>
    </xf>
    <xf numFmtId="0" fontId="31" fillId="0" borderId="0" xfId="58" applyFont="1">
      <alignment/>
      <protection/>
    </xf>
    <xf numFmtId="0" fontId="31" fillId="0" borderId="0" xfId="58" applyFont="1" applyAlignment="1">
      <alignment/>
      <protection/>
    </xf>
    <xf numFmtId="0" fontId="32" fillId="0" borderId="0" xfId="57" applyFont="1">
      <alignment/>
      <protection/>
    </xf>
    <xf numFmtId="0" fontId="32" fillId="0" borderId="0" xfId="0" applyFont="1" applyAlignment="1">
      <alignment/>
    </xf>
    <xf numFmtId="0" fontId="4" fillId="0" borderId="0" xfId="57" applyFont="1">
      <alignment/>
      <protection/>
    </xf>
    <xf numFmtId="0" fontId="4" fillId="0" borderId="0" xfId="57" applyFont="1" applyAlignment="1">
      <alignment/>
      <protection/>
    </xf>
    <xf numFmtId="0" fontId="4" fillId="0" borderId="0" xfId="0" applyFont="1" applyAlignment="1">
      <alignment/>
    </xf>
    <xf numFmtId="14" fontId="2" fillId="0" borderId="0" xfId="58" applyNumberFormat="1" applyFont="1" applyFill="1" applyAlignment="1" applyProtection="1">
      <alignment horizontal="center"/>
      <protection locked="0"/>
    </xf>
    <xf numFmtId="0" fontId="24" fillId="0" borderId="0" xfId="58" applyFont="1" applyAlignment="1">
      <alignment/>
      <protection/>
    </xf>
    <xf numFmtId="0" fontId="2" fillId="0" borderId="52" xfId="0" applyFont="1" applyBorder="1" applyAlignment="1" applyProtection="1">
      <alignment/>
      <protection locked="0"/>
    </xf>
    <xf numFmtId="0" fontId="2" fillId="0" borderId="52" xfId="0" applyFont="1" applyBorder="1" applyAlignment="1">
      <alignment/>
    </xf>
    <xf numFmtId="0" fontId="4" fillId="0" borderId="0" xfId="0" applyFont="1" applyAlignment="1">
      <alignment horizontal="right"/>
    </xf>
    <xf numFmtId="0" fontId="21" fillId="0" borderId="25" xfId="58" applyFont="1" applyBorder="1" applyAlignment="1" applyProtection="1">
      <alignment horizontal="left"/>
      <protection locked="0"/>
    </xf>
    <xf numFmtId="0" fontId="5" fillId="0" borderId="0" xfId="0" applyFont="1" applyFill="1" applyBorder="1" applyAlignment="1" applyProtection="1" quotePrefix="1">
      <alignment horizontal="left"/>
      <protection/>
    </xf>
    <xf numFmtId="0" fontId="5" fillId="0" borderId="10" xfId="0" applyFont="1" applyFill="1" applyBorder="1" applyAlignment="1" applyProtection="1" quotePrefix="1">
      <alignment horizontal="left"/>
      <protection/>
    </xf>
    <xf numFmtId="3" fontId="5" fillId="0" borderId="10" xfId="0" applyNumberFormat="1" applyFont="1" applyFill="1" applyBorder="1" applyAlignment="1" applyProtection="1">
      <alignment/>
      <protection/>
    </xf>
    <xf numFmtId="0" fontId="3" fillId="0" borderId="0" xfId="57" applyFont="1">
      <alignment/>
      <protection/>
    </xf>
    <xf numFmtId="3" fontId="5" fillId="0" borderId="0" xfId="0" applyNumberFormat="1" applyFont="1" applyFill="1" applyBorder="1" applyAlignment="1" applyProtection="1" quotePrefix="1">
      <alignment horizontal="left" vertical="top"/>
      <protection/>
    </xf>
    <xf numFmtId="3" fontId="2" fillId="0" borderId="0" xfId="0" applyNumberFormat="1" applyFont="1" applyFill="1" applyBorder="1" applyAlignment="1" applyProtection="1">
      <alignment horizontal="center" vertical="top"/>
      <protection locked="0"/>
    </xf>
    <xf numFmtId="3" fontId="2" fillId="0" borderId="12" xfId="0" applyNumberFormat="1" applyFont="1" applyFill="1" applyBorder="1" applyAlignment="1" applyProtection="1">
      <alignment horizontal="center" vertical="top"/>
      <protection locked="0"/>
    </xf>
    <xf numFmtId="0" fontId="33" fillId="0" borderId="0" xfId="0" applyFont="1" applyAlignment="1">
      <alignment horizontal="center"/>
    </xf>
    <xf numFmtId="0" fontId="4" fillId="0" borderId="0" xfId="57" applyFont="1">
      <alignment/>
      <protection/>
    </xf>
    <xf numFmtId="2" fontId="15" fillId="0" borderId="0" xfId="0" applyNumberFormat="1" applyFont="1" applyBorder="1" applyAlignment="1" applyProtection="1" quotePrefix="1">
      <alignment horizontal="left" vertical="top"/>
      <protection/>
    </xf>
    <xf numFmtId="2" fontId="15" fillId="0" borderId="38" xfId="0" applyNumberFormat="1" applyFont="1" applyBorder="1" applyAlignment="1" applyProtection="1">
      <alignment horizontal="left" vertical="top"/>
      <protection/>
    </xf>
    <xf numFmtId="3" fontId="2" fillId="0" borderId="0" xfId="0" applyNumberFormat="1" applyFont="1" applyBorder="1" applyAlignment="1" applyProtection="1">
      <alignment horizontal="center" vertical="top"/>
      <protection locked="0"/>
    </xf>
    <xf numFmtId="1" fontId="9" fillId="0" borderId="12" xfId="0" applyNumberFormat="1" applyFont="1" applyBorder="1" applyAlignment="1" applyProtection="1">
      <alignment vertical="top"/>
      <protection/>
    </xf>
    <xf numFmtId="0" fontId="5" fillId="0" borderId="10" xfId="0" applyFont="1" applyBorder="1" applyAlignment="1" applyProtection="1">
      <alignment horizontal="center" vertical="top"/>
      <protection/>
    </xf>
    <xf numFmtId="3" fontId="4" fillId="0" borderId="10" xfId="0" applyNumberFormat="1" applyFont="1" applyBorder="1" applyAlignment="1" applyProtection="1">
      <alignment horizontal="center" vertical="top"/>
      <protection/>
    </xf>
    <xf numFmtId="2" fontId="15" fillId="0" borderId="21" xfId="0" applyNumberFormat="1" applyFont="1" applyBorder="1" applyAlignment="1" applyProtection="1">
      <alignment horizontal="left" vertical="top"/>
      <protection/>
    </xf>
    <xf numFmtId="0" fontId="5" fillId="0" borderId="24" xfId="0" applyFont="1" applyBorder="1" applyAlignment="1" applyProtection="1">
      <alignment/>
      <protection/>
    </xf>
    <xf numFmtId="1" fontId="4" fillId="0" borderId="39" xfId="0" applyNumberFormat="1" applyFont="1" applyBorder="1" applyAlignment="1" applyProtection="1">
      <alignment horizontal="center"/>
      <protection/>
    </xf>
    <xf numFmtId="1" fontId="5" fillId="0" borderId="39" xfId="0" applyNumberFormat="1" applyFont="1" applyBorder="1" applyAlignment="1" applyProtection="1">
      <alignment horizontal="center"/>
      <protection/>
    </xf>
    <xf numFmtId="2" fontId="9" fillId="0" borderId="0" xfId="0" applyNumberFormat="1" applyFont="1" applyBorder="1" applyAlignment="1" applyProtection="1">
      <alignment horizontal="center" vertical="top"/>
      <protection/>
    </xf>
    <xf numFmtId="183" fontId="5" fillId="0" borderId="0" xfId="0" applyNumberFormat="1" applyFont="1" applyBorder="1" applyAlignment="1" applyProtection="1">
      <alignment horizontal="center" vertical="top"/>
      <protection/>
    </xf>
    <xf numFmtId="183" fontId="5" fillId="0" borderId="0" xfId="0" applyNumberFormat="1" applyFont="1" applyBorder="1" applyAlignment="1" applyProtection="1" quotePrefix="1">
      <alignment horizontal="center" vertical="top"/>
      <protection/>
    </xf>
    <xf numFmtId="2" fontId="4" fillId="0" borderId="0" xfId="0" applyNumberFormat="1" applyFont="1" applyBorder="1" applyAlignment="1" applyProtection="1">
      <alignment horizontal="center" vertical="top"/>
      <protection/>
    </xf>
    <xf numFmtId="2" fontId="4" fillId="0" borderId="0" xfId="0" applyNumberFormat="1" applyFont="1" applyBorder="1" applyAlignment="1" applyProtection="1" quotePrefix="1">
      <alignment horizontal="center" vertical="top"/>
      <protection/>
    </xf>
    <xf numFmtId="2" fontId="4" fillId="0" borderId="0" xfId="0" applyNumberFormat="1" applyFont="1" applyFill="1" applyBorder="1" applyAlignment="1" applyProtection="1">
      <alignment horizontal="center" vertical="top"/>
      <protection/>
    </xf>
    <xf numFmtId="3" fontId="9" fillId="0" borderId="0" xfId="0" applyNumberFormat="1" applyFont="1" applyBorder="1" applyAlignment="1" applyProtection="1">
      <alignment horizontal="center" vertical="top"/>
      <protection/>
    </xf>
    <xf numFmtId="2" fontId="14" fillId="0" borderId="38" xfId="0" applyNumberFormat="1" applyFont="1" applyBorder="1" applyAlignment="1" applyProtection="1" quotePrefix="1">
      <alignment horizontal="left" vertical="top"/>
      <protection/>
    </xf>
    <xf numFmtId="174" fontId="2" fillId="0" borderId="38" xfId="0" applyNumberFormat="1" applyFont="1" applyBorder="1" applyAlignment="1" applyProtection="1">
      <alignment vertical="top"/>
      <protection locked="0"/>
    </xf>
    <xf numFmtId="3" fontId="11" fillId="0" borderId="16" xfId="0" applyNumberFormat="1" applyFont="1" applyBorder="1" applyAlignment="1" applyProtection="1">
      <alignment horizontal="left" vertical="top"/>
      <protection/>
    </xf>
    <xf numFmtId="3" fontId="5" fillId="0" borderId="16" xfId="0" applyNumberFormat="1" applyFont="1" applyBorder="1" applyAlignment="1" applyProtection="1">
      <alignment horizontal="center" vertical="top"/>
      <protection locked="0"/>
    </xf>
    <xf numFmtId="0" fontId="10" fillId="0" borderId="21" xfId="0" applyFont="1" applyBorder="1" applyAlignment="1" applyProtection="1">
      <alignment horizontal="left" vertical="top"/>
      <protection/>
    </xf>
    <xf numFmtId="0" fontId="10" fillId="0" borderId="0" xfId="0" applyFont="1" applyBorder="1" applyAlignment="1" applyProtection="1">
      <alignment horizontal="center" vertical="top"/>
      <protection/>
    </xf>
    <xf numFmtId="0" fontId="5" fillId="0" borderId="10" xfId="0" applyFont="1" applyBorder="1" applyAlignment="1" applyProtection="1" quotePrefix="1">
      <alignment horizontal="center" vertical="top"/>
      <protection/>
    </xf>
    <xf numFmtId="0" fontId="5" fillId="0" borderId="21" xfId="0" applyFont="1" applyBorder="1" applyAlignment="1" applyProtection="1" quotePrefix="1">
      <alignment vertical="top"/>
      <protection/>
    </xf>
    <xf numFmtId="0" fontId="5" fillId="0" borderId="22" xfId="0" applyFont="1" applyBorder="1" applyAlignment="1" applyProtection="1" quotePrefix="1">
      <alignment vertical="top"/>
      <protection/>
    </xf>
    <xf numFmtId="3" fontId="2" fillId="0" borderId="0" xfId="0" applyNumberFormat="1" applyFont="1" applyFill="1" applyBorder="1" applyAlignment="1" applyProtection="1">
      <alignment vertical="top"/>
      <protection/>
    </xf>
    <xf numFmtId="3" fontId="2" fillId="0" borderId="12" xfId="0" applyNumberFormat="1" applyFont="1" applyFill="1" applyBorder="1" applyAlignment="1" applyProtection="1">
      <alignment vertical="top"/>
      <protection/>
    </xf>
    <xf numFmtId="2" fontId="14" fillId="0" borderId="20" xfId="0" applyNumberFormat="1" applyFont="1" applyBorder="1" applyAlignment="1" applyProtection="1" quotePrefix="1">
      <alignment horizontal="left" vertical="top"/>
      <protection/>
    </xf>
    <xf numFmtId="0" fontId="3" fillId="0" borderId="16" xfId="0" applyFont="1" applyBorder="1" applyAlignment="1">
      <alignment vertical="top"/>
    </xf>
    <xf numFmtId="0" fontId="5" fillId="0" borderId="29" xfId="0" applyFont="1" applyBorder="1" applyAlignment="1" applyProtection="1">
      <alignment horizontal="centerContinuous"/>
      <protection/>
    </xf>
    <xf numFmtId="3" fontId="11" fillId="0" borderId="20" xfId="0" applyNumberFormat="1" applyFont="1" applyBorder="1" applyAlignment="1" applyProtection="1" quotePrefix="1">
      <alignment horizontal="left" vertical="top"/>
      <protection/>
    </xf>
    <xf numFmtId="2" fontId="5" fillId="0" borderId="13" xfId="0" applyNumberFormat="1" applyFont="1" applyBorder="1" applyAlignment="1" applyProtection="1" quotePrefix="1">
      <alignment horizontal="left" vertical="top"/>
      <protection/>
    </xf>
    <xf numFmtId="2" fontId="14" fillId="0" borderId="16" xfId="0" applyNumberFormat="1" applyFont="1" applyBorder="1" applyAlignment="1" applyProtection="1" quotePrefix="1">
      <alignment horizontal="left" vertical="top"/>
      <protection/>
    </xf>
    <xf numFmtId="3" fontId="11" fillId="0" borderId="16" xfId="0" applyNumberFormat="1" applyFont="1" applyBorder="1" applyAlignment="1" applyProtection="1" quotePrefix="1">
      <alignment horizontal="left" vertical="top"/>
      <protection/>
    </xf>
    <xf numFmtId="3" fontId="5" fillId="0" borderId="10" xfId="0" applyNumberFormat="1" applyFont="1" applyFill="1" applyBorder="1" applyAlignment="1" applyProtection="1">
      <alignment horizontal="center" vertical="top"/>
      <protection/>
    </xf>
    <xf numFmtId="3" fontId="5" fillId="0" borderId="15" xfId="0" applyNumberFormat="1" applyFont="1" applyFill="1" applyBorder="1" applyAlignment="1" applyProtection="1">
      <alignment horizontal="center" vertical="top"/>
      <protection/>
    </xf>
    <xf numFmtId="0" fontId="7" fillId="0" borderId="0" xfId="0" applyFont="1" applyBorder="1" applyAlignment="1" applyProtection="1">
      <alignment horizontal="left" vertical="top"/>
      <protection/>
    </xf>
    <xf numFmtId="0" fontId="7" fillId="0" borderId="0" xfId="0" applyFont="1" applyFill="1" applyBorder="1" applyAlignment="1" applyProtection="1" quotePrefix="1">
      <alignment horizontal="left" vertical="top"/>
      <protection/>
    </xf>
    <xf numFmtId="190" fontId="2" fillId="0" borderId="0" xfId="0" applyNumberFormat="1" applyFont="1" applyFill="1" applyBorder="1" applyAlignment="1" applyProtection="1">
      <alignment horizontal="right" vertical="top"/>
      <protection/>
    </xf>
    <xf numFmtId="3" fontId="4" fillId="0" borderId="0" xfId="0" applyNumberFormat="1" applyFont="1" applyFill="1" applyBorder="1" applyAlignment="1" applyProtection="1">
      <alignment horizontal="left" vertical="top"/>
      <protection/>
    </xf>
    <xf numFmtId="2" fontId="7" fillId="0" borderId="22" xfId="0" applyNumberFormat="1" applyFont="1" applyBorder="1" applyAlignment="1" applyProtection="1" quotePrefix="1">
      <alignment horizontal="center" vertical="top"/>
      <protection/>
    </xf>
    <xf numFmtId="3" fontId="5" fillId="0" borderId="10" xfId="0" applyNumberFormat="1" applyFont="1" applyBorder="1" applyAlignment="1" applyProtection="1" quotePrefix="1">
      <alignment horizontal="left" vertical="top"/>
      <protection/>
    </xf>
    <xf numFmtId="0" fontId="5" fillId="0" borderId="0" xfId="0" applyFont="1" applyFill="1" applyAlignment="1" applyProtection="1">
      <alignment horizontal="center" vertical="top"/>
      <protection/>
    </xf>
    <xf numFmtId="2" fontId="14" fillId="0" borderId="0" xfId="0" applyNumberFormat="1" applyFont="1" applyBorder="1" applyAlignment="1" applyProtection="1" quotePrefix="1">
      <alignment horizontal="left" vertical="top"/>
      <protection/>
    </xf>
    <xf numFmtId="49" fontId="2" fillId="0" borderId="0" xfId="0" applyNumberFormat="1" applyFont="1" applyFill="1" applyBorder="1" applyAlignment="1">
      <alignment horizontal="center" vertical="top"/>
    </xf>
    <xf numFmtId="2" fontId="15" fillId="0" borderId="21" xfId="0" applyNumberFormat="1" applyFont="1" applyFill="1" applyBorder="1" applyAlignment="1" applyProtection="1" quotePrefix="1">
      <alignment horizontal="left" vertical="top"/>
      <protection/>
    </xf>
    <xf numFmtId="2" fontId="11"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right" vertical="top"/>
      <protection/>
    </xf>
    <xf numFmtId="3" fontId="4" fillId="0" borderId="25" xfId="0" applyNumberFormat="1" applyFont="1" applyFill="1" applyBorder="1" applyAlignment="1" applyProtection="1">
      <alignment horizontal="centerContinuous" vertical="top"/>
      <protection/>
    </xf>
    <xf numFmtId="1" fontId="10" fillId="0" borderId="0" xfId="0" applyNumberFormat="1" applyFont="1" applyFill="1" applyBorder="1" applyAlignment="1" applyProtection="1">
      <alignment vertical="top"/>
      <protection/>
    </xf>
    <xf numFmtId="1" fontId="10" fillId="0" borderId="12" xfId="0" applyNumberFormat="1" applyFont="1" applyFill="1" applyBorder="1" applyAlignment="1" applyProtection="1">
      <alignment vertical="top"/>
      <protection/>
    </xf>
    <xf numFmtId="3" fontId="4" fillId="0" borderId="0" xfId="0" applyNumberFormat="1" applyFont="1" applyFill="1" applyBorder="1" applyAlignment="1" applyProtection="1">
      <alignment horizontal="centerContinuous" vertical="top"/>
      <protection/>
    </xf>
    <xf numFmtId="4" fontId="2" fillId="0" borderId="0" xfId="0" applyNumberFormat="1" applyFont="1" applyFill="1" applyBorder="1" applyAlignment="1" applyProtection="1">
      <alignment vertical="top"/>
      <protection locked="0"/>
    </xf>
    <xf numFmtId="3" fontId="3" fillId="0" borderId="53" xfId="0" applyNumberFormat="1" applyFont="1" applyBorder="1" applyAlignment="1" applyProtection="1">
      <alignment/>
      <protection/>
    </xf>
    <xf numFmtId="2" fontId="14" fillId="0" borderId="16" xfId="0" applyNumberFormat="1" applyFont="1" applyBorder="1" applyAlignment="1" applyProtection="1">
      <alignment horizontal="left" vertical="top"/>
      <protection/>
    </xf>
    <xf numFmtId="0" fontId="5" fillId="0" borderId="16" xfId="0" applyFont="1" applyBorder="1" applyAlignment="1" applyProtection="1" quotePrefix="1">
      <alignment horizontal="right" vertical="top"/>
      <protection/>
    </xf>
    <xf numFmtId="0" fontId="4" fillId="0" borderId="16" xfId="0" applyFont="1" applyBorder="1" applyAlignment="1" applyProtection="1" quotePrefix="1">
      <alignment horizontal="left" vertical="top"/>
      <protection/>
    </xf>
    <xf numFmtId="2" fontId="14" fillId="0" borderId="22" xfId="0" applyNumberFormat="1" applyFont="1" applyBorder="1" applyAlignment="1" applyProtection="1">
      <alignment horizontal="left" vertical="top"/>
      <protection/>
    </xf>
    <xf numFmtId="2" fontId="14" fillId="0" borderId="10" xfId="0" applyNumberFormat="1" applyFont="1" applyBorder="1" applyAlignment="1" applyProtection="1">
      <alignment horizontal="left" vertical="top"/>
      <protection/>
    </xf>
    <xf numFmtId="0" fontId="4" fillId="0" borderId="10" xfId="0" applyFont="1" applyBorder="1" applyAlignment="1" applyProtection="1">
      <alignment vertical="top"/>
      <protection/>
    </xf>
    <xf numFmtId="0" fontId="3" fillId="0" borderId="10" xfId="0" applyFont="1" applyBorder="1" applyAlignment="1">
      <alignment vertical="top"/>
    </xf>
    <xf numFmtId="0" fontId="4" fillId="0" borderId="10" xfId="0" applyFont="1" applyBorder="1" applyAlignment="1" applyProtection="1" quotePrefix="1">
      <alignment horizontal="left" vertical="top"/>
      <protection/>
    </xf>
    <xf numFmtId="0" fontId="4" fillId="0" borderId="15" xfId="0" applyFont="1" applyBorder="1" applyAlignment="1" applyProtection="1">
      <alignment vertical="top"/>
      <protection/>
    </xf>
    <xf numFmtId="3" fontId="11" fillId="0" borderId="22" xfId="0" applyNumberFormat="1" applyFont="1" applyBorder="1" applyAlignment="1" applyProtection="1">
      <alignment horizontal="left" vertical="top"/>
      <protection/>
    </xf>
    <xf numFmtId="3" fontId="11" fillId="0" borderId="10" xfId="0" applyNumberFormat="1" applyFont="1" applyBorder="1" applyAlignment="1" applyProtection="1">
      <alignment horizontal="left" vertical="top"/>
      <protection/>
    </xf>
    <xf numFmtId="3" fontId="4" fillId="0" borderId="10" xfId="0" applyNumberFormat="1" applyFont="1" applyBorder="1" applyAlignment="1" applyProtection="1" quotePrefix="1">
      <alignment horizontal="right" vertical="top"/>
      <protection/>
    </xf>
    <xf numFmtId="3" fontId="15" fillId="0" borderId="10" xfId="0" applyNumberFormat="1" applyFont="1" applyBorder="1" applyAlignment="1" applyProtection="1">
      <alignment vertical="top"/>
      <protection/>
    </xf>
    <xf numFmtId="3" fontId="4" fillId="0" borderId="16" xfId="0" applyNumberFormat="1" applyFont="1" applyBorder="1" applyAlignment="1" applyProtection="1" quotePrefix="1">
      <alignment vertical="top"/>
      <protection/>
    </xf>
    <xf numFmtId="171" fontId="2" fillId="0" borderId="54" xfId="0" applyNumberFormat="1" applyFont="1" applyBorder="1" applyAlignment="1" applyProtection="1">
      <alignment vertical="top"/>
      <protection locked="0"/>
    </xf>
    <xf numFmtId="171" fontId="2" fillId="0" borderId="55" xfId="0" applyNumberFormat="1" applyFont="1" applyBorder="1" applyAlignment="1" applyProtection="1">
      <alignment vertical="top"/>
      <protection locked="0"/>
    </xf>
    <xf numFmtId="171" fontId="2" fillId="0" borderId="54" xfId="0" applyNumberFormat="1" applyFont="1" applyBorder="1" applyAlignment="1" applyProtection="1">
      <alignment horizontal="center" vertical="top"/>
      <protection locked="0"/>
    </xf>
    <xf numFmtId="171" fontId="2" fillId="0" borderId="55" xfId="0" applyNumberFormat="1" applyFont="1" applyBorder="1" applyAlignment="1" applyProtection="1">
      <alignment horizontal="center" vertical="top"/>
      <protection locked="0"/>
    </xf>
    <xf numFmtId="182" fontId="5" fillId="0" borderId="0" xfId="0" applyNumberFormat="1" applyFont="1" applyFill="1" applyBorder="1" applyAlignment="1" applyProtection="1">
      <alignment horizontal="right" vertical="top"/>
      <protection/>
    </xf>
    <xf numFmtId="182" fontId="5" fillId="0" borderId="16" xfId="0" applyNumberFormat="1" applyFont="1" applyBorder="1" applyAlignment="1" applyProtection="1" quotePrefix="1">
      <alignment horizontal="right" vertical="top"/>
      <protection/>
    </xf>
    <xf numFmtId="182" fontId="5" fillId="0" borderId="16" xfId="0" applyNumberFormat="1" applyFont="1" applyFill="1" applyBorder="1" applyAlignment="1" applyProtection="1" quotePrefix="1">
      <alignment horizontal="right" vertical="top"/>
      <protection/>
    </xf>
    <xf numFmtId="182" fontId="5" fillId="0" borderId="17" xfId="0" applyNumberFormat="1" applyFont="1" applyFill="1" applyBorder="1" applyAlignment="1" applyProtection="1" quotePrefix="1">
      <alignment horizontal="right" vertical="top"/>
      <protection/>
    </xf>
    <xf numFmtId="2" fontId="5" fillId="0" borderId="12" xfId="0" applyNumberFormat="1" applyFont="1" applyFill="1" applyBorder="1" applyAlignment="1" applyProtection="1">
      <alignment horizontal="right" vertical="top"/>
      <protection/>
    </xf>
    <xf numFmtId="2" fontId="10" fillId="0" borderId="12" xfId="0" applyNumberFormat="1" applyFont="1" applyFill="1" applyBorder="1" applyAlignment="1" applyProtection="1">
      <alignment horizontal="right" vertical="top"/>
      <protection/>
    </xf>
    <xf numFmtId="3" fontId="5" fillId="0" borderId="12" xfId="0" applyNumberFormat="1" applyFont="1" applyFill="1" applyBorder="1" applyAlignment="1" applyProtection="1">
      <alignment vertical="top"/>
      <protection/>
    </xf>
    <xf numFmtId="3" fontId="10" fillId="0" borderId="12" xfId="0" applyNumberFormat="1" applyFont="1" applyFill="1" applyBorder="1" applyAlignment="1" applyProtection="1" quotePrefix="1">
      <alignment horizontal="right" vertical="top"/>
      <protection/>
    </xf>
    <xf numFmtId="3" fontId="5" fillId="0" borderId="12" xfId="0" applyNumberFormat="1" applyFont="1" applyFill="1" applyBorder="1" applyAlignment="1" applyProtection="1" quotePrefix="1">
      <alignment vertical="top"/>
      <protection/>
    </xf>
    <xf numFmtId="182" fontId="5" fillId="0" borderId="17" xfId="0" applyNumberFormat="1" applyFont="1" applyBorder="1" applyAlignment="1" applyProtection="1" quotePrefix="1">
      <alignment horizontal="right" vertical="top"/>
      <protection/>
    </xf>
    <xf numFmtId="2" fontId="10" fillId="0" borderId="12" xfId="0" applyNumberFormat="1" applyFont="1" applyBorder="1" applyAlignment="1" applyProtection="1">
      <alignment horizontal="right" vertical="top"/>
      <protection/>
    </xf>
    <xf numFmtId="3" fontId="10" fillId="0" borderId="12" xfId="0" applyNumberFormat="1" applyFont="1" applyBorder="1" applyAlignment="1" applyProtection="1" quotePrefix="1">
      <alignment horizontal="right" vertical="top"/>
      <protection/>
    </xf>
    <xf numFmtId="0" fontId="7" fillId="0" borderId="16" xfId="0" applyFont="1" applyBorder="1" applyAlignment="1" applyProtection="1">
      <alignment vertical="top"/>
      <protection/>
    </xf>
    <xf numFmtId="182" fontId="5" fillId="0" borderId="16" xfId="0" applyNumberFormat="1" applyFont="1" applyBorder="1" applyAlignment="1" applyProtection="1">
      <alignment horizontal="right" vertical="top"/>
      <protection/>
    </xf>
    <xf numFmtId="182" fontId="5" fillId="0" borderId="17" xfId="0" applyNumberFormat="1" applyFont="1" applyFill="1" applyBorder="1" applyAlignment="1" applyProtection="1">
      <alignment horizontal="right" vertical="top"/>
      <protection/>
    </xf>
    <xf numFmtId="3" fontId="5" fillId="0" borderId="12" xfId="0" applyNumberFormat="1" applyFont="1" applyFill="1" applyBorder="1" applyAlignment="1" applyProtection="1" quotePrefix="1">
      <alignment horizontal="right" vertical="top"/>
      <protection/>
    </xf>
    <xf numFmtId="3" fontId="5" fillId="0" borderId="12" xfId="0" applyNumberFormat="1" applyFont="1" applyBorder="1" applyAlignment="1" applyProtection="1" quotePrefix="1">
      <alignment horizontal="right" vertical="top"/>
      <protection/>
    </xf>
    <xf numFmtId="0" fontId="10" fillId="0" borderId="0" xfId="0" applyFont="1" applyBorder="1" applyAlignment="1" applyProtection="1">
      <alignment horizontal="right" vertical="top"/>
      <protection/>
    </xf>
    <xf numFmtId="3" fontId="5" fillId="0" borderId="15" xfId="0" applyNumberFormat="1" applyFont="1" applyBorder="1" applyAlignment="1" applyProtection="1">
      <alignment horizontal="right" vertical="top"/>
      <protection/>
    </xf>
    <xf numFmtId="183" fontId="34" fillId="0" borderId="21" xfId="0" applyNumberFormat="1" applyFont="1" applyBorder="1" applyAlignment="1" applyProtection="1">
      <alignment horizontal="left" vertical="top"/>
      <protection/>
    </xf>
    <xf numFmtId="0" fontId="34" fillId="0" borderId="0" xfId="0" applyFont="1" applyBorder="1" applyAlignment="1" applyProtection="1">
      <alignment vertical="top"/>
      <protection/>
    </xf>
    <xf numFmtId="3" fontId="34" fillId="0" borderId="0" xfId="0" applyNumberFormat="1" applyFont="1" applyBorder="1" applyAlignment="1" applyProtection="1">
      <alignment horizontal="right" vertical="top"/>
      <protection/>
    </xf>
    <xf numFmtId="3" fontId="34" fillId="0" borderId="0" xfId="0" applyNumberFormat="1" applyFont="1" applyFill="1" applyBorder="1" applyAlignment="1" applyProtection="1">
      <alignment horizontal="right" vertical="top"/>
      <protection/>
    </xf>
    <xf numFmtId="0" fontId="34" fillId="0" borderId="12" xfId="0" applyFont="1" applyBorder="1" applyAlignment="1" applyProtection="1">
      <alignment vertical="top"/>
      <protection/>
    </xf>
    <xf numFmtId="3" fontId="5" fillId="33" borderId="0"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171" fontId="5" fillId="33" borderId="0" xfId="0" applyNumberFormat="1" applyFont="1" applyFill="1" applyBorder="1" applyAlignment="1" applyProtection="1">
      <alignment/>
      <protection/>
    </xf>
    <xf numFmtId="171" fontId="5" fillId="33" borderId="12" xfId="0" applyNumberFormat="1" applyFont="1" applyFill="1" applyBorder="1" applyAlignment="1" applyProtection="1">
      <alignment/>
      <protection/>
    </xf>
    <xf numFmtId="174" fontId="5" fillId="33" borderId="0" xfId="0" applyNumberFormat="1" applyFont="1" applyFill="1" applyBorder="1" applyAlignment="1" applyProtection="1">
      <alignment/>
      <protection/>
    </xf>
    <xf numFmtId="174" fontId="5" fillId="33" borderId="12"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4" fillId="33" borderId="12" xfId="0" applyNumberFormat="1" applyFont="1" applyFill="1" applyBorder="1" applyAlignment="1" applyProtection="1">
      <alignment/>
      <protection/>
    </xf>
    <xf numFmtId="190" fontId="5" fillId="33" borderId="0" xfId="61" applyNumberFormat="1" applyFont="1" applyFill="1" applyBorder="1" applyAlignment="1" applyProtection="1">
      <alignment/>
      <protection/>
    </xf>
    <xf numFmtId="190" fontId="5" fillId="33" borderId="12" xfId="61" applyNumberFormat="1" applyFont="1" applyFill="1" applyBorder="1" applyAlignment="1" applyProtection="1">
      <alignment/>
      <protection/>
    </xf>
    <xf numFmtId="3" fontId="4" fillId="0" borderId="0" xfId="0" applyNumberFormat="1" applyFont="1" applyBorder="1" applyAlignment="1" applyProtection="1">
      <alignment vertical="top"/>
      <protection locked="0"/>
    </xf>
    <xf numFmtId="0" fontId="11" fillId="0" borderId="16" xfId="0" applyFont="1" applyBorder="1" applyAlignment="1" applyProtection="1">
      <alignment vertical="top"/>
      <protection/>
    </xf>
    <xf numFmtId="0" fontId="2" fillId="0" borderId="16" xfId="0" applyFont="1" applyBorder="1" applyAlignment="1" applyProtection="1">
      <alignment vertical="top"/>
      <protection/>
    </xf>
    <xf numFmtId="3" fontId="5" fillId="0" borderId="16" xfId="0" applyNumberFormat="1" applyFont="1" applyBorder="1" applyAlignment="1" applyProtection="1">
      <alignment horizontal="centerContinuous" vertical="top"/>
      <protection/>
    </xf>
    <xf numFmtId="0" fontId="9" fillId="0" borderId="16" xfId="0" applyFont="1" applyBorder="1" applyAlignment="1" applyProtection="1">
      <alignment horizontal="centerContinuous" vertical="top"/>
      <protection/>
    </xf>
    <xf numFmtId="3" fontId="5" fillId="0" borderId="17" xfId="0" applyNumberFormat="1" applyFont="1" applyBorder="1" applyAlignment="1" applyProtection="1">
      <alignment horizontal="centerContinuous" vertical="top"/>
      <protection/>
    </xf>
    <xf numFmtId="0" fontId="5" fillId="0" borderId="10" xfId="0" applyFont="1" applyBorder="1" applyAlignment="1">
      <alignment vertical="top"/>
    </xf>
    <xf numFmtId="4" fontId="8" fillId="0" borderId="23" xfId="0" applyNumberFormat="1" applyFont="1" applyFill="1" applyBorder="1" applyAlignment="1" applyProtection="1">
      <alignment horizontal="left"/>
      <protection/>
    </xf>
    <xf numFmtId="0" fontId="5" fillId="0" borderId="38" xfId="0" applyFont="1" applyFill="1" applyBorder="1" applyAlignment="1" applyProtection="1" quotePrefix="1">
      <alignment horizontal="right"/>
      <protection/>
    </xf>
    <xf numFmtId="0" fontId="5" fillId="0" borderId="43" xfId="0" applyFont="1" applyFill="1" applyBorder="1" applyAlignment="1" applyProtection="1" quotePrefix="1">
      <alignment horizontal="right"/>
      <protection/>
    </xf>
    <xf numFmtId="0" fontId="5" fillId="0" borderId="0" xfId="0" applyFont="1" applyFill="1" applyAlignment="1" applyProtection="1">
      <alignment/>
      <protection/>
    </xf>
    <xf numFmtId="0" fontId="8" fillId="0" borderId="20" xfId="0" applyFont="1" applyFill="1" applyBorder="1" applyAlignment="1" applyProtection="1">
      <alignment/>
      <protection/>
    </xf>
    <xf numFmtId="0" fontId="5" fillId="0" borderId="16"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5" fillId="0" borderId="24" xfId="0" applyFont="1" applyFill="1" applyBorder="1" applyAlignment="1" applyProtection="1">
      <alignment/>
      <protection/>
    </xf>
    <xf numFmtId="0" fontId="5" fillId="0" borderId="0" xfId="0" applyFont="1" applyFill="1" applyBorder="1" applyAlignment="1" applyProtection="1" quotePrefix="1">
      <alignment horizontal="right"/>
      <protection/>
    </xf>
    <xf numFmtId="0" fontId="5" fillId="0" borderId="11" xfId="0" applyFont="1" applyFill="1" applyBorder="1" applyAlignment="1" applyProtection="1">
      <alignment horizontal="right"/>
      <protection/>
    </xf>
    <xf numFmtId="0" fontId="5" fillId="0" borderId="21" xfId="0" applyFont="1" applyFill="1" applyBorder="1" applyAlignment="1" applyProtection="1" quotePrefix="1">
      <alignment/>
      <protection/>
    </xf>
    <xf numFmtId="0" fontId="5" fillId="0" borderId="0" xfId="0" applyFont="1" applyFill="1" applyAlignment="1" applyProtection="1">
      <alignment horizontal="right"/>
      <protection/>
    </xf>
    <xf numFmtId="0" fontId="5" fillId="0" borderId="12" xfId="0" applyFont="1" applyFill="1" applyBorder="1" applyAlignment="1" applyProtection="1" quotePrefix="1">
      <alignment horizontal="right"/>
      <protection/>
    </xf>
    <xf numFmtId="4" fontId="10" fillId="0" borderId="24" xfId="0" applyNumberFormat="1" applyFont="1" applyFill="1" applyBorder="1" applyAlignment="1" applyProtection="1">
      <alignment horizontal="center"/>
      <protection/>
    </xf>
    <xf numFmtId="4" fontId="10" fillId="0" borderId="0" xfId="0" applyNumberFormat="1" applyFont="1" applyFill="1" applyBorder="1" applyAlignment="1" applyProtection="1">
      <alignment horizontal="right"/>
      <protection/>
    </xf>
    <xf numFmtId="4" fontId="10" fillId="0" borderId="0" xfId="0" applyNumberFormat="1" applyFont="1" applyFill="1" applyBorder="1" applyAlignment="1" applyProtection="1" quotePrefix="1">
      <alignment horizontal="right"/>
      <protection/>
    </xf>
    <xf numFmtId="4" fontId="10" fillId="0" borderId="11" xfId="0" applyNumberFormat="1" applyFont="1" applyFill="1" applyBorder="1" applyAlignment="1" applyProtection="1">
      <alignment horizontal="right"/>
      <protection/>
    </xf>
    <xf numFmtId="0" fontId="10" fillId="0" borderId="21" xfId="0" applyFont="1" applyFill="1" applyBorder="1" applyAlignment="1" applyProtection="1">
      <alignment horizontal="center"/>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quotePrefix="1">
      <alignment horizontal="right"/>
      <protection/>
    </xf>
    <xf numFmtId="0" fontId="10" fillId="0" borderId="0" xfId="0" applyFont="1" applyFill="1" applyAlignment="1" applyProtection="1">
      <alignment horizontal="right"/>
      <protection/>
    </xf>
    <xf numFmtId="0" fontId="10" fillId="0" borderId="12" xfId="0" applyFont="1" applyFill="1" applyBorder="1" applyAlignment="1" applyProtection="1">
      <alignment horizontal="right"/>
      <protection/>
    </xf>
    <xf numFmtId="1" fontId="4" fillId="0" borderId="24" xfId="0" applyNumberFormat="1" applyFont="1" applyFill="1" applyBorder="1" applyAlignment="1" applyProtection="1">
      <alignment horizontal="center"/>
      <protection/>
    </xf>
    <xf numFmtId="3" fontId="5" fillId="0" borderId="0" xfId="0" applyNumberFormat="1" applyFont="1" applyFill="1" applyBorder="1" applyAlignment="1" applyProtection="1">
      <alignment/>
      <protection/>
    </xf>
    <xf numFmtId="174" fontId="4" fillId="0" borderId="11" xfId="0" applyNumberFormat="1" applyFont="1" applyFill="1" applyBorder="1" applyAlignment="1" applyProtection="1">
      <alignment/>
      <protection/>
    </xf>
    <xf numFmtId="1" fontId="5" fillId="0" borderId="21" xfId="0" applyNumberFormat="1" applyFont="1" applyFill="1" applyBorder="1" applyAlignment="1" applyProtection="1">
      <alignment horizontal="center" vertical="top"/>
      <protection/>
    </xf>
    <xf numFmtId="171" fontId="5" fillId="0" borderId="0" xfId="0" applyNumberFormat="1" applyFont="1" applyFill="1" applyAlignment="1" applyProtection="1">
      <alignment/>
      <protection/>
    </xf>
    <xf numFmtId="1" fontId="5" fillId="0" borderId="22" xfId="0" applyNumberFormat="1" applyFont="1" applyFill="1" applyBorder="1" applyAlignment="1" applyProtection="1">
      <alignment horizontal="center" vertical="top"/>
      <protection/>
    </xf>
    <xf numFmtId="3" fontId="5" fillId="0" borderId="10" xfId="0" applyNumberFormat="1" applyFont="1" applyFill="1" applyBorder="1" applyAlignment="1" applyProtection="1">
      <alignment vertical="top"/>
      <protection/>
    </xf>
    <xf numFmtId="171" fontId="5" fillId="0" borderId="10" xfId="0" applyNumberFormat="1" applyFont="1" applyFill="1" applyBorder="1" applyAlignment="1" applyProtection="1">
      <alignment/>
      <protection/>
    </xf>
    <xf numFmtId="3" fontId="5" fillId="0" borderId="15" xfId="0" applyNumberFormat="1" applyFont="1" applyFill="1" applyBorder="1" applyAlignment="1" applyProtection="1">
      <alignment vertical="top"/>
      <protection/>
    </xf>
    <xf numFmtId="1" fontId="5" fillId="0" borderId="0" xfId="0" applyNumberFormat="1" applyFont="1" applyFill="1" applyBorder="1" applyAlignment="1" applyProtection="1">
      <alignment horizontal="center" vertical="top"/>
      <protection/>
    </xf>
    <xf numFmtId="171" fontId="5" fillId="0" borderId="0" xfId="0" applyNumberFormat="1" applyFont="1" applyFill="1" applyBorder="1" applyAlignment="1" applyProtection="1">
      <alignment/>
      <protection/>
    </xf>
    <xf numFmtId="1" fontId="4" fillId="0" borderId="39" xfId="0" applyNumberFormat="1" applyFont="1" applyFill="1" applyBorder="1" applyAlignment="1" applyProtection="1">
      <alignment horizontal="center"/>
      <protection/>
    </xf>
    <xf numFmtId="3" fontId="5" fillId="0" borderId="13" xfId="0" applyNumberFormat="1" applyFont="1" applyFill="1" applyBorder="1" applyAlignment="1" applyProtection="1">
      <alignment/>
      <protection/>
    </xf>
    <xf numFmtId="174" fontId="4" fillId="0" borderId="14" xfId="0" applyNumberFormat="1" applyFont="1" applyFill="1" applyBorder="1" applyAlignment="1" applyProtection="1">
      <alignment/>
      <protection/>
    </xf>
    <xf numFmtId="4" fontId="4" fillId="0" borderId="38" xfId="0" applyNumberFormat="1" applyFont="1" applyFill="1" applyBorder="1" applyAlignment="1" applyProtection="1" quotePrefix="1">
      <alignment horizontal="right"/>
      <protection/>
    </xf>
    <xf numFmtId="4" fontId="4" fillId="0" borderId="43" xfId="0" applyNumberFormat="1" applyFont="1" applyFill="1" applyBorder="1" applyAlignment="1" applyProtection="1" quotePrefix="1">
      <alignment horizontal="right"/>
      <protection/>
    </xf>
    <xf numFmtId="4" fontId="9" fillId="0" borderId="0" xfId="0" applyNumberFormat="1" applyFont="1" applyFill="1" applyBorder="1" applyAlignment="1" applyProtection="1">
      <alignment horizontal="right"/>
      <protection/>
    </xf>
    <xf numFmtId="4" fontId="9" fillId="0" borderId="0" xfId="0" applyNumberFormat="1" applyFont="1" applyFill="1" applyBorder="1" applyAlignment="1" applyProtection="1" quotePrefix="1">
      <alignment horizontal="right"/>
      <protection/>
    </xf>
    <xf numFmtId="4" fontId="9" fillId="0" borderId="11" xfId="0" applyNumberFormat="1" applyFont="1" applyFill="1" applyBorder="1" applyAlignment="1" applyProtection="1">
      <alignment horizontal="right"/>
      <protection/>
    </xf>
    <xf numFmtId="4" fontId="3" fillId="0" borderId="23" xfId="0" applyNumberFormat="1" applyFont="1" applyFill="1" applyBorder="1" applyAlignment="1" applyProtection="1">
      <alignment horizontal="left"/>
      <protection/>
    </xf>
    <xf numFmtId="1" fontId="5" fillId="0" borderId="24" xfId="0" applyNumberFormat="1" applyFont="1" applyFill="1" applyBorder="1" applyAlignment="1" applyProtection="1">
      <alignment horizontal="center"/>
      <protection/>
    </xf>
    <xf numFmtId="1" fontId="5" fillId="0" borderId="39"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center" vertical="top"/>
      <protection/>
    </xf>
    <xf numFmtId="0" fontId="4" fillId="0" borderId="0" xfId="0" applyFont="1" applyBorder="1" applyAlignment="1" applyProtection="1">
      <alignment horizontal="center"/>
      <protection/>
    </xf>
    <xf numFmtId="3" fontId="3" fillId="0" borderId="15" xfId="0" applyNumberFormat="1" applyFont="1" applyBorder="1" applyAlignment="1" applyProtection="1">
      <alignment/>
      <protection/>
    </xf>
    <xf numFmtId="0" fontId="0" fillId="0" borderId="0" xfId="0" applyAlignment="1" applyProtection="1">
      <alignment/>
      <protection locked="0"/>
    </xf>
    <xf numFmtId="0" fontId="5" fillId="0" borderId="0" xfId="0" applyFont="1" applyAlignment="1" applyProtection="1">
      <alignment vertical="top"/>
      <protection locked="0"/>
    </xf>
    <xf numFmtId="3" fontId="27" fillId="0" borderId="0" xfId="0" applyNumberFormat="1" applyFont="1" applyBorder="1" applyAlignment="1" applyProtection="1">
      <alignment vertical="top"/>
      <protection locked="0"/>
    </xf>
    <xf numFmtId="1" fontId="35" fillId="0" borderId="0" xfId="58" applyNumberFormat="1" applyFont="1" applyFill="1" applyAlignment="1" applyProtection="1">
      <alignment horizontal="right"/>
      <protection locked="0"/>
    </xf>
    <xf numFmtId="3" fontId="72" fillId="0" borderId="0" xfId="0" applyNumberFormat="1" applyFont="1" applyFill="1" applyBorder="1" applyAlignment="1" applyProtection="1">
      <alignment horizontal="left" vertical="top" wrapText="1"/>
      <protection locked="0"/>
    </xf>
    <xf numFmtId="3" fontId="13" fillId="0" borderId="0" xfId="0" applyNumberFormat="1" applyFont="1" applyFill="1" applyBorder="1" applyAlignment="1" applyProtection="1">
      <alignment horizontal="left" vertical="top" wrapText="1"/>
      <protection locked="0"/>
    </xf>
    <xf numFmtId="10" fontId="73" fillId="0" borderId="0" xfId="0" applyNumberFormat="1" applyFont="1" applyFill="1" applyBorder="1" applyAlignment="1" applyProtection="1">
      <alignment horizontal="center" vertical="top"/>
      <protection locked="0"/>
    </xf>
    <xf numFmtId="2" fontId="73" fillId="0" borderId="0" xfId="0" applyNumberFormat="1" applyFont="1" applyFill="1" applyBorder="1" applyAlignment="1" applyProtection="1">
      <alignment horizontal="center" vertical="top"/>
      <protection locked="0"/>
    </xf>
    <xf numFmtId="0" fontId="74" fillId="0" borderId="0" xfId="0" applyFont="1" applyBorder="1" applyAlignment="1" applyProtection="1">
      <alignment horizontal="left" vertical="top"/>
      <protection/>
    </xf>
    <xf numFmtId="0" fontId="75" fillId="0" borderId="0" xfId="57" applyFont="1">
      <alignment/>
      <protection/>
    </xf>
    <xf numFmtId="0" fontId="4" fillId="0" borderId="21" xfId="0" applyFont="1" applyBorder="1" applyAlignment="1" applyProtection="1">
      <alignment vertical="top"/>
      <protection/>
    </xf>
    <xf numFmtId="0" fontId="36" fillId="0" borderId="21" xfId="0" applyFont="1" applyBorder="1" applyAlignment="1" applyProtection="1">
      <alignment vertical="top"/>
      <protection/>
    </xf>
    <xf numFmtId="3" fontId="0" fillId="0" borderId="0" xfId="0" applyNumberFormat="1" applyAlignment="1">
      <alignment/>
    </xf>
    <xf numFmtId="3" fontId="4" fillId="0" borderId="0" xfId="0" applyNumberFormat="1" applyFont="1" applyAlignment="1" quotePrefix="1">
      <alignment/>
    </xf>
    <xf numFmtId="0" fontId="2" fillId="0" borderId="0"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18" fillId="0" borderId="0" xfId="57" applyFont="1" applyAlignment="1">
      <alignment horizontal="center"/>
      <protection/>
    </xf>
    <xf numFmtId="0" fontId="0" fillId="0" borderId="0" xfId="0" applyAlignment="1">
      <alignment horizontal="center"/>
    </xf>
    <xf numFmtId="0" fontId="4" fillId="0" borderId="0" xfId="57"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02_114" xfId="57"/>
    <cellStyle name="Normal_BiLimits" xfId="58"/>
    <cellStyle name="Note" xfId="59"/>
    <cellStyle name="Output" xfId="60"/>
    <cellStyle name="Percent" xfId="61"/>
    <cellStyle name="Title" xfId="62"/>
    <cellStyle name="Total" xfId="63"/>
    <cellStyle name="Warning Text" xfId="64"/>
  </cellStyles>
  <dxfs count="2">
    <dxf>
      <font>
        <color indexed="10"/>
      </font>
      <fill>
        <patternFill>
          <bgColor indexed="10"/>
        </patternFill>
      </fill>
    </dxf>
    <dxf>
      <font>
        <color indexed="1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0">
    <pageSetUpPr fitToPage="1"/>
  </sheetPr>
  <dimension ref="A1:I115"/>
  <sheetViews>
    <sheetView tabSelected="1" zoomScaleSheetLayoutView="100" zoomScalePageLayoutView="0" workbookViewId="0" topLeftCell="A1">
      <selection activeCell="B6" sqref="B6"/>
    </sheetView>
  </sheetViews>
  <sheetFormatPr defaultColWidth="9.140625" defaultRowHeight="12.75"/>
  <cols>
    <col min="1" max="1" width="20.7109375" style="0" customWidth="1"/>
    <col min="2" max="2" width="29.7109375" style="0" customWidth="1"/>
    <col min="4" max="4" width="28.28125" style="0" customWidth="1"/>
    <col min="5" max="5" width="44.7109375" style="0" customWidth="1"/>
  </cols>
  <sheetData>
    <row r="1" spans="1:5" ht="20.25">
      <c r="A1" s="715" t="s">
        <v>227</v>
      </c>
      <c r="B1" s="716"/>
      <c r="C1" s="716"/>
      <c r="D1" s="716"/>
      <c r="E1" s="716"/>
    </row>
    <row r="2" spans="1:5" ht="20.25">
      <c r="A2" s="715" t="s">
        <v>228</v>
      </c>
      <c r="B2" s="716"/>
      <c r="C2" s="716"/>
      <c r="D2" s="716"/>
      <c r="E2" s="716"/>
    </row>
    <row r="3" spans="1:5" ht="20.25">
      <c r="A3" s="715" t="s">
        <v>258</v>
      </c>
      <c r="B3" s="716"/>
      <c r="C3" s="716"/>
      <c r="D3" s="716"/>
      <c r="E3" s="716"/>
    </row>
    <row r="4" spans="1:5" ht="15">
      <c r="A4" s="717" t="s">
        <v>229</v>
      </c>
      <c r="B4" s="716"/>
      <c r="C4" s="716"/>
      <c r="D4" s="716"/>
      <c r="E4" s="716"/>
    </row>
    <row r="5" spans="1:5" s="446" customFormat="1" ht="15.75">
      <c r="A5" s="445"/>
      <c r="B5" s="445"/>
      <c r="C5" s="445"/>
      <c r="D5" s="445"/>
      <c r="E5" s="448" t="s">
        <v>289</v>
      </c>
    </row>
    <row r="6" spans="1:5" s="446" customFormat="1" ht="15.75">
      <c r="A6" s="512" t="s">
        <v>238</v>
      </c>
      <c r="B6" s="701">
        <v>2024</v>
      </c>
      <c r="C6" s="445"/>
      <c r="D6" s="445"/>
      <c r="E6" s="445"/>
    </row>
    <row r="7" s="446" customFormat="1" ht="15.75"/>
    <row r="8" spans="1:5" s="446" customFormat="1" ht="15.75">
      <c r="A8" s="437" t="s">
        <v>230</v>
      </c>
      <c r="B8" s="438" t="s">
        <v>241</v>
      </c>
      <c r="D8" s="439" t="s">
        <v>231</v>
      </c>
      <c r="E8" s="440" t="str">
        <f>IF(B8=0,"independent","enter group name here")</f>
        <v>enter group name here</v>
      </c>
    </row>
    <row r="9" spans="1:5" s="446" customFormat="1" ht="15.75">
      <c r="A9" s="437" t="s">
        <v>233</v>
      </c>
      <c r="B9" s="441" t="s">
        <v>279</v>
      </c>
      <c r="D9" s="437" t="s">
        <v>232</v>
      </c>
      <c r="E9" s="440" t="s">
        <v>240</v>
      </c>
    </row>
    <row r="10" spans="1:5" s="446" customFormat="1" ht="15.75">
      <c r="A10" s="437" t="s">
        <v>234</v>
      </c>
      <c r="B10" s="441" t="s">
        <v>280</v>
      </c>
      <c r="D10" s="437" t="s">
        <v>232</v>
      </c>
      <c r="E10" s="440" t="str">
        <f>IF(B10=0,"(none)","enter company #2 name here")</f>
        <v>enter company #2 name here</v>
      </c>
    </row>
    <row r="11" spans="1:5" s="446" customFormat="1" ht="15.75">
      <c r="A11" s="437" t="s">
        <v>235</v>
      </c>
      <c r="B11" s="441" t="s">
        <v>281</v>
      </c>
      <c r="D11" s="437" t="s">
        <v>232</v>
      </c>
      <c r="E11" s="440" t="str">
        <f>IF(B11=0,"(none)","enter company #3 name here")</f>
        <v>enter company #3 name here</v>
      </c>
    </row>
    <row r="12" spans="1:5" s="446" customFormat="1" ht="15.75">
      <c r="A12" s="437" t="s">
        <v>236</v>
      </c>
      <c r="B12" s="441" t="s">
        <v>282</v>
      </c>
      <c r="D12" s="437" t="s">
        <v>232</v>
      </c>
      <c r="E12" s="440" t="str">
        <f>IF(B12=0,"(none)","enter company #4 name here")</f>
        <v>enter company #4 name here</v>
      </c>
    </row>
    <row r="13" spans="1:5" s="446" customFormat="1" ht="15.75">
      <c r="A13" s="437" t="s">
        <v>249</v>
      </c>
      <c r="B13" s="441" t="s">
        <v>283</v>
      </c>
      <c r="D13" s="437" t="s">
        <v>232</v>
      </c>
      <c r="E13" s="440" t="str">
        <f>IF(B13=0,"(none)","enter company #5 name here")</f>
        <v>enter company #5 name here</v>
      </c>
    </row>
    <row r="14" spans="1:5" s="446" customFormat="1" ht="15.75">
      <c r="A14" s="437" t="s">
        <v>250</v>
      </c>
      <c r="B14" s="441" t="s">
        <v>284</v>
      </c>
      <c r="D14" s="437" t="s">
        <v>232</v>
      </c>
      <c r="E14" s="440" t="str">
        <f>IF(B14=0,"(none)","enter company #6 name here")</f>
        <v>enter company #6 name here</v>
      </c>
    </row>
    <row r="15" spans="1:5" s="446" customFormat="1" ht="15.75">
      <c r="A15" s="437" t="s">
        <v>259</v>
      </c>
      <c r="B15" s="441" t="s">
        <v>285</v>
      </c>
      <c r="D15" s="437" t="s">
        <v>232</v>
      </c>
      <c r="E15" s="440" t="str">
        <f>IF(B15=0,"(none)","enter company #7 name here")</f>
        <v>enter company #7 name here</v>
      </c>
    </row>
    <row r="16" spans="1:5" s="446" customFormat="1" ht="15.75">
      <c r="A16" s="437" t="s">
        <v>261</v>
      </c>
      <c r="B16" s="441" t="s">
        <v>286</v>
      </c>
      <c r="D16" s="437" t="s">
        <v>232</v>
      </c>
      <c r="E16" s="440" t="str">
        <f>IF(B16=0,"(none)","enter company #8 name here")</f>
        <v>enter company #8 name here</v>
      </c>
    </row>
    <row r="17" spans="1:5" s="446" customFormat="1" ht="15.75">
      <c r="A17" s="437" t="s">
        <v>260</v>
      </c>
      <c r="B17" s="441" t="s">
        <v>287</v>
      </c>
      <c r="D17" s="437" t="s">
        <v>232</v>
      </c>
      <c r="E17" s="440" t="str">
        <f>IF(B17=0,"(none)","enter company #9 name here")</f>
        <v>enter company #9 name here</v>
      </c>
    </row>
    <row r="18" spans="1:5" s="446" customFormat="1" ht="15.75">
      <c r="A18" s="437" t="s">
        <v>262</v>
      </c>
      <c r="B18" s="441" t="s">
        <v>288</v>
      </c>
      <c r="D18" s="437" t="s">
        <v>232</v>
      </c>
      <c r="E18" s="440" t="str">
        <f>IF(B18=0,"(none)","enter company #10 name here")</f>
        <v>enter company #10 name here</v>
      </c>
    </row>
    <row r="19" spans="1:5" s="446" customFormat="1" ht="15.75">
      <c r="A19" s="437" t="s">
        <v>324</v>
      </c>
      <c r="B19" s="441" t="s">
        <v>326</v>
      </c>
      <c r="D19" s="437" t="s">
        <v>232</v>
      </c>
      <c r="E19" s="440" t="str">
        <f>IF(B19=0,"(none)","enter company #11 name here")</f>
        <v>enter company #11 name here</v>
      </c>
    </row>
    <row r="20" spans="1:5" s="446" customFormat="1" ht="15.75">
      <c r="A20" s="437" t="s">
        <v>325</v>
      </c>
      <c r="B20" s="441" t="s">
        <v>327</v>
      </c>
      <c r="D20" s="437" t="s">
        <v>232</v>
      </c>
      <c r="E20" s="440" t="str">
        <f>IF(B20=0,"(none)","enter company #12 name here")</f>
        <v>enter company #12 name here</v>
      </c>
    </row>
    <row r="21" s="446" customFormat="1" ht="15.75"/>
    <row r="22" spans="1:5" s="446" customFormat="1" ht="18.75">
      <c r="A22" s="514" t="s">
        <v>270</v>
      </c>
      <c r="B22" s="514"/>
      <c r="C22" s="515"/>
      <c r="D22" s="514" t="s">
        <v>276</v>
      </c>
      <c r="E22" s="535" t="str">
        <f>IF(ISNUMBER(E30)=FALSE,"certify report below before submitting report","")</f>
        <v>certify report below before submitting report</v>
      </c>
    </row>
    <row r="23" spans="1:5" s="446" customFormat="1" ht="15.75">
      <c r="A23" s="437" t="s">
        <v>271</v>
      </c>
      <c r="B23" s="527" t="s">
        <v>272</v>
      </c>
      <c r="D23" s="437" t="s">
        <v>271</v>
      </c>
      <c r="E23" s="527" t="s">
        <v>272</v>
      </c>
    </row>
    <row r="24" spans="1:5" s="446" customFormat="1" ht="15">
      <c r="A24" s="437" t="s">
        <v>273</v>
      </c>
      <c r="B24" s="527" t="s">
        <v>272</v>
      </c>
      <c r="D24" s="437" t="s">
        <v>273</v>
      </c>
      <c r="E24" s="527" t="s">
        <v>272</v>
      </c>
    </row>
    <row r="25" spans="1:5" s="446" customFormat="1" ht="15">
      <c r="A25" s="437" t="s">
        <v>274</v>
      </c>
      <c r="B25" s="527" t="s">
        <v>272</v>
      </c>
      <c r="D25" s="437" t="s">
        <v>274</v>
      </c>
      <c r="E25" s="527" t="s">
        <v>272</v>
      </c>
    </row>
    <row r="26" spans="1:5" s="446" customFormat="1" ht="15">
      <c r="A26" s="437" t="s">
        <v>275</v>
      </c>
      <c r="B26" s="527" t="s">
        <v>272</v>
      </c>
      <c r="D26" s="437" t="s">
        <v>275</v>
      </c>
      <c r="E26" s="527" t="s">
        <v>272</v>
      </c>
    </row>
    <row r="27" s="446" customFormat="1" ht="15"/>
    <row r="28" spans="1:5" s="518" customFormat="1" ht="18">
      <c r="A28" s="514" t="s">
        <v>268</v>
      </c>
      <c r="B28" s="514"/>
      <c r="C28" s="515"/>
      <c r="D28" s="515"/>
      <c r="E28" s="516"/>
    </row>
    <row r="29" spans="1:5" ht="15">
      <c r="A29" s="519" t="s">
        <v>239</v>
      </c>
      <c r="B29" s="519"/>
      <c r="C29" s="519"/>
      <c r="D29" s="519"/>
      <c r="E29" s="520"/>
    </row>
    <row r="30" spans="1:5" ht="15">
      <c r="A30" s="519"/>
      <c r="B30" s="521"/>
      <c r="C30" s="521"/>
      <c r="D30" s="526" t="s">
        <v>266</v>
      </c>
      <c r="E30" s="522" t="s">
        <v>267</v>
      </c>
    </row>
    <row r="31" spans="1:5" ht="15">
      <c r="A31" s="437"/>
      <c r="B31" s="437"/>
      <c r="C31" s="442"/>
      <c r="D31" s="442"/>
      <c r="E31" s="523"/>
    </row>
    <row r="32" spans="1:9" s="518" customFormat="1" ht="18">
      <c r="A32" s="514" t="s">
        <v>242</v>
      </c>
      <c r="B32" s="514"/>
      <c r="C32" s="515"/>
      <c r="D32" s="515"/>
      <c r="E32" s="516"/>
      <c r="F32" s="515"/>
      <c r="G32" s="517"/>
      <c r="H32" s="517"/>
      <c r="I32" s="517"/>
    </row>
    <row r="33" spans="1:5" s="446" customFormat="1" ht="15">
      <c r="A33" s="519" t="s">
        <v>415</v>
      </c>
      <c r="B33" s="519"/>
      <c r="C33" s="519"/>
      <c r="D33" s="519"/>
      <c r="E33" s="519"/>
    </row>
    <row r="34" spans="1:5" s="446" customFormat="1" ht="15">
      <c r="A34" s="519" t="s">
        <v>278</v>
      </c>
      <c r="B34" s="519"/>
      <c r="C34" s="519"/>
      <c r="D34" s="519"/>
      <c r="E34" s="519"/>
    </row>
    <row r="35" spans="1:5" s="446" customFormat="1" ht="15">
      <c r="A35" s="536" t="s">
        <v>269</v>
      </c>
      <c r="B35" s="531"/>
      <c r="C35" s="531"/>
      <c r="D35" s="531"/>
      <c r="E35" s="531"/>
    </row>
    <row r="36" spans="1:5" s="446" customFormat="1" ht="15">
      <c r="A36" s="536" t="s">
        <v>290</v>
      </c>
      <c r="B36" s="519"/>
      <c r="C36" s="519"/>
      <c r="D36" s="519"/>
      <c r="E36" s="519"/>
    </row>
    <row r="37" spans="1:5" s="446" customFormat="1" ht="15">
      <c r="A37" s="536" t="s">
        <v>291</v>
      </c>
      <c r="B37" s="519"/>
      <c r="C37" s="519"/>
      <c r="D37" s="519"/>
      <c r="E37" s="519"/>
    </row>
    <row r="38" spans="1:5" s="446" customFormat="1" ht="15">
      <c r="A38" s="707" t="s">
        <v>424</v>
      </c>
      <c r="B38" s="519"/>
      <c r="C38" s="519"/>
      <c r="D38" s="519"/>
      <c r="E38" s="519"/>
    </row>
    <row r="39" s="446" customFormat="1" ht="15">
      <c r="A39" s="707" t="s">
        <v>425</v>
      </c>
    </row>
    <row r="40" spans="1:5" s="518" customFormat="1" ht="18">
      <c r="A40" s="514" t="s">
        <v>237</v>
      </c>
      <c r="B40" s="514" t="s">
        <v>277</v>
      </c>
      <c r="C40" s="514"/>
      <c r="D40" s="514"/>
      <c r="E40" s="514"/>
    </row>
    <row r="41" spans="1:5" ht="15" customHeight="1">
      <c r="A41" s="712"/>
      <c r="B41" s="712"/>
      <c r="C41" s="712"/>
      <c r="D41" s="712"/>
      <c r="E41" s="712"/>
    </row>
    <row r="42" spans="1:5" ht="15" customHeight="1">
      <c r="A42" s="712"/>
      <c r="B42" s="712"/>
      <c r="C42" s="712"/>
      <c r="D42" s="712"/>
      <c r="E42" s="712"/>
    </row>
    <row r="43" spans="1:5" ht="15" customHeight="1">
      <c r="A43" s="713"/>
      <c r="B43" s="713"/>
      <c r="C43" s="713"/>
      <c r="D43" s="713"/>
      <c r="E43" s="713"/>
    </row>
    <row r="44" spans="1:5" ht="15" customHeight="1">
      <c r="A44" s="714"/>
      <c r="B44" s="714"/>
      <c r="C44" s="714"/>
      <c r="D44" s="714"/>
      <c r="E44" s="714"/>
    </row>
    <row r="45" spans="1:5" ht="15" customHeight="1">
      <c r="A45" s="712"/>
      <c r="B45" s="712"/>
      <c r="C45" s="712"/>
      <c r="D45" s="712"/>
      <c r="E45" s="712"/>
    </row>
    <row r="46" spans="1:5" ht="15" customHeight="1">
      <c r="A46" s="713"/>
      <c r="B46" s="713"/>
      <c r="C46" s="713"/>
      <c r="D46" s="713"/>
      <c r="E46" s="713"/>
    </row>
    <row r="47" spans="1:5" ht="15" customHeight="1">
      <c r="A47" s="714"/>
      <c r="B47" s="714"/>
      <c r="C47" s="714"/>
      <c r="D47" s="714"/>
      <c r="E47" s="714"/>
    </row>
    <row r="48" spans="1:5" ht="15" customHeight="1">
      <c r="A48" s="712"/>
      <c r="B48" s="712"/>
      <c r="C48" s="712"/>
      <c r="D48" s="712"/>
      <c r="E48" s="712"/>
    </row>
    <row r="49" spans="1:5" ht="15" customHeight="1">
      <c r="A49" s="713"/>
      <c r="B49" s="713"/>
      <c r="C49" s="713"/>
      <c r="D49" s="713"/>
      <c r="E49" s="713"/>
    </row>
    <row r="50" spans="1:5" ht="15">
      <c r="A50" s="524"/>
      <c r="B50" s="525"/>
      <c r="C50" s="525"/>
      <c r="D50" s="525"/>
      <c r="E50" s="525"/>
    </row>
    <row r="51" spans="1:5" ht="15">
      <c r="A51" s="524"/>
      <c r="B51" s="525"/>
      <c r="C51" s="525"/>
      <c r="D51" s="525"/>
      <c r="E51" s="525"/>
    </row>
    <row r="52" spans="1:5" ht="15">
      <c r="A52" s="524"/>
      <c r="B52" s="525"/>
      <c r="C52" s="525"/>
      <c r="D52" s="525"/>
      <c r="E52" s="525"/>
    </row>
    <row r="53" spans="1:5" ht="15">
      <c r="A53" s="524"/>
      <c r="B53" s="525"/>
      <c r="C53" s="525"/>
      <c r="D53" s="525"/>
      <c r="E53" s="525"/>
    </row>
    <row r="54" spans="1:5" ht="15">
      <c r="A54" s="524"/>
      <c r="B54" s="525"/>
      <c r="C54" s="525"/>
      <c r="D54" s="525"/>
      <c r="E54" s="525"/>
    </row>
    <row r="55" spans="1:5" ht="15">
      <c r="A55" s="524"/>
      <c r="B55" s="525"/>
      <c r="C55" s="525"/>
      <c r="D55" s="525"/>
      <c r="E55" s="525"/>
    </row>
    <row r="56" spans="1:5" ht="15">
      <c r="A56" s="524"/>
      <c r="B56" s="525"/>
      <c r="C56" s="525"/>
      <c r="D56" s="525"/>
      <c r="E56" s="525"/>
    </row>
    <row r="57" spans="1:5" ht="15">
      <c r="A57" s="524"/>
      <c r="B57" s="525"/>
      <c r="C57" s="525"/>
      <c r="D57" s="525"/>
      <c r="E57" s="525"/>
    </row>
    <row r="58" spans="1:5" ht="15">
      <c r="A58" s="524"/>
      <c r="B58" s="525"/>
      <c r="C58" s="525"/>
      <c r="D58" s="525"/>
      <c r="E58" s="525"/>
    </row>
    <row r="59" spans="1:5" ht="15">
      <c r="A59" s="524"/>
      <c r="B59" s="525"/>
      <c r="C59" s="525"/>
      <c r="D59" s="525"/>
      <c r="E59" s="525"/>
    </row>
    <row r="60" spans="1:5" ht="15">
      <c r="A60" s="524"/>
      <c r="B60" s="525"/>
      <c r="C60" s="525"/>
      <c r="D60" s="525"/>
      <c r="E60" s="525"/>
    </row>
    <row r="61" spans="1:5" ht="15">
      <c r="A61" s="524"/>
      <c r="B61" s="525"/>
      <c r="C61" s="525"/>
      <c r="D61" s="525"/>
      <c r="E61" s="525"/>
    </row>
    <row r="62" spans="1:5" ht="15">
      <c r="A62" s="524"/>
      <c r="B62" s="525"/>
      <c r="C62" s="525"/>
      <c r="D62" s="525"/>
      <c r="E62" s="525"/>
    </row>
    <row r="63" spans="1:5" ht="15">
      <c r="A63" s="524"/>
      <c r="B63" s="525"/>
      <c r="C63" s="525"/>
      <c r="D63" s="525"/>
      <c r="E63" s="525"/>
    </row>
    <row r="64" spans="1:5" ht="15">
      <c r="A64" s="524"/>
      <c r="B64" s="525"/>
      <c r="C64" s="525"/>
      <c r="D64" s="525"/>
      <c r="E64" s="525"/>
    </row>
    <row r="65" spans="1:5" ht="15">
      <c r="A65" s="524"/>
      <c r="B65" s="525"/>
      <c r="C65" s="525"/>
      <c r="D65" s="525"/>
      <c r="E65" s="525"/>
    </row>
    <row r="66" spans="1:5" ht="15">
      <c r="A66" s="524"/>
      <c r="B66" s="525"/>
      <c r="C66" s="525"/>
      <c r="D66" s="525"/>
      <c r="E66" s="525"/>
    </row>
    <row r="67" spans="1:5" ht="15">
      <c r="A67" s="524"/>
      <c r="B67" s="525"/>
      <c r="C67" s="525"/>
      <c r="D67" s="525"/>
      <c r="E67" s="525"/>
    </row>
    <row r="68" spans="1:5" ht="15">
      <c r="A68" s="524"/>
      <c r="B68" s="525"/>
      <c r="C68" s="525"/>
      <c r="D68" s="525"/>
      <c r="E68" s="525"/>
    </row>
    <row r="69" spans="1:5" ht="15">
      <c r="A69" s="524"/>
      <c r="B69" s="525"/>
      <c r="C69" s="525"/>
      <c r="D69" s="525"/>
      <c r="E69" s="525"/>
    </row>
    <row r="70" spans="1:5" ht="15">
      <c r="A70" s="524"/>
      <c r="B70" s="525"/>
      <c r="C70" s="525"/>
      <c r="D70" s="525"/>
      <c r="E70" s="525"/>
    </row>
    <row r="71" spans="1:5" ht="15">
      <c r="A71" s="524"/>
      <c r="B71" s="525"/>
      <c r="C71" s="525"/>
      <c r="D71" s="525"/>
      <c r="E71" s="525"/>
    </row>
    <row r="72" spans="1:5" ht="15">
      <c r="A72" s="524"/>
      <c r="B72" s="525"/>
      <c r="C72" s="525"/>
      <c r="D72" s="525"/>
      <c r="E72" s="525"/>
    </row>
    <row r="73" spans="1:5" ht="15">
      <c r="A73" s="524"/>
      <c r="B73" s="525"/>
      <c r="C73" s="525"/>
      <c r="D73" s="525"/>
      <c r="E73" s="525"/>
    </row>
    <row r="74" spans="1:5" ht="15">
      <c r="A74" s="524"/>
      <c r="B74" s="525"/>
      <c r="C74" s="525"/>
      <c r="D74" s="525"/>
      <c r="E74" s="525"/>
    </row>
    <row r="75" spans="1:5" ht="15">
      <c r="A75" s="524"/>
      <c r="B75" s="525"/>
      <c r="C75" s="525"/>
      <c r="D75" s="525"/>
      <c r="E75" s="525"/>
    </row>
    <row r="76" spans="1:5" ht="15">
      <c r="A76" s="524"/>
      <c r="B76" s="525"/>
      <c r="C76" s="525"/>
      <c r="D76" s="525"/>
      <c r="E76" s="525"/>
    </row>
    <row r="77" spans="1:5" ht="15">
      <c r="A77" s="524"/>
      <c r="B77" s="525"/>
      <c r="C77" s="525"/>
      <c r="D77" s="525"/>
      <c r="E77" s="525"/>
    </row>
    <row r="78" spans="1:5" ht="15">
      <c r="A78" s="524"/>
      <c r="B78" s="525"/>
      <c r="C78" s="525"/>
      <c r="D78" s="525"/>
      <c r="E78" s="525"/>
    </row>
    <row r="79" spans="1:5" ht="15">
      <c r="A79" s="524"/>
      <c r="B79" s="525"/>
      <c r="C79" s="525"/>
      <c r="D79" s="525"/>
      <c r="E79" s="525"/>
    </row>
    <row r="80" spans="1:5" ht="15">
      <c r="A80" s="524"/>
      <c r="B80" s="525"/>
      <c r="C80" s="525"/>
      <c r="D80" s="525"/>
      <c r="E80" s="525"/>
    </row>
    <row r="81" spans="1:5" ht="15">
      <c r="A81" s="524"/>
      <c r="B81" s="525"/>
      <c r="C81" s="525"/>
      <c r="D81" s="525"/>
      <c r="E81" s="525"/>
    </row>
    <row r="82" spans="1:5" ht="15">
      <c r="A82" s="524"/>
      <c r="B82" s="525"/>
      <c r="C82" s="525"/>
      <c r="D82" s="525"/>
      <c r="E82" s="525"/>
    </row>
    <row r="83" spans="1:5" ht="15">
      <c r="A83" s="524"/>
      <c r="B83" s="525"/>
      <c r="C83" s="525"/>
      <c r="D83" s="525"/>
      <c r="E83" s="525"/>
    </row>
    <row r="84" spans="1:5" ht="15">
      <c r="A84" s="524"/>
      <c r="B84" s="525"/>
      <c r="C84" s="525"/>
      <c r="D84" s="525"/>
      <c r="E84" s="525"/>
    </row>
    <row r="85" spans="1:5" ht="15">
      <c r="A85" s="524"/>
      <c r="B85" s="525"/>
      <c r="C85" s="525"/>
      <c r="D85" s="525"/>
      <c r="E85" s="525"/>
    </row>
    <row r="86" spans="1:5" ht="15">
      <c r="A86" s="524"/>
      <c r="B86" s="525"/>
      <c r="C86" s="525"/>
      <c r="D86" s="525"/>
      <c r="E86" s="525"/>
    </row>
    <row r="87" spans="1:5" ht="15">
      <c r="A87" s="524"/>
      <c r="B87" s="525"/>
      <c r="C87" s="525"/>
      <c r="D87" s="525"/>
      <c r="E87" s="525"/>
    </row>
    <row r="88" spans="1:5" ht="15">
      <c r="A88" s="524"/>
      <c r="B88" s="525"/>
      <c r="C88" s="525"/>
      <c r="D88" s="525"/>
      <c r="E88" s="525"/>
    </row>
    <row r="89" spans="1:5" ht="15">
      <c r="A89" s="524"/>
      <c r="B89" s="525"/>
      <c r="C89" s="525"/>
      <c r="D89" s="525"/>
      <c r="E89" s="525"/>
    </row>
    <row r="90" spans="1:5" ht="15">
      <c r="A90" s="524"/>
      <c r="B90" s="525"/>
      <c r="C90" s="525"/>
      <c r="D90" s="525"/>
      <c r="E90" s="525"/>
    </row>
    <row r="91" spans="1:5" ht="15">
      <c r="A91" s="524"/>
      <c r="B91" s="525"/>
      <c r="C91" s="525"/>
      <c r="D91" s="525"/>
      <c r="E91" s="525"/>
    </row>
    <row r="92" spans="1:5" ht="15">
      <c r="A92" s="524"/>
      <c r="B92" s="525"/>
      <c r="C92" s="525"/>
      <c r="D92" s="525"/>
      <c r="E92" s="525"/>
    </row>
    <row r="93" spans="1:5" ht="15">
      <c r="A93" s="524"/>
      <c r="B93" s="525"/>
      <c r="C93" s="525"/>
      <c r="D93" s="525"/>
      <c r="E93" s="525"/>
    </row>
    <row r="94" spans="1:5" ht="15">
      <c r="A94" s="524"/>
      <c r="B94" s="525"/>
      <c r="C94" s="525"/>
      <c r="D94" s="525"/>
      <c r="E94" s="525"/>
    </row>
    <row r="95" spans="1:5" ht="15">
      <c r="A95" s="524"/>
      <c r="B95" s="525"/>
      <c r="C95" s="525"/>
      <c r="D95" s="525"/>
      <c r="E95" s="525"/>
    </row>
    <row r="96" spans="1:5" ht="15">
      <c r="A96" s="524"/>
      <c r="B96" s="525"/>
      <c r="C96" s="525"/>
      <c r="D96" s="525"/>
      <c r="E96" s="525"/>
    </row>
    <row r="97" spans="1:5" ht="15">
      <c r="A97" s="524"/>
      <c r="B97" s="525"/>
      <c r="C97" s="525"/>
      <c r="D97" s="525"/>
      <c r="E97" s="525"/>
    </row>
    <row r="98" spans="1:5" ht="15">
      <c r="A98" s="524"/>
      <c r="B98" s="525"/>
      <c r="C98" s="525"/>
      <c r="D98" s="525"/>
      <c r="E98" s="525"/>
    </row>
    <row r="99" spans="1:5" ht="15">
      <c r="A99" s="524"/>
      <c r="B99" s="525"/>
      <c r="C99" s="525"/>
      <c r="D99" s="525"/>
      <c r="E99" s="525"/>
    </row>
    <row r="100" spans="1:5" ht="15">
      <c r="A100" s="524"/>
      <c r="B100" s="525"/>
      <c r="C100" s="525"/>
      <c r="D100" s="525"/>
      <c r="E100" s="525"/>
    </row>
    <row r="101" spans="1:5" ht="15">
      <c r="A101" s="524"/>
      <c r="B101" s="525"/>
      <c r="C101" s="525"/>
      <c r="D101" s="525"/>
      <c r="E101" s="525"/>
    </row>
    <row r="102" spans="1:5" ht="15">
      <c r="A102" s="524"/>
      <c r="B102" s="525"/>
      <c r="C102" s="525"/>
      <c r="D102" s="525"/>
      <c r="E102" s="525"/>
    </row>
    <row r="103" spans="1:5" ht="15">
      <c r="A103" s="524"/>
      <c r="B103" s="525"/>
      <c r="C103" s="525"/>
      <c r="D103" s="525"/>
      <c r="E103" s="525"/>
    </row>
    <row r="104" spans="1:5" ht="15">
      <c r="A104" s="524"/>
      <c r="B104" s="525"/>
      <c r="C104" s="525"/>
      <c r="D104" s="525"/>
      <c r="E104" s="525"/>
    </row>
    <row r="105" spans="1:5" ht="15">
      <c r="A105" s="524"/>
      <c r="B105" s="525"/>
      <c r="C105" s="525"/>
      <c r="D105" s="525"/>
      <c r="E105" s="525"/>
    </row>
    <row r="106" spans="1:5" ht="15">
      <c r="A106" s="524"/>
      <c r="B106" s="525"/>
      <c r="C106" s="525"/>
      <c r="D106" s="525"/>
      <c r="E106" s="525"/>
    </row>
    <row r="107" spans="1:5" ht="15">
      <c r="A107" s="524"/>
      <c r="B107" s="525"/>
      <c r="C107" s="525"/>
      <c r="D107" s="525"/>
      <c r="E107" s="525"/>
    </row>
    <row r="108" spans="1:5" ht="15">
      <c r="A108" s="524"/>
      <c r="B108" s="525"/>
      <c r="C108" s="525"/>
      <c r="D108" s="525"/>
      <c r="E108" s="525"/>
    </row>
    <row r="109" spans="1:5" ht="15">
      <c r="A109" s="524"/>
      <c r="B109" s="525"/>
      <c r="C109" s="525"/>
      <c r="D109" s="525"/>
      <c r="E109" s="525"/>
    </row>
    <row r="110" spans="1:5" ht="15">
      <c r="A110" s="524"/>
      <c r="B110" s="525"/>
      <c r="C110" s="525"/>
      <c r="D110" s="525"/>
      <c r="E110" s="525"/>
    </row>
    <row r="111" spans="1:5" ht="15">
      <c r="A111" s="524"/>
      <c r="B111" s="525"/>
      <c r="C111" s="525"/>
      <c r="D111" s="525"/>
      <c r="E111" s="525"/>
    </row>
    <row r="112" spans="1:5" ht="15">
      <c r="A112" s="524"/>
      <c r="B112" s="525"/>
      <c r="C112" s="525"/>
      <c r="D112" s="525"/>
      <c r="E112" s="525"/>
    </row>
    <row r="113" spans="1:5" ht="15">
      <c r="A113" s="524"/>
      <c r="B113" s="525"/>
      <c r="C113" s="525"/>
      <c r="D113" s="525"/>
      <c r="E113" s="525"/>
    </row>
    <row r="114" spans="1:5" ht="15">
      <c r="A114" s="524"/>
      <c r="B114" s="525"/>
      <c r="C114" s="525"/>
      <c r="D114" s="525"/>
      <c r="E114" s="525"/>
    </row>
    <row r="115" spans="1:5" ht="15">
      <c r="A115" s="524"/>
      <c r="B115" s="525"/>
      <c r="C115" s="525"/>
      <c r="D115" s="525"/>
      <c r="E115" s="525"/>
    </row>
  </sheetData>
  <sheetProtection/>
  <protectedRanges>
    <protectedRange sqref="A41:E115" name="Range6"/>
    <protectedRange sqref="E23:E26" name="Range5"/>
    <protectedRange sqref="B23:B26" name="Range4"/>
    <protectedRange sqref="E8:E20" name="Range3"/>
    <protectedRange sqref="B8:B20" name="Range2"/>
    <protectedRange sqref="B6" name="Range1"/>
  </protectedRanges>
  <mergeCells count="7">
    <mergeCell ref="A41:E43"/>
    <mergeCell ref="A44:E46"/>
    <mergeCell ref="A47:E49"/>
    <mergeCell ref="A1:E1"/>
    <mergeCell ref="A2:E2"/>
    <mergeCell ref="A3:E3"/>
    <mergeCell ref="A4:E4"/>
  </mergeCells>
  <dataValidations count="3">
    <dataValidation type="whole" showInputMessage="1" showErrorMessage="1" errorTitle="Invalid Year Entered" error="Type in the current year here." sqref="B6">
      <formula1>2008</formula1>
      <formula2>2028</formula2>
    </dataValidation>
    <dataValidation type="whole" allowBlank="1" showInputMessage="1" showErrorMessage="1" promptTitle="NAIC Group Code" prompt="Enter the NAIC Group Code for the insurer here.  If the insurer is independent, enter 0." errorTitle="Invalid NAIC Group Number" error="The NAIC Group Number must be between 0 (independent) and 9999." sqref="B8">
      <formula1>0</formula1>
      <formula2>9999</formula2>
    </dataValidation>
    <dataValidation type="custom" allowBlank="1" showInputMessage="1" showErrorMessage="1" promptTitle="NAIC Company Code" prompt="Enter the 5 digit NAIC Company Code here.  If the insurer has less than 10 companies to report data for, enter 0 in the remaining cells." errorTitle="Invalid NAIC Number" error="The NAIC Number must be a 5 digit whole number, or 0 if the filing is for less than 10 companies." sqref="B9:B20">
      <formula1>OR(B9=0,AND(B9&gt;=10000,B9&lt;=99999))</formula1>
    </dataValidation>
  </dataValidations>
  <printOptions horizontalCentered="1"/>
  <pageMargins left="0.5" right="0.5" top="1" bottom="1" header="0.5" footer="0.5"/>
  <pageSetup firstPageNumber="0" useFirstPageNumber="1" fitToHeight="1" fitToWidth="1" horizontalDpi="600" verticalDpi="600" orientation="landscape" scale="69" r:id="rId3"/>
  <headerFooter alignWithMargins="0">
    <oddFooter>&amp;L&amp;D&amp;RCover Page</oddFooter>
  </headerFooter>
  <legacyDrawing r:id="rId2"/>
</worksheet>
</file>

<file path=xl/worksheets/sheet10.xml><?xml version="1.0" encoding="utf-8"?>
<worksheet xmlns="http://schemas.openxmlformats.org/spreadsheetml/2006/main" xmlns:r="http://schemas.openxmlformats.org/officeDocument/2006/relationships">
  <sheetPr codeName="Sheet32" transitionEvaluation="1"/>
  <dimension ref="A1:L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InputB!$A$1</f>
        <v>Group Name:</v>
      </c>
      <c r="B1" s="137" t="str">
        <f>InputA!$C$1</f>
        <v>enter group name here</v>
      </c>
      <c r="C1" s="136"/>
      <c r="D1"/>
      <c r="E1"/>
      <c r="F1"/>
      <c r="G1"/>
      <c r="H1"/>
      <c r="I1"/>
      <c r="J1"/>
      <c r="K1"/>
      <c r="L1" s="138" t="s">
        <v>394</v>
      </c>
    </row>
    <row r="2" spans="1:12" ht="15.75" customHeight="1">
      <c r="A2" s="140" t="str">
        <f>InputB!$A$2</f>
        <v>Group NAIC #:</v>
      </c>
      <c r="B2" s="137" t="str">
        <f>InputA!$C$2</f>
        <v>enter group # here</v>
      </c>
      <c r="C2" s="136"/>
      <c r="D2"/>
      <c r="E2"/>
      <c r="F2"/>
      <c r="G2"/>
      <c r="H2"/>
      <c r="I2"/>
      <c r="J2"/>
      <c r="K2"/>
      <c r="L2" s="138" t="s">
        <v>363</v>
      </c>
    </row>
    <row r="3" spans="1:11" ht="15.75" customHeight="1">
      <c r="A3" s="136" t="str">
        <f>InputB!$A$3</f>
        <v>Year Filed:</v>
      </c>
      <c r="B3" s="141">
        <f>InputA!$C$3</f>
        <v>2024</v>
      </c>
      <c r="C3" s="136"/>
      <c r="D3"/>
      <c r="E3"/>
      <c r="F3"/>
      <c r="G3"/>
      <c r="H3"/>
      <c r="I3"/>
      <c r="J3"/>
      <c r="K3"/>
    </row>
    <row r="4" spans="4:11" ht="15.75" customHeight="1" thickBot="1">
      <c r="D4"/>
      <c r="E4"/>
      <c r="F4"/>
      <c r="G4"/>
      <c r="H4"/>
      <c r="I4"/>
      <c r="J4"/>
      <c r="K4"/>
    </row>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2015</v>
      </c>
      <c r="C8" s="177">
        <f t="shared" si="0"/>
        <v>2016</v>
      </c>
      <c r="D8" s="177">
        <f t="shared" si="0"/>
        <v>2017</v>
      </c>
      <c r="E8" s="177">
        <f t="shared" si="0"/>
        <v>2018</v>
      </c>
      <c r="F8" s="177">
        <f t="shared" si="0"/>
        <v>2019</v>
      </c>
      <c r="G8" s="177">
        <f t="shared" si="0"/>
        <v>2020</v>
      </c>
      <c r="H8" s="177">
        <f t="shared" si="0"/>
        <v>2021</v>
      </c>
      <c r="I8" s="177">
        <f t="shared" si="0"/>
        <v>2022</v>
      </c>
      <c r="J8" s="178">
        <f>ReportYear-1</f>
        <v>2023</v>
      </c>
      <c r="K8" s="179"/>
      <c r="L8" s="104"/>
    </row>
    <row r="9" spans="1:12" ht="15.75" customHeight="1">
      <c r="A9" s="172" t="s">
        <v>34</v>
      </c>
      <c r="B9" s="41">
        <f>InputA!E46</f>
        <v>0</v>
      </c>
      <c r="C9" s="41">
        <f>InputA!F46</f>
        <v>0</v>
      </c>
      <c r="D9" s="35">
        <f>InputA!G46</f>
        <v>0</v>
      </c>
      <c r="E9" s="35">
        <f>InputA!H46</f>
        <v>0</v>
      </c>
      <c r="F9" s="35">
        <f>InputA!I46</f>
        <v>0</v>
      </c>
      <c r="G9" s="35">
        <f>InputA!J46</f>
        <v>0</v>
      </c>
      <c r="H9" s="35">
        <f>InputA!K46</f>
        <v>0</v>
      </c>
      <c r="I9" s="35">
        <f>InputA!L46</f>
        <v>0</v>
      </c>
      <c r="J9" s="80">
        <f>InputA!M46</f>
        <v>0</v>
      </c>
      <c r="K9" s="41"/>
      <c r="L9" s="104"/>
    </row>
    <row r="10" spans="1:12" ht="15.75" customHeight="1">
      <c r="A10" s="176" t="s">
        <v>35</v>
      </c>
      <c r="B10" s="41">
        <f>InputA!E47</f>
        <v>0</v>
      </c>
      <c r="C10" s="35">
        <f>InputA!F47</f>
        <v>0</v>
      </c>
      <c r="D10" s="35">
        <f>InputA!G47</f>
        <v>0</v>
      </c>
      <c r="E10" s="35">
        <f>InputA!H47</f>
        <v>0</v>
      </c>
      <c r="F10" s="35">
        <f>InputA!I47</f>
        <v>0</v>
      </c>
      <c r="G10" s="35">
        <f>InputA!J47</f>
        <v>0</v>
      </c>
      <c r="H10" s="35">
        <f>InputA!K47</f>
        <v>0</v>
      </c>
      <c r="I10" s="35">
        <f>InputA!L47</f>
        <v>0</v>
      </c>
      <c r="J10" s="93"/>
      <c r="K10" s="35"/>
      <c r="L10" s="104"/>
    </row>
    <row r="11" spans="1:12" ht="15.75" customHeight="1">
      <c r="A11" s="176" t="s">
        <v>36</v>
      </c>
      <c r="B11" s="35">
        <f>InputA!E48</f>
        <v>0</v>
      </c>
      <c r="C11" s="35">
        <f>InputA!F48</f>
        <v>0</v>
      </c>
      <c r="D11" s="35">
        <f>InputA!G48</f>
        <v>0</v>
      </c>
      <c r="E11" s="35">
        <f>InputA!H48</f>
        <v>0</v>
      </c>
      <c r="F11" s="35">
        <f>InputA!I48</f>
        <v>0</v>
      </c>
      <c r="G11" s="35">
        <f>InputA!J48</f>
        <v>0</v>
      </c>
      <c r="H11" s="35">
        <f>InputA!K48</f>
        <v>0</v>
      </c>
      <c r="I11" s="35"/>
      <c r="J11" s="93"/>
      <c r="K11" s="35"/>
      <c r="L11" s="104"/>
    </row>
    <row r="12" spans="1:11" ht="15.75" customHeight="1">
      <c r="A12" s="172" t="s">
        <v>37</v>
      </c>
      <c r="B12" s="35">
        <f>InputA!E49</f>
        <v>0</v>
      </c>
      <c r="C12" s="35">
        <f>InputA!F49</f>
        <v>0</v>
      </c>
      <c r="D12" s="35">
        <f>InputA!G49</f>
        <v>0</v>
      </c>
      <c r="E12" s="35">
        <f>InputA!H49</f>
        <v>0</v>
      </c>
      <c r="F12" s="35">
        <f>InputA!I49</f>
        <v>0</v>
      </c>
      <c r="G12" s="35">
        <f>InputA!J49</f>
        <v>0</v>
      </c>
      <c r="H12" s="35"/>
      <c r="I12" s="35"/>
      <c r="J12" s="93"/>
      <c r="K12" s="35"/>
    </row>
    <row r="13" spans="1:11" ht="15.75" customHeight="1">
      <c r="A13" s="172" t="s">
        <v>38</v>
      </c>
      <c r="B13" s="35">
        <f>InputA!E50</f>
        <v>0</v>
      </c>
      <c r="C13" s="35">
        <f>InputA!F50</f>
        <v>0</v>
      </c>
      <c r="D13" s="35">
        <f>InputA!G50</f>
        <v>0</v>
      </c>
      <c r="E13" s="35">
        <f>InputA!H50</f>
        <v>0</v>
      </c>
      <c r="F13" s="35">
        <f>InputA!I50</f>
        <v>0</v>
      </c>
      <c r="G13" s="35"/>
      <c r="H13" s="35"/>
      <c r="I13" s="35"/>
      <c r="J13" s="93"/>
      <c r="K13" s="35"/>
    </row>
    <row r="14" spans="1:11" ht="15.75" customHeight="1">
      <c r="A14" s="172" t="s">
        <v>39</v>
      </c>
      <c r="B14" s="35">
        <f>InputA!E51</f>
        <v>0</v>
      </c>
      <c r="C14" s="35">
        <f>InputA!F51</f>
        <v>0</v>
      </c>
      <c r="D14" s="35">
        <f>InputA!G51</f>
        <v>0</v>
      </c>
      <c r="E14" s="35">
        <f>InputA!H51</f>
        <v>0</v>
      </c>
      <c r="F14" s="35"/>
      <c r="G14" s="35"/>
      <c r="H14" s="35"/>
      <c r="I14" s="35"/>
      <c r="J14" s="93"/>
      <c r="K14" s="35"/>
    </row>
    <row r="15" spans="1:11" ht="15.75" customHeight="1">
      <c r="A15" s="172" t="s">
        <v>40</v>
      </c>
      <c r="B15" s="35">
        <f>InputA!E52</f>
        <v>0</v>
      </c>
      <c r="C15" s="35">
        <f>InputA!F52</f>
        <v>0</v>
      </c>
      <c r="D15" s="35">
        <f>InputA!G52</f>
        <v>0</v>
      </c>
      <c r="E15" s="183"/>
      <c r="F15" s="35"/>
      <c r="G15" s="35"/>
      <c r="H15" s="35"/>
      <c r="I15" s="35"/>
      <c r="J15" s="93"/>
      <c r="K15" s="35"/>
    </row>
    <row r="16" spans="1:11" ht="15.75" customHeight="1" thickBot="1">
      <c r="A16" s="184" t="s">
        <v>354</v>
      </c>
      <c r="B16" s="36">
        <f>InputA!E53</f>
        <v>0</v>
      </c>
      <c r="C16" s="36">
        <f>InputA!F53</f>
        <v>0</v>
      </c>
      <c r="D16" s="36"/>
      <c r="E16" s="185"/>
      <c r="F16" s="36"/>
      <c r="G16" s="36"/>
      <c r="H16" s="36"/>
      <c r="I16" s="36"/>
      <c r="J16" s="96"/>
      <c r="K16" s="35"/>
    </row>
    <row r="17" ht="15.75" customHeight="1" thickBot="1"/>
    <row r="18" spans="1:12" ht="15.75" customHeight="1">
      <c r="A18" s="167" t="s">
        <v>53</v>
      </c>
      <c r="B18" s="401"/>
      <c r="C18" s="168"/>
      <c r="D18" s="168"/>
      <c r="E18" s="168"/>
      <c r="F18" s="168"/>
      <c r="G18" s="168"/>
      <c r="H18" s="168"/>
      <c r="I18" s="168"/>
      <c r="J18" s="148" t="s">
        <v>140</v>
      </c>
      <c r="K18" s="148" t="s">
        <v>59</v>
      </c>
      <c r="L18" s="149" t="s">
        <v>141</v>
      </c>
    </row>
    <row r="19" spans="1:12" ht="15.75" customHeight="1">
      <c r="A19" s="187" t="s">
        <v>106</v>
      </c>
      <c r="B19" s="174" t="str">
        <f>B7</f>
        <v>Accident Year</v>
      </c>
      <c r="C19" s="174"/>
      <c r="D19" s="174"/>
      <c r="E19" s="174"/>
      <c r="F19" s="174"/>
      <c r="G19" s="174"/>
      <c r="H19" s="174"/>
      <c r="I19" s="174"/>
      <c r="J19" s="150" t="s">
        <v>98</v>
      </c>
      <c r="K19" s="151" t="str">
        <f>A19</f>
        <v>Development</v>
      </c>
      <c r="L19" s="188" t="s">
        <v>99</v>
      </c>
    </row>
    <row r="20" spans="1:12" ht="15.75" customHeight="1">
      <c r="A20" s="144" t="s">
        <v>20</v>
      </c>
      <c r="B20" s="177">
        <f>B8</f>
        <v>2015</v>
      </c>
      <c r="C20" s="177">
        <f aca="true" t="shared" si="1" ref="C20:I20">C8</f>
        <v>2016</v>
      </c>
      <c r="D20" s="177">
        <f t="shared" si="1"/>
        <v>2017</v>
      </c>
      <c r="E20" s="177">
        <f t="shared" si="1"/>
        <v>2018</v>
      </c>
      <c r="F20" s="177">
        <f t="shared" si="1"/>
        <v>2019</v>
      </c>
      <c r="G20" s="177">
        <f t="shared" si="1"/>
        <v>2020</v>
      </c>
      <c r="H20" s="177">
        <f t="shared" si="1"/>
        <v>2021</v>
      </c>
      <c r="I20" s="177">
        <f t="shared" si="1"/>
        <v>2022</v>
      </c>
      <c r="J20" s="189" t="s">
        <v>22</v>
      </c>
      <c r="K20" s="152" t="str">
        <f>A20</f>
        <v>Factors</v>
      </c>
      <c r="L20" s="153" t="str">
        <f>J20</f>
        <v>LDF</v>
      </c>
    </row>
    <row r="21" spans="1:12" ht="15.75" customHeight="1">
      <c r="A21" s="172" t="s">
        <v>41</v>
      </c>
      <c r="B21" s="195" t="str">
        <f aca="true" t="shared" si="2" ref="B21:I21">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 aca="true" t="shared" si="3" ref="J21:J27">IF(COUNT(B21:I21)=0,1,IF(COUNT(B21:I21)&lt;=4,AVERAGE(B21:I21),(SUM(B21:I21)-MAX(B21:I21)-MIN(B21:I21))/(COUNT(B21:I21)-2)))</f>
        <v>1</v>
      </c>
      <c r="K21" s="119" t="s">
        <v>168</v>
      </c>
      <c r="L21" s="81">
        <f aca="true" t="shared" si="4" ref="L21:L27">L22*J21</f>
        <v>1</v>
      </c>
    </row>
    <row r="22" spans="1:12" ht="15.75" customHeight="1">
      <c r="A22" s="172" t="s">
        <v>42</v>
      </c>
      <c r="B22" s="195" t="str">
        <f aca="true" t="shared" si="5" ref="B22:H22">IF(B10&gt;0,B11/B10,"-----")</f>
        <v>-----</v>
      </c>
      <c r="C22" s="195" t="str">
        <f t="shared" si="5"/>
        <v>-----</v>
      </c>
      <c r="D22" s="195" t="str">
        <f t="shared" si="5"/>
        <v>-----</v>
      </c>
      <c r="E22" s="195" t="str">
        <f t="shared" si="5"/>
        <v>-----</v>
      </c>
      <c r="F22" s="195" t="str">
        <f t="shared" si="5"/>
        <v>-----</v>
      </c>
      <c r="G22" s="195" t="str">
        <f t="shared" si="5"/>
        <v>-----</v>
      </c>
      <c r="H22" s="195" t="str">
        <f t="shared" si="5"/>
        <v>-----</v>
      </c>
      <c r="I22" s="195"/>
      <c r="J22" s="468">
        <f t="shared" si="3"/>
        <v>1</v>
      </c>
      <c r="K22" s="119" t="s">
        <v>169</v>
      </c>
      <c r="L22" s="81">
        <f t="shared" si="4"/>
        <v>1</v>
      </c>
    </row>
    <row r="23" spans="1:12" ht="15.75" customHeight="1">
      <c r="A23" s="172" t="s">
        <v>43</v>
      </c>
      <c r="B23" s="195" t="str">
        <f aca="true" t="shared" si="6" ref="B23:G23">IF(B11&gt;0,B12/B11,"-----")</f>
        <v>-----</v>
      </c>
      <c r="C23" s="195" t="str">
        <f t="shared" si="6"/>
        <v>-----</v>
      </c>
      <c r="D23" s="195" t="str">
        <f t="shared" si="6"/>
        <v>-----</v>
      </c>
      <c r="E23" s="195" t="str">
        <f t="shared" si="6"/>
        <v>-----</v>
      </c>
      <c r="F23" s="195" t="str">
        <f t="shared" si="6"/>
        <v>-----</v>
      </c>
      <c r="G23" s="195" t="str">
        <f t="shared" si="6"/>
        <v>-----</v>
      </c>
      <c r="H23" s="195"/>
      <c r="I23" s="195"/>
      <c r="J23" s="468">
        <f t="shared" si="3"/>
        <v>1</v>
      </c>
      <c r="K23" s="119" t="s">
        <v>172</v>
      </c>
      <c r="L23" s="81">
        <f t="shared" si="4"/>
        <v>1</v>
      </c>
    </row>
    <row r="24" spans="1:12" ht="15.75" customHeight="1">
      <c r="A24" s="172" t="s">
        <v>44</v>
      </c>
      <c r="B24" s="195" t="str">
        <f>IF(B12&gt;0,B13/B12,"-----")</f>
        <v>-----</v>
      </c>
      <c r="C24" s="195" t="str">
        <f>IF(C12&gt;0,C13/C12,"-----")</f>
        <v>-----</v>
      </c>
      <c r="D24" s="195" t="str">
        <f>IF(D12&gt;0,D13/D12,"-----")</f>
        <v>-----</v>
      </c>
      <c r="E24" s="195" t="str">
        <f>IF(E12&gt;0,E13/E12,"-----")</f>
        <v>-----</v>
      </c>
      <c r="F24" s="195" t="str">
        <f>IF(F12&gt;0,F13/F12,"-----")</f>
        <v>-----</v>
      </c>
      <c r="G24" s="195"/>
      <c r="H24" s="195"/>
      <c r="I24" s="195"/>
      <c r="J24" s="468">
        <f t="shared" si="3"/>
        <v>1</v>
      </c>
      <c r="K24" s="119" t="s">
        <v>170</v>
      </c>
      <c r="L24" s="81">
        <f t="shared" si="4"/>
        <v>1</v>
      </c>
    </row>
    <row r="25" spans="1:12" ht="15.75" customHeight="1">
      <c r="A25" s="172" t="s">
        <v>45</v>
      </c>
      <c r="B25" s="195" t="str">
        <f>IF(B13&gt;0,B14/B13,"-----")</f>
        <v>-----</v>
      </c>
      <c r="C25" s="195" t="str">
        <f>IF(C13&gt;0,C14/C13,"-----")</f>
        <v>-----</v>
      </c>
      <c r="D25" s="195" t="str">
        <f>IF(D13&gt;0,D14/D13,"-----")</f>
        <v>-----</v>
      </c>
      <c r="E25" s="195" t="str">
        <f>IF(E13&gt;0,E14/E13,"-----")</f>
        <v>-----</v>
      </c>
      <c r="F25" s="195"/>
      <c r="G25" s="195"/>
      <c r="H25" s="195"/>
      <c r="I25" s="195"/>
      <c r="J25" s="468">
        <f t="shared" si="3"/>
        <v>1</v>
      </c>
      <c r="K25" s="119" t="s">
        <v>171</v>
      </c>
      <c r="L25" s="81">
        <f t="shared" si="4"/>
        <v>1</v>
      </c>
    </row>
    <row r="26" spans="1:12" ht="15.75" customHeight="1">
      <c r="A26" s="172" t="s">
        <v>46</v>
      </c>
      <c r="B26" s="195" t="str">
        <f>IF(B14&gt;0,B15/B14,"-----")</f>
        <v>-----</v>
      </c>
      <c r="C26" s="195" t="str">
        <f>IF(C14&gt;0,C15/C14,"-----")</f>
        <v>-----</v>
      </c>
      <c r="D26" s="195" t="str">
        <f>IF(D14&gt;0,D15/D14,"-----")</f>
        <v>-----</v>
      </c>
      <c r="E26" s="192"/>
      <c r="F26" s="192"/>
      <c r="G26" s="192"/>
      <c r="H26" s="192"/>
      <c r="I26" s="192"/>
      <c r="J26" s="468">
        <f t="shared" si="3"/>
        <v>1</v>
      </c>
      <c r="K26" s="119" t="s">
        <v>176</v>
      </c>
      <c r="L26" s="81">
        <f t="shared" si="4"/>
        <v>1</v>
      </c>
    </row>
    <row r="27" spans="1:12" ht="15.75" customHeight="1">
      <c r="A27" s="172" t="s">
        <v>148</v>
      </c>
      <c r="B27" s="195" t="str">
        <f>IF(B15&gt;0,B16/B15,"-----")</f>
        <v>-----</v>
      </c>
      <c r="C27" s="195" t="str">
        <f>IF(C15&gt;0,C16/C15,"-----")</f>
        <v>-----</v>
      </c>
      <c r="D27" s="192"/>
      <c r="E27" s="192"/>
      <c r="F27" s="192"/>
      <c r="G27" s="192"/>
      <c r="H27" s="192"/>
      <c r="I27" s="192"/>
      <c r="J27" s="468">
        <f t="shared" si="3"/>
        <v>1</v>
      </c>
      <c r="K27" s="119" t="s">
        <v>177</v>
      </c>
      <c r="L27" s="81">
        <f t="shared" si="4"/>
        <v>1</v>
      </c>
    </row>
    <row r="28" spans="1:12" ht="15.75" customHeight="1" thickBot="1">
      <c r="A28" s="191"/>
      <c r="B28" s="129"/>
      <c r="C28" s="129"/>
      <c r="D28" s="129"/>
      <c r="E28" s="129"/>
      <c r="F28" s="129"/>
      <c r="G28" s="129"/>
      <c r="H28" s="129"/>
      <c r="I28" s="190" t="s">
        <v>104</v>
      </c>
      <c r="J28" s="82">
        <f>IF(InputA!G$66=1,MAX(1,(J26*J27)^0.5),InputA!G$66)</f>
        <v>1</v>
      </c>
      <c r="K28" s="190" t="s">
        <v>178</v>
      </c>
      <c r="L28" s="83">
        <f>J28</f>
        <v>1</v>
      </c>
    </row>
    <row r="29" spans="9:11" ht="15.75" customHeight="1" thickBot="1">
      <c r="I29" s="9"/>
      <c r="J29" s="9"/>
      <c r="K29" s="10"/>
    </row>
    <row r="30" spans="1:12" ht="15.75" customHeight="1">
      <c r="A30" s="651" t="s">
        <v>56</v>
      </c>
      <c r="B30" s="652" t="s">
        <v>118</v>
      </c>
      <c r="C30" s="652" t="s">
        <v>119</v>
      </c>
      <c r="D30" s="652" t="s">
        <v>120</v>
      </c>
      <c r="E30" s="652" t="s">
        <v>121</v>
      </c>
      <c r="F30" s="653" t="s">
        <v>122</v>
      </c>
      <c r="G30" s="654"/>
      <c r="H30" s="655" t="s">
        <v>57</v>
      </c>
      <c r="I30" s="656" t="s">
        <v>118</v>
      </c>
      <c r="J30" s="656" t="s">
        <v>119</v>
      </c>
      <c r="K30" s="656" t="s">
        <v>120</v>
      </c>
      <c r="L30" s="657" t="s">
        <v>121</v>
      </c>
    </row>
    <row r="31" spans="1:12" ht="15.75" customHeight="1">
      <c r="A31" s="658"/>
      <c r="B31" s="659" t="s">
        <v>101</v>
      </c>
      <c r="C31" s="659" t="s">
        <v>101</v>
      </c>
      <c r="D31" s="659" t="s">
        <v>101</v>
      </c>
      <c r="E31" s="659" t="s">
        <v>101</v>
      </c>
      <c r="F31" s="660" t="s">
        <v>316</v>
      </c>
      <c r="G31" s="654"/>
      <c r="H31" s="661" t="s">
        <v>59</v>
      </c>
      <c r="I31" s="659" t="s">
        <v>313</v>
      </c>
      <c r="J31" s="659" t="s">
        <v>314</v>
      </c>
      <c r="K31" s="662" t="s">
        <v>316</v>
      </c>
      <c r="L31" s="663" t="s">
        <v>312</v>
      </c>
    </row>
    <row r="32" spans="1:12" ht="15.75" customHeight="1">
      <c r="A32" s="664" t="s">
        <v>17</v>
      </c>
      <c r="B32" s="665" t="s">
        <v>317</v>
      </c>
      <c r="C32" s="665" t="s">
        <v>318</v>
      </c>
      <c r="D32" s="666" t="s">
        <v>319</v>
      </c>
      <c r="E32" s="665" t="s">
        <v>316</v>
      </c>
      <c r="F32" s="667" t="s">
        <v>320</v>
      </c>
      <c r="G32" s="654"/>
      <c r="H32" s="668" t="s">
        <v>33</v>
      </c>
      <c r="I32" s="669" t="str">
        <f>"@ 3/31/"&amp;TEXT(MOD(ReportYear,100),"00")</f>
        <v>@ 3/31/24</v>
      </c>
      <c r="J32" s="670" t="s">
        <v>315</v>
      </c>
      <c r="K32" s="671" t="s">
        <v>21</v>
      </c>
      <c r="L32" s="672" t="str">
        <f>I32</f>
        <v>@ 3/31/24</v>
      </c>
    </row>
    <row r="33" spans="1:12" ht="15.75" customHeight="1">
      <c r="A33" s="673">
        <f>$B$3-1</f>
        <v>2023</v>
      </c>
      <c r="B33" s="674">
        <f>InputA!$E$72</f>
        <v>0</v>
      </c>
      <c r="C33" s="674">
        <f>InputA!$E$73</f>
        <v>0</v>
      </c>
      <c r="D33" s="674">
        <f aca="true" t="shared" si="7" ref="D33:D41">B33+C33</f>
        <v>0</v>
      </c>
      <c r="E33" s="674">
        <f>InputA!$E$74</f>
        <v>0</v>
      </c>
      <c r="F33" s="675">
        <f aca="true" t="shared" si="8" ref="F33:F41">IF(D33=0,0,E33/D33)</f>
        <v>0</v>
      </c>
      <c r="G33" s="654"/>
      <c r="H33" s="676">
        <f>ReportYear-1</f>
        <v>2023</v>
      </c>
      <c r="I33" s="500">
        <f>J9</f>
        <v>0</v>
      </c>
      <c r="J33" s="468">
        <f aca="true" t="shared" si="9" ref="J33:J39">L21</f>
        <v>1</v>
      </c>
      <c r="K33" s="677">
        <f>MIN(MAX(AVERAGE(F33:F35)+1,1.05),1.3)</f>
        <v>1.05</v>
      </c>
      <c r="L33" s="616">
        <f>J33*I33*K33</f>
        <v>0</v>
      </c>
    </row>
    <row r="34" spans="1:12" ht="15.75" customHeight="1">
      <c r="A34" s="673">
        <f aca="true" t="shared" si="10" ref="A34:A41">A33-1</f>
        <v>2022</v>
      </c>
      <c r="B34" s="674">
        <f>InputA!$F$72</f>
        <v>0</v>
      </c>
      <c r="C34" s="674">
        <f>InputA!$F$73</f>
        <v>0</v>
      </c>
      <c r="D34" s="674">
        <f t="shared" si="7"/>
        <v>0</v>
      </c>
      <c r="E34" s="674">
        <f>InputA!$F$74</f>
        <v>0</v>
      </c>
      <c r="F34" s="675">
        <f t="shared" si="8"/>
        <v>0</v>
      </c>
      <c r="G34" s="654"/>
      <c r="H34" s="676">
        <f aca="true" t="shared" si="11" ref="H34:H39">H33-1</f>
        <v>2022</v>
      </c>
      <c r="I34" s="500">
        <f>I10</f>
        <v>0</v>
      </c>
      <c r="J34" s="468">
        <f t="shared" si="9"/>
        <v>1</v>
      </c>
      <c r="K34" s="677">
        <f aca="true" t="shared" si="12" ref="K34:K39">MIN(MAX(AVERAGE(F34:F36)+1,1.05),1.3)</f>
        <v>1.05</v>
      </c>
      <c r="L34" s="616">
        <f aca="true" t="shared" si="13" ref="L34:L39">J34*I34*K34</f>
        <v>0</v>
      </c>
    </row>
    <row r="35" spans="1:12" ht="15.75" customHeight="1">
      <c r="A35" s="673">
        <f t="shared" si="10"/>
        <v>2021</v>
      </c>
      <c r="B35" s="674">
        <f>InputA!$G$72</f>
        <v>0</v>
      </c>
      <c r="C35" s="674">
        <f>InputA!$G$73</f>
        <v>0</v>
      </c>
      <c r="D35" s="674">
        <f t="shared" si="7"/>
        <v>0</v>
      </c>
      <c r="E35" s="674">
        <f>InputA!$G$74</f>
        <v>0</v>
      </c>
      <c r="F35" s="675">
        <f t="shared" si="8"/>
        <v>0</v>
      </c>
      <c r="G35" s="654"/>
      <c r="H35" s="676">
        <f t="shared" si="11"/>
        <v>2021</v>
      </c>
      <c r="I35" s="500">
        <f>H11</f>
        <v>0</v>
      </c>
      <c r="J35" s="468">
        <f t="shared" si="9"/>
        <v>1</v>
      </c>
      <c r="K35" s="677">
        <f t="shared" si="12"/>
        <v>1.05</v>
      </c>
      <c r="L35" s="616">
        <f t="shared" si="13"/>
        <v>0</v>
      </c>
    </row>
    <row r="36" spans="1:12" ht="15.75" customHeight="1">
      <c r="A36" s="673">
        <f t="shared" si="10"/>
        <v>2020</v>
      </c>
      <c r="B36" s="674">
        <f>InputA!$H$72</f>
        <v>0</v>
      </c>
      <c r="C36" s="674">
        <f>InputA!$H$73</f>
        <v>0</v>
      </c>
      <c r="D36" s="674">
        <f t="shared" si="7"/>
        <v>0</v>
      </c>
      <c r="E36" s="674">
        <f>InputA!$H$74</f>
        <v>0</v>
      </c>
      <c r="F36" s="675">
        <f t="shared" si="8"/>
        <v>0</v>
      </c>
      <c r="G36" s="654"/>
      <c r="H36" s="676">
        <f t="shared" si="11"/>
        <v>2020</v>
      </c>
      <c r="I36" s="500">
        <f>G12</f>
        <v>0</v>
      </c>
      <c r="J36" s="468">
        <f t="shared" si="9"/>
        <v>1</v>
      </c>
      <c r="K36" s="677">
        <f t="shared" si="12"/>
        <v>1.05</v>
      </c>
      <c r="L36" s="616">
        <f t="shared" si="13"/>
        <v>0</v>
      </c>
    </row>
    <row r="37" spans="1:12" ht="15.75" customHeight="1">
      <c r="A37" s="673">
        <f t="shared" si="10"/>
        <v>2019</v>
      </c>
      <c r="B37" s="674">
        <f>InputA!$I$72</f>
        <v>0</v>
      </c>
      <c r="C37" s="674">
        <f>InputA!$I$73</f>
        <v>0</v>
      </c>
      <c r="D37" s="674">
        <f t="shared" si="7"/>
        <v>0</v>
      </c>
      <c r="E37" s="674">
        <f>InputA!$I$74</f>
        <v>0</v>
      </c>
      <c r="F37" s="675">
        <f t="shared" si="8"/>
        <v>0</v>
      </c>
      <c r="G37" s="654"/>
      <c r="H37" s="676">
        <f t="shared" si="11"/>
        <v>2019</v>
      </c>
      <c r="I37" s="500">
        <f>F13</f>
        <v>0</v>
      </c>
      <c r="J37" s="468">
        <f t="shared" si="9"/>
        <v>1</v>
      </c>
      <c r="K37" s="677">
        <f t="shared" si="12"/>
        <v>1.05</v>
      </c>
      <c r="L37" s="616">
        <f t="shared" si="13"/>
        <v>0</v>
      </c>
    </row>
    <row r="38" spans="1:12" ht="15.75" customHeight="1">
      <c r="A38" s="673">
        <f t="shared" si="10"/>
        <v>2018</v>
      </c>
      <c r="B38" s="674">
        <f>InputA!$J$72</f>
        <v>0</v>
      </c>
      <c r="C38" s="674">
        <f>InputA!$J$73</f>
        <v>0</v>
      </c>
      <c r="D38" s="674">
        <f t="shared" si="7"/>
        <v>0</v>
      </c>
      <c r="E38" s="674">
        <f>InputA!$J$74</f>
        <v>0</v>
      </c>
      <c r="F38" s="675">
        <f t="shared" si="8"/>
        <v>0</v>
      </c>
      <c r="G38" s="654"/>
      <c r="H38" s="676">
        <f t="shared" si="11"/>
        <v>2018</v>
      </c>
      <c r="I38" s="500">
        <f>E14</f>
        <v>0</v>
      </c>
      <c r="J38" s="468">
        <f t="shared" si="9"/>
        <v>1</v>
      </c>
      <c r="K38" s="677">
        <f t="shared" si="12"/>
        <v>1.05</v>
      </c>
      <c r="L38" s="616">
        <f t="shared" si="13"/>
        <v>0</v>
      </c>
    </row>
    <row r="39" spans="1:12" ht="15.75" customHeight="1" thickBot="1">
      <c r="A39" s="673">
        <f t="shared" si="10"/>
        <v>2017</v>
      </c>
      <c r="B39" s="674">
        <f>InputA!$K$72</f>
        <v>0</v>
      </c>
      <c r="C39" s="674">
        <f>InputA!$K$73</f>
        <v>0</v>
      </c>
      <c r="D39" s="674">
        <f t="shared" si="7"/>
        <v>0</v>
      </c>
      <c r="E39" s="674">
        <f>InputA!$K$74</f>
        <v>0</v>
      </c>
      <c r="F39" s="675">
        <f t="shared" si="8"/>
        <v>0</v>
      </c>
      <c r="G39" s="654"/>
      <c r="H39" s="678">
        <f t="shared" si="11"/>
        <v>2017</v>
      </c>
      <c r="I39" s="679">
        <f>D15</f>
        <v>0</v>
      </c>
      <c r="J39" s="469">
        <f t="shared" si="9"/>
        <v>1</v>
      </c>
      <c r="K39" s="680">
        <f t="shared" si="12"/>
        <v>1.05</v>
      </c>
      <c r="L39" s="681">
        <f t="shared" si="13"/>
        <v>0</v>
      </c>
    </row>
    <row r="40" spans="1:12" ht="15.75" customHeight="1">
      <c r="A40" s="673">
        <f t="shared" si="10"/>
        <v>2016</v>
      </c>
      <c r="B40" s="674">
        <f>InputA!$L$72</f>
        <v>0</v>
      </c>
      <c r="C40" s="674">
        <f>InputA!$L$73</f>
        <v>0</v>
      </c>
      <c r="D40" s="674">
        <f t="shared" si="7"/>
        <v>0</v>
      </c>
      <c r="E40" s="674">
        <f>InputA!$L$74</f>
        <v>0</v>
      </c>
      <c r="F40" s="675">
        <f t="shared" si="8"/>
        <v>0</v>
      </c>
      <c r="G40" s="654"/>
      <c r="H40" s="682"/>
      <c r="I40" s="500"/>
      <c r="J40" s="468"/>
      <c r="K40" s="683"/>
      <c r="L40" s="500"/>
    </row>
    <row r="41" spans="1:12" ht="15.75" customHeight="1" thickBot="1">
      <c r="A41" s="684">
        <f t="shared" si="10"/>
        <v>2015</v>
      </c>
      <c r="B41" s="685">
        <f>InputA!$M$72</f>
        <v>0</v>
      </c>
      <c r="C41" s="685">
        <f>InputA!$M$73</f>
        <v>0</v>
      </c>
      <c r="D41" s="685">
        <f t="shared" si="7"/>
        <v>0</v>
      </c>
      <c r="E41" s="685">
        <f>InputA!$M$74</f>
        <v>0</v>
      </c>
      <c r="F41" s="686">
        <f t="shared" si="8"/>
        <v>0</v>
      </c>
      <c r="G41" s="654"/>
      <c r="H41" s="682"/>
      <c r="I41" s="500"/>
      <c r="J41" s="468"/>
      <c r="K41" s="683"/>
      <c r="L41" s="500"/>
    </row>
    <row r="42" spans="1:12" ht="15.75" customHeight="1">
      <c r="A42"/>
      <c r="B42"/>
      <c r="C42"/>
      <c r="D42"/>
      <c r="E42"/>
      <c r="F42"/>
      <c r="G42"/>
      <c r="H42"/>
      <c r="I42"/>
      <c r="J42"/>
      <c r="K42"/>
      <c r="L42"/>
    </row>
    <row r="43" spans="1:12" ht="15.75" customHeight="1">
      <c r="A43"/>
      <c r="B43"/>
      <c r="C43"/>
      <c r="D43"/>
      <c r="E43"/>
      <c r="F43"/>
      <c r="G43"/>
      <c r="H43"/>
      <c r="I43"/>
      <c r="J43"/>
      <c r="K43"/>
      <c r="L43"/>
    </row>
    <row r="44" spans="1:12" ht="15.75" customHeight="1">
      <c r="A44"/>
      <c r="B44"/>
      <c r="C44"/>
      <c r="D44"/>
      <c r="E44"/>
      <c r="F44"/>
      <c r="G44"/>
      <c r="H44"/>
      <c r="I44"/>
      <c r="J44"/>
      <c r="K44"/>
      <c r="L44"/>
    </row>
    <row r="45" spans="1:12" ht="15.75" customHeight="1">
      <c r="A45"/>
      <c r="B45"/>
      <c r="C45"/>
      <c r="D45"/>
      <c r="E45"/>
      <c r="F45"/>
      <c r="G45"/>
      <c r="H45"/>
      <c r="I45"/>
      <c r="J45"/>
      <c r="K45"/>
      <c r="L45"/>
    </row>
    <row r="46" spans="1:12" ht="15.75" customHeight="1">
      <c r="A46"/>
      <c r="B46"/>
      <c r="C46"/>
      <c r="D46"/>
      <c r="E46"/>
      <c r="F46"/>
      <c r="G46"/>
      <c r="H46"/>
      <c r="I46"/>
      <c r="J46"/>
      <c r="K46"/>
      <c r="L46"/>
    </row>
    <row r="47" spans="1:12" ht="15.75" customHeight="1">
      <c r="A47"/>
      <c r="B47"/>
      <c r="C47"/>
      <c r="D47"/>
      <c r="E47"/>
      <c r="F47"/>
      <c r="G47"/>
      <c r="H47"/>
      <c r="I47"/>
      <c r="J47"/>
      <c r="K47"/>
      <c r="L47"/>
    </row>
    <row r="48" spans="1:12" ht="15.75" customHeight="1">
      <c r="A48"/>
      <c r="B48"/>
      <c r="C48"/>
      <c r="D48"/>
      <c r="E48"/>
      <c r="F48"/>
      <c r="G48"/>
      <c r="H48"/>
      <c r="I48"/>
      <c r="J48"/>
      <c r="K48"/>
      <c r="L48"/>
    </row>
    <row r="49" spans="1:12" ht="15.75" customHeight="1">
      <c r="A49"/>
      <c r="B49"/>
      <c r="C49"/>
      <c r="D49"/>
      <c r="E49"/>
      <c r="F49"/>
      <c r="G49"/>
      <c r="H49"/>
      <c r="I49"/>
      <c r="J49"/>
      <c r="K49"/>
      <c r="L49"/>
    </row>
    <row r="50" spans="1:12" ht="15.75" customHeight="1">
      <c r="A50"/>
      <c r="B50"/>
      <c r="C50"/>
      <c r="D50"/>
      <c r="E50"/>
      <c r="F50"/>
      <c r="G50"/>
      <c r="H50"/>
      <c r="I50"/>
      <c r="J50"/>
      <c r="K50"/>
      <c r="L50"/>
    </row>
    <row r="51" spans="1:12" ht="15.75" customHeight="1">
      <c r="A51"/>
      <c r="B51"/>
      <c r="C51"/>
      <c r="D51"/>
      <c r="E51"/>
      <c r="F51"/>
      <c r="G51"/>
      <c r="H51"/>
      <c r="I51"/>
      <c r="J51"/>
      <c r="K51"/>
      <c r="L51"/>
    </row>
    <row r="52" spans="1:12" ht="15.75" customHeight="1">
      <c r="A52"/>
      <c r="B52"/>
      <c r="C52"/>
      <c r="D52"/>
      <c r="E52"/>
      <c r="F52"/>
      <c r="G52"/>
      <c r="H52"/>
      <c r="I52"/>
      <c r="J52"/>
      <c r="K52"/>
      <c r="L52"/>
    </row>
    <row r="53" spans="1:12" ht="15.75" customHeight="1">
      <c r="A53"/>
      <c r="B53"/>
      <c r="C53"/>
      <c r="D53"/>
      <c r="E53"/>
      <c r="F53"/>
      <c r="G53"/>
      <c r="H53"/>
      <c r="I53"/>
      <c r="J53"/>
      <c r="K53"/>
      <c r="L53"/>
    </row>
    <row r="54" spans="1:12" ht="15.75" customHeight="1">
      <c r="A54"/>
      <c r="B54"/>
      <c r="C54"/>
      <c r="D54"/>
      <c r="E54"/>
      <c r="F54"/>
      <c r="G54"/>
      <c r="H54"/>
      <c r="I54"/>
      <c r="J54"/>
      <c r="K54"/>
      <c r="L54"/>
    </row>
    <row r="55" spans="1:12" ht="15.75" customHeight="1">
      <c r="A55"/>
      <c r="B55"/>
      <c r="C55"/>
      <c r="D55"/>
      <c r="E55"/>
      <c r="F55"/>
      <c r="G55"/>
      <c r="H55"/>
      <c r="I55"/>
      <c r="J55"/>
      <c r="K55"/>
      <c r="L55"/>
    </row>
    <row r="56" spans="1:12" ht="15.75" customHeight="1">
      <c r="A56"/>
      <c r="B56"/>
      <c r="C56"/>
      <c r="D56"/>
      <c r="E56"/>
      <c r="F56"/>
      <c r="G56"/>
      <c r="H56"/>
      <c r="I56"/>
      <c r="J56"/>
      <c r="K56"/>
      <c r="L56"/>
    </row>
    <row r="57" spans="1:12" ht="15.75" customHeight="1">
      <c r="A57"/>
      <c r="B57"/>
      <c r="C57"/>
      <c r="D57"/>
      <c r="E57"/>
      <c r="F57"/>
      <c r="G57"/>
      <c r="H57"/>
      <c r="I57"/>
      <c r="J57"/>
      <c r="K57"/>
      <c r="L57"/>
    </row>
    <row r="58" spans="1:12" ht="15.75" customHeight="1">
      <c r="A58"/>
      <c r="B58"/>
      <c r="C58"/>
      <c r="D58"/>
      <c r="E58"/>
      <c r="F58"/>
      <c r="G58"/>
      <c r="H58"/>
      <c r="I58"/>
      <c r="J58"/>
      <c r="K58"/>
      <c r="L58"/>
    </row>
    <row r="59" spans="1:12" ht="15.75" customHeight="1">
      <c r="A59"/>
      <c r="B59"/>
      <c r="C59"/>
      <c r="D59"/>
      <c r="E59"/>
      <c r="F59"/>
      <c r="G59"/>
      <c r="H59"/>
      <c r="I59"/>
      <c r="J59"/>
      <c r="K59"/>
      <c r="L59"/>
    </row>
    <row r="60" spans="1:12" ht="15.75" customHeight="1">
      <c r="A60"/>
      <c r="B60"/>
      <c r="C60"/>
      <c r="D60"/>
      <c r="E60"/>
      <c r="F60"/>
      <c r="G60"/>
      <c r="H60"/>
      <c r="I60"/>
      <c r="J60"/>
      <c r="K60"/>
      <c r="L60"/>
    </row>
    <row r="61" spans="1:12" ht="15.75" customHeight="1">
      <c r="A61"/>
      <c r="B61"/>
      <c r="C61"/>
      <c r="D61"/>
      <c r="E61"/>
      <c r="F61"/>
      <c r="G61"/>
      <c r="H61"/>
      <c r="I61"/>
      <c r="J61"/>
      <c r="K61"/>
      <c r="L61"/>
    </row>
    <row r="62" spans="1:12" ht="15.75" customHeight="1">
      <c r="A62"/>
      <c r="B62"/>
      <c r="C62"/>
      <c r="D62"/>
      <c r="E62"/>
      <c r="F62"/>
      <c r="G62"/>
      <c r="H62"/>
      <c r="I62"/>
      <c r="J62"/>
      <c r="K62"/>
      <c r="L62"/>
    </row>
    <row r="63" spans="1:12" ht="15.75" customHeight="1">
      <c r="A63"/>
      <c r="B63"/>
      <c r="C63"/>
      <c r="D63"/>
      <c r="E63"/>
      <c r="F63"/>
      <c r="G63"/>
      <c r="H63"/>
      <c r="I63"/>
      <c r="J63"/>
      <c r="K63"/>
      <c r="L63"/>
    </row>
    <row r="64" spans="1:12" ht="15.75" customHeight="1">
      <c r="A64"/>
      <c r="B64"/>
      <c r="C64"/>
      <c r="D64"/>
      <c r="E64"/>
      <c r="F64"/>
      <c r="G64"/>
      <c r="H64"/>
      <c r="I64"/>
      <c r="J64"/>
      <c r="K64"/>
      <c r="L64"/>
    </row>
    <row r="65" spans="1:12" ht="15.75" customHeight="1">
      <c r="A65"/>
      <c r="B65"/>
      <c r="C65"/>
      <c r="D65"/>
      <c r="E65"/>
      <c r="F65"/>
      <c r="G65"/>
      <c r="H65"/>
      <c r="I65"/>
      <c r="J65"/>
      <c r="K65"/>
      <c r="L65"/>
    </row>
    <row r="66" spans="1:12" ht="15.75" customHeight="1">
      <c r="A66"/>
      <c r="B66"/>
      <c r="C66"/>
      <c r="D66"/>
      <c r="E66"/>
      <c r="F66"/>
      <c r="G66"/>
      <c r="H66"/>
      <c r="I66"/>
      <c r="J66"/>
      <c r="K66"/>
      <c r="L66"/>
    </row>
    <row r="67" spans="1:12" ht="15.75" customHeight="1">
      <c r="A67"/>
      <c r="B67"/>
      <c r="C67"/>
      <c r="D67"/>
      <c r="E67"/>
      <c r="F67"/>
      <c r="G67"/>
      <c r="H67"/>
      <c r="I67"/>
      <c r="J67"/>
      <c r="K67"/>
      <c r="L67"/>
    </row>
    <row r="68" spans="1:12" ht="15.75" customHeight="1">
      <c r="A68"/>
      <c r="B68"/>
      <c r="C68"/>
      <c r="D68"/>
      <c r="E68"/>
      <c r="F68"/>
      <c r="G68"/>
      <c r="H68"/>
      <c r="I68"/>
      <c r="J68"/>
      <c r="K68"/>
      <c r="L68"/>
    </row>
    <row r="69" spans="1:12" ht="15.75" customHeight="1">
      <c r="A69"/>
      <c r="B69"/>
      <c r="C69"/>
      <c r="D69"/>
      <c r="E69"/>
      <c r="F69"/>
      <c r="G69"/>
      <c r="H69"/>
      <c r="I69"/>
      <c r="J69"/>
      <c r="K69"/>
      <c r="L69"/>
    </row>
    <row r="70" spans="1:12" ht="15.75" customHeight="1">
      <c r="A70"/>
      <c r="B70"/>
      <c r="C70"/>
      <c r="D70"/>
      <c r="E70"/>
      <c r="F70"/>
      <c r="G70"/>
      <c r="H70"/>
      <c r="I70"/>
      <c r="J70"/>
      <c r="K70"/>
      <c r="L70"/>
    </row>
    <row r="71" spans="1:12" ht="15.75" customHeight="1">
      <c r="A71"/>
      <c r="B71"/>
      <c r="C71"/>
      <c r="D71"/>
      <c r="E71"/>
      <c r="F71"/>
      <c r="G71"/>
      <c r="H71"/>
      <c r="I71"/>
      <c r="J71"/>
      <c r="K71"/>
      <c r="L71"/>
    </row>
    <row r="72" spans="1:12" ht="15.75" customHeight="1">
      <c r="A72"/>
      <c r="B72"/>
      <c r="C72"/>
      <c r="D72"/>
      <c r="E72"/>
      <c r="F72"/>
      <c r="G72"/>
      <c r="H72"/>
      <c r="I72"/>
      <c r="J72"/>
      <c r="K72"/>
      <c r="L72"/>
    </row>
    <row r="73" spans="1:12" ht="15.75" customHeight="1">
      <c r="A73"/>
      <c r="B73"/>
      <c r="C73"/>
      <c r="D73"/>
      <c r="E73"/>
      <c r="F73"/>
      <c r="G73"/>
      <c r="H73"/>
      <c r="I73"/>
      <c r="J73"/>
      <c r="K73"/>
      <c r="L73"/>
    </row>
    <row r="74" spans="1:12" ht="15.75" customHeight="1">
      <c r="A74"/>
      <c r="B74"/>
      <c r="C74"/>
      <c r="D74"/>
      <c r="E74"/>
      <c r="F74"/>
      <c r="G74"/>
      <c r="H74"/>
      <c r="I74"/>
      <c r="J74"/>
      <c r="K74"/>
      <c r="L74"/>
    </row>
    <row r="75" spans="1:12" ht="15.75" customHeight="1">
      <c r="A75"/>
      <c r="B75"/>
      <c r="C75"/>
      <c r="D75"/>
      <c r="E75"/>
      <c r="F75"/>
      <c r="G75"/>
      <c r="H75"/>
      <c r="I75"/>
      <c r="J75"/>
      <c r="K75"/>
      <c r="L75"/>
    </row>
    <row r="76" spans="1:12" ht="15.75" customHeight="1">
      <c r="A76"/>
      <c r="B76"/>
      <c r="C76"/>
      <c r="D76"/>
      <c r="E76"/>
      <c r="F76"/>
      <c r="G76"/>
      <c r="H76"/>
      <c r="I76"/>
      <c r="J76"/>
      <c r="K76"/>
      <c r="L76"/>
    </row>
    <row r="77" spans="1:12" ht="15.75" customHeight="1">
      <c r="A77"/>
      <c r="B77"/>
      <c r="C77"/>
      <c r="D77"/>
      <c r="E77"/>
      <c r="F77"/>
      <c r="G77"/>
      <c r="H77"/>
      <c r="I77"/>
      <c r="J77"/>
      <c r="K77"/>
      <c r="L77"/>
    </row>
    <row r="78" spans="1:12" ht="15.75" customHeight="1">
      <c r="A78"/>
      <c r="B78"/>
      <c r="C78"/>
      <c r="D78"/>
      <c r="E78"/>
      <c r="F78"/>
      <c r="G78"/>
      <c r="H78"/>
      <c r="I78"/>
      <c r="J78"/>
      <c r="K78"/>
      <c r="L78"/>
    </row>
    <row r="79" spans="1:12" ht="15.75" customHeight="1">
      <c r="A79"/>
      <c r="B79"/>
      <c r="C79"/>
      <c r="D79"/>
      <c r="E79"/>
      <c r="F79"/>
      <c r="G79"/>
      <c r="H79"/>
      <c r="I79"/>
      <c r="J79"/>
      <c r="K79"/>
      <c r="L79"/>
    </row>
    <row r="80" spans="1:12" ht="15.75" customHeight="1">
      <c r="A80"/>
      <c r="B80"/>
      <c r="C80"/>
      <c r="D80"/>
      <c r="E80"/>
      <c r="F80"/>
      <c r="G80"/>
      <c r="H80"/>
      <c r="I80"/>
      <c r="J80"/>
      <c r="K80"/>
      <c r="L80"/>
    </row>
    <row r="81" spans="1:12" ht="15.75" customHeight="1">
      <c r="A81"/>
      <c r="B81"/>
      <c r="C81"/>
      <c r="D81"/>
      <c r="E81"/>
      <c r="F81"/>
      <c r="G81"/>
      <c r="H81"/>
      <c r="I81"/>
      <c r="J81"/>
      <c r="K81"/>
      <c r="L81"/>
    </row>
    <row r="82" spans="1:12" ht="15.75" customHeight="1">
      <c r="A82"/>
      <c r="B82"/>
      <c r="C82"/>
      <c r="D82"/>
      <c r="E82"/>
      <c r="F82"/>
      <c r="G82"/>
      <c r="H82"/>
      <c r="I82"/>
      <c r="J82"/>
      <c r="K82"/>
      <c r="L82"/>
    </row>
    <row r="83" spans="1:12" ht="15.75" customHeight="1">
      <c r="A83"/>
      <c r="B83"/>
      <c r="C83"/>
      <c r="D83"/>
      <c r="E83"/>
      <c r="F83"/>
      <c r="G83"/>
      <c r="H83"/>
      <c r="I83"/>
      <c r="J83"/>
      <c r="K83"/>
      <c r="L83"/>
    </row>
    <row r="84" spans="1:12" ht="15.75" customHeight="1">
      <c r="A84"/>
      <c r="B84"/>
      <c r="C84"/>
      <c r="D84"/>
      <c r="E84"/>
      <c r="F84"/>
      <c r="G84"/>
      <c r="H84"/>
      <c r="I84"/>
      <c r="J84"/>
      <c r="K84"/>
      <c r="L84"/>
    </row>
    <row r="85" spans="1:12" ht="15.75" customHeight="1">
      <c r="A85"/>
      <c r="B85"/>
      <c r="C85"/>
      <c r="D85"/>
      <c r="E85"/>
      <c r="F85"/>
      <c r="G85"/>
      <c r="H85"/>
      <c r="I85"/>
      <c r="J85"/>
      <c r="K85"/>
      <c r="L85"/>
    </row>
    <row r="86" spans="1:12" ht="15.75" customHeight="1">
      <c r="A86"/>
      <c r="B86"/>
      <c r="C86"/>
      <c r="D86"/>
      <c r="E86"/>
      <c r="F86"/>
      <c r="G86"/>
      <c r="H86"/>
      <c r="I86"/>
      <c r="J86"/>
      <c r="K86"/>
      <c r="L86"/>
    </row>
    <row r="87" spans="1:12" ht="15.75" customHeight="1">
      <c r="A87"/>
      <c r="B87"/>
      <c r="C87"/>
      <c r="D87"/>
      <c r="E87"/>
      <c r="F87"/>
      <c r="G87"/>
      <c r="H87"/>
      <c r="I87"/>
      <c r="J87"/>
      <c r="K87"/>
      <c r="L87"/>
    </row>
    <row r="88" spans="1:12" ht="15.75" customHeight="1">
      <c r="A88"/>
      <c r="B88"/>
      <c r="C88"/>
      <c r="D88"/>
      <c r="E88"/>
      <c r="F88"/>
      <c r="G88"/>
      <c r="H88"/>
      <c r="I88"/>
      <c r="J88"/>
      <c r="K88"/>
      <c r="L88"/>
    </row>
    <row r="89" spans="1:12" ht="15.75" customHeight="1">
      <c r="A89"/>
      <c r="B89"/>
      <c r="C89"/>
      <c r="D89"/>
      <c r="E89"/>
      <c r="F89"/>
      <c r="G89"/>
      <c r="H89"/>
      <c r="I89"/>
      <c r="J89"/>
      <c r="K89"/>
      <c r="L89"/>
    </row>
    <row r="90" spans="1:12" ht="15.75" customHeight="1">
      <c r="A90"/>
      <c r="B90"/>
      <c r="C90"/>
      <c r="D90"/>
      <c r="E90"/>
      <c r="F90"/>
      <c r="G90"/>
      <c r="H90"/>
      <c r="I90"/>
      <c r="J90"/>
      <c r="K90"/>
      <c r="L90"/>
    </row>
    <row r="91" spans="1:12" ht="15.75" customHeight="1">
      <c r="A91"/>
      <c r="B91"/>
      <c r="C91"/>
      <c r="D91"/>
      <c r="E91"/>
      <c r="F91"/>
      <c r="G91"/>
      <c r="H91"/>
      <c r="I91"/>
      <c r="J91"/>
      <c r="K91"/>
      <c r="L91"/>
    </row>
    <row r="92" spans="1:12" ht="15.75" customHeight="1">
      <c r="A92"/>
      <c r="B92"/>
      <c r="C92"/>
      <c r="D92"/>
      <c r="E92"/>
      <c r="F92"/>
      <c r="G92"/>
      <c r="H92"/>
      <c r="I92"/>
      <c r="J92"/>
      <c r="K92"/>
      <c r="L92"/>
    </row>
    <row r="93" spans="6:8" ht="15.75" customHeight="1">
      <c r="F93" s="11"/>
      <c r="H93" s="12"/>
    </row>
    <row r="94" ht="15.75" customHeight="1">
      <c r="A94" s="4"/>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1.xml><?xml version="1.0" encoding="utf-8"?>
<worksheet xmlns="http://schemas.openxmlformats.org/spreadsheetml/2006/main" xmlns:r="http://schemas.openxmlformats.org/officeDocument/2006/relationships">
  <sheetPr codeName="Sheet4" transitionEvaluation="1"/>
  <dimension ref="A1:L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InputB!$A$1</f>
        <v>Group Name:</v>
      </c>
      <c r="B1" s="137" t="str">
        <f>InputB!$C$1</f>
        <v>enter group name here</v>
      </c>
      <c r="C1" s="136"/>
      <c r="D1"/>
      <c r="E1"/>
      <c r="F1"/>
      <c r="G1"/>
      <c r="H1"/>
      <c r="I1"/>
      <c r="J1"/>
      <c r="K1"/>
      <c r="L1" s="138" t="s">
        <v>155</v>
      </c>
    </row>
    <row r="2" spans="1:12" ht="15.75" customHeight="1">
      <c r="A2" s="140" t="str">
        <f>InputB!$A$2</f>
        <v>Group NAIC #:</v>
      </c>
      <c r="B2" s="137" t="str">
        <f>InputB!$C$2</f>
        <v>enter group # here</v>
      </c>
      <c r="C2" s="136"/>
      <c r="D2"/>
      <c r="E2"/>
      <c r="F2"/>
      <c r="G2"/>
      <c r="H2"/>
      <c r="I2"/>
      <c r="J2"/>
      <c r="K2"/>
      <c r="L2" s="138" t="s">
        <v>360</v>
      </c>
    </row>
    <row r="3" spans="1:11" ht="15.75" customHeight="1">
      <c r="A3" s="136" t="str">
        <f>InputB!$A$3</f>
        <v>Year Filed:</v>
      </c>
      <c r="B3" s="141">
        <f>InputB!$C$3</f>
        <v>2024</v>
      </c>
      <c r="C3" s="136"/>
      <c r="D3"/>
      <c r="E3"/>
      <c r="F3"/>
      <c r="G3"/>
      <c r="H3"/>
      <c r="I3"/>
      <c r="J3"/>
      <c r="K3"/>
    </row>
    <row r="4" spans="4:11" ht="15.75" customHeight="1" thickBot="1">
      <c r="D4"/>
      <c r="E4"/>
      <c r="F4"/>
      <c r="G4"/>
      <c r="H4"/>
      <c r="I4"/>
      <c r="J4"/>
      <c r="K4"/>
    </row>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2015</v>
      </c>
      <c r="C8" s="177">
        <f t="shared" si="0"/>
        <v>2016</v>
      </c>
      <c r="D8" s="177">
        <f t="shared" si="0"/>
        <v>2017</v>
      </c>
      <c r="E8" s="177">
        <f t="shared" si="0"/>
        <v>2018</v>
      </c>
      <c r="F8" s="177">
        <f t="shared" si="0"/>
        <v>2019</v>
      </c>
      <c r="G8" s="177">
        <f t="shared" si="0"/>
        <v>2020</v>
      </c>
      <c r="H8" s="177">
        <f t="shared" si="0"/>
        <v>2021</v>
      </c>
      <c r="I8" s="177">
        <f t="shared" si="0"/>
        <v>2022</v>
      </c>
      <c r="J8" s="178">
        <f>ReportYear-1</f>
        <v>2023</v>
      </c>
      <c r="K8" s="179"/>
      <c r="L8" s="104"/>
    </row>
    <row r="9" spans="1:12" ht="15.75" customHeight="1">
      <c r="A9" s="172" t="s">
        <v>34</v>
      </c>
      <c r="B9" s="41">
        <f>InputB!E46</f>
        <v>0</v>
      </c>
      <c r="C9" s="41">
        <f>InputB!F46</f>
        <v>0</v>
      </c>
      <c r="D9" s="35">
        <f>InputB!G46</f>
        <v>0</v>
      </c>
      <c r="E9" s="35">
        <f>InputB!H46</f>
        <v>0</v>
      </c>
      <c r="F9" s="35">
        <f>InputB!I46</f>
        <v>0</v>
      </c>
      <c r="G9" s="35">
        <f>InputB!J46</f>
        <v>0</v>
      </c>
      <c r="H9" s="35">
        <f>InputB!K46</f>
        <v>0</v>
      </c>
      <c r="I9" s="35">
        <f>InputB!L46</f>
        <v>0</v>
      </c>
      <c r="J9" s="80">
        <f>InputB!M46</f>
        <v>0</v>
      </c>
      <c r="K9" s="41"/>
      <c r="L9" s="104"/>
    </row>
    <row r="10" spans="1:12" ht="15.75" customHeight="1">
      <c r="A10" s="176" t="s">
        <v>35</v>
      </c>
      <c r="B10" s="41">
        <f>InputB!E47</f>
        <v>0</v>
      </c>
      <c r="C10" s="35">
        <f>InputB!F47</f>
        <v>0</v>
      </c>
      <c r="D10" s="35">
        <f>InputB!G47</f>
        <v>0</v>
      </c>
      <c r="E10" s="35">
        <f>InputB!H47</f>
        <v>0</v>
      </c>
      <c r="F10" s="35">
        <f>InputB!I47</f>
        <v>0</v>
      </c>
      <c r="G10" s="35">
        <f>InputB!J47</f>
        <v>0</v>
      </c>
      <c r="H10" s="35">
        <f>InputB!K47</f>
        <v>0</v>
      </c>
      <c r="I10" s="35">
        <f>InputB!L47</f>
        <v>0</v>
      </c>
      <c r="J10" s="93"/>
      <c r="K10" s="35"/>
      <c r="L10" s="104"/>
    </row>
    <row r="11" spans="1:12" ht="15.75" customHeight="1">
      <c r="A11" s="176" t="s">
        <v>36</v>
      </c>
      <c r="B11" s="35">
        <f>InputB!E48</f>
        <v>0</v>
      </c>
      <c r="C11" s="35">
        <f>InputB!F48</f>
        <v>0</v>
      </c>
      <c r="D11" s="35">
        <f>InputB!G48</f>
        <v>0</v>
      </c>
      <c r="E11" s="35">
        <f>InputB!H48</f>
        <v>0</v>
      </c>
      <c r="F11" s="35">
        <f>InputB!I48</f>
        <v>0</v>
      </c>
      <c r="G11" s="35">
        <f>InputB!J48</f>
        <v>0</v>
      </c>
      <c r="H11" s="35">
        <f>InputB!K48</f>
        <v>0</v>
      </c>
      <c r="I11" s="35"/>
      <c r="J11" s="93"/>
      <c r="K11" s="35"/>
      <c r="L11" s="104"/>
    </row>
    <row r="12" spans="1:11" ht="15.75" customHeight="1">
      <c r="A12" s="172" t="s">
        <v>37</v>
      </c>
      <c r="B12" s="35">
        <f>InputB!E49</f>
        <v>0</v>
      </c>
      <c r="C12" s="35">
        <f>InputB!F49</f>
        <v>0</v>
      </c>
      <c r="D12" s="35">
        <f>InputB!G49</f>
        <v>0</v>
      </c>
      <c r="E12" s="35">
        <f>InputB!H49</f>
        <v>0</v>
      </c>
      <c r="F12" s="35">
        <f>InputB!I49</f>
        <v>0</v>
      </c>
      <c r="G12" s="35">
        <f>InputB!J49</f>
        <v>0</v>
      </c>
      <c r="H12" s="35"/>
      <c r="I12" s="35"/>
      <c r="J12" s="93"/>
      <c r="K12" s="35"/>
    </row>
    <row r="13" spans="1:11" ht="15.75" customHeight="1">
      <c r="A13" s="172" t="s">
        <v>38</v>
      </c>
      <c r="B13" s="35">
        <f>InputB!E50</f>
        <v>0</v>
      </c>
      <c r="C13" s="35">
        <f>InputB!F50</f>
        <v>0</v>
      </c>
      <c r="D13" s="35">
        <f>InputB!G50</f>
        <v>0</v>
      </c>
      <c r="E13" s="35">
        <f>InputB!H50</f>
        <v>0</v>
      </c>
      <c r="F13" s="35">
        <f>InputB!I50</f>
        <v>0</v>
      </c>
      <c r="G13" s="35"/>
      <c r="H13" s="35"/>
      <c r="I13" s="35"/>
      <c r="J13" s="93"/>
      <c r="K13" s="35"/>
    </row>
    <row r="14" spans="1:11" ht="15.75" customHeight="1">
      <c r="A14" s="172" t="s">
        <v>39</v>
      </c>
      <c r="B14" s="35">
        <f>InputB!E51</f>
        <v>0</v>
      </c>
      <c r="C14" s="35">
        <f>InputB!F51</f>
        <v>0</v>
      </c>
      <c r="D14" s="35">
        <f>InputB!G51</f>
        <v>0</v>
      </c>
      <c r="E14" s="35">
        <f>InputB!H51</f>
        <v>0</v>
      </c>
      <c r="F14" s="35"/>
      <c r="G14" s="35"/>
      <c r="H14" s="35"/>
      <c r="I14" s="35"/>
      <c r="J14" s="93"/>
      <c r="K14" s="35"/>
    </row>
    <row r="15" spans="1:11" ht="15.75" customHeight="1">
      <c r="A15" s="172" t="s">
        <v>40</v>
      </c>
      <c r="B15" s="35">
        <f>InputB!E52</f>
        <v>0</v>
      </c>
      <c r="C15" s="35">
        <f>InputB!F52</f>
        <v>0</v>
      </c>
      <c r="D15" s="35">
        <f>InputB!G52</f>
        <v>0</v>
      </c>
      <c r="E15" s="183"/>
      <c r="F15" s="35"/>
      <c r="G15" s="35"/>
      <c r="H15" s="35"/>
      <c r="I15" s="35"/>
      <c r="J15" s="93"/>
      <c r="K15" s="35"/>
    </row>
    <row r="16" spans="1:11" ht="15.75" customHeight="1" thickBot="1">
      <c r="A16" s="184" t="s">
        <v>354</v>
      </c>
      <c r="B16" s="36">
        <f>InputB!E53</f>
        <v>0</v>
      </c>
      <c r="C16" s="36">
        <f>InputB!F53</f>
        <v>0</v>
      </c>
      <c r="D16" s="36"/>
      <c r="E16" s="185"/>
      <c r="F16" s="36"/>
      <c r="G16" s="36"/>
      <c r="H16" s="36"/>
      <c r="I16" s="36"/>
      <c r="J16" s="96"/>
      <c r="K16" s="35"/>
    </row>
    <row r="17" ht="15.75" customHeight="1" thickBot="1"/>
    <row r="18" spans="1:12" ht="15.75" customHeight="1">
      <c r="A18" s="167" t="s">
        <v>53</v>
      </c>
      <c r="B18" s="401"/>
      <c r="C18" s="168"/>
      <c r="D18" s="168"/>
      <c r="E18" s="168"/>
      <c r="F18" s="168"/>
      <c r="G18" s="168"/>
      <c r="H18" s="168"/>
      <c r="I18" s="168"/>
      <c r="J18" s="148" t="s">
        <v>140</v>
      </c>
      <c r="K18" s="148" t="s">
        <v>59</v>
      </c>
      <c r="L18" s="149" t="s">
        <v>141</v>
      </c>
    </row>
    <row r="19" spans="1:12" ht="15.75" customHeight="1">
      <c r="A19" s="187" t="s">
        <v>19</v>
      </c>
      <c r="B19" s="174" t="str">
        <f>B7</f>
        <v>Accident Year</v>
      </c>
      <c r="C19" s="174"/>
      <c r="D19" s="174"/>
      <c r="E19" s="174"/>
      <c r="F19" s="174"/>
      <c r="G19" s="174"/>
      <c r="H19" s="174"/>
      <c r="I19" s="174"/>
      <c r="J19" s="150" t="s">
        <v>98</v>
      </c>
      <c r="K19" s="151" t="str">
        <f>A19</f>
        <v>Development </v>
      </c>
      <c r="L19" s="188" t="s">
        <v>99</v>
      </c>
    </row>
    <row r="20" spans="1:12" ht="15.75" customHeight="1">
      <c r="A20" s="144" t="s">
        <v>20</v>
      </c>
      <c r="B20" s="177">
        <f>B8</f>
        <v>2015</v>
      </c>
      <c r="C20" s="177">
        <f aca="true" t="shared" si="1" ref="C20:I20">C8</f>
        <v>2016</v>
      </c>
      <c r="D20" s="177">
        <f t="shared" si="1"/>
        <v>2017</v>
      </c>
      <c r="E20" s="177">
        <f t="shared" si="1"/>
        <v>2018</v>
      </c>
      <c r="F20" s="177">
        <f t="shared" si="1"/>
        <v>2019</v>
      </c>
      <c r="G20" s="177">
        <f t="shared" si="1"/>
        <v>2020</v>
      </c>
      <c r="H20" s="177">
        <f t="shared" si="1"/>
        <v>2021</v>
      </c>
      <c r="I20" s="177">
        <f t="shared" si="1"/>
        <v>2022</v>
      </c>
      <c r="J20" s="189" t="s">
        <v>22</v>
      </c>
      <c r="K20" s="152" t="str">
        <f>A20</f>
        <v>Factors</v>
      </c>
      <c r="L20" s="153" t="str">
        <f>J20</f>
        <v>LDF</v>
      </c>
    </row>
    <row r="21" spans="1:12" ht="15.75" customHeight="1">
      <c r="A21" s="172" t="s">
        <v>41</v>
      </c>
      <c r="B21" s="195" t="str">
        <f aca="true" t="shared" si="2" ref="B21:I21">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 aca="true" t="shared" si="3" ref="J21:J27">IF(COUNT(B21:I21)=0,1,IF(COUNT(B21:I21)&lt;=4,AVERAGE(B21:I21),(SUM(B21:I21)-MAX(B21:I21)-MIN(B21:I21))/(COUNT(B21:I21)-2)))</f>
        <v>1</v>
      </c>
      <c r="K21" s="119" t="s">
        <v>168</v>
      </c>
      <c r="L21" s="81">
        <f aca="true" t="shared" si="4" ref="L21:L27">L22*J21</f>
        <v>1</v>
      </c>
    </row>
    <row r="22" spans="1:12" ht="15.75" customHeight="1">
      <c r="A22" s="172" t="s">
        <v>42</v>
      </c>
      <c r="B22" s="195" t="str">
        <f aca="true" t="shared" si="5" ref="B22:H22">IF(B10&gt;0,B11/B10,"-----")</f>
        <v>-----</v>
      </c>
      <c r="C22" s="195" t="str">
        <f t="shared" si="5"/>
        <v>-----</v>
      </c>
      <c r="D22" s="195" t="str">
        <f t="shared" si="5"/>
        <v>-----</v>
      </c>
      <c r="E22" s="195" t="str">
        <f t="shared" si="5"/>
        <v>-----</v>
      </c>
      <c r="F22" s="195" t="str">
        <f t="shared" si="5"/>
        <v>-----</v>
      </c>
      <c r="G22" s="195" t="str">
        <f t="shared" si="5"/>
        <v>-----</v>
      </c>
      <c r="H22" s="195" t="str">
        <f t="shared" si="5"/>
        <v>-----</v>
      </c>
      <c r="I22" s="195"/>
      <c r="J22" s="468">
        <f t="shared" si="3"/>
        <v>1</v>
      </c>
      <c r="K22" s="119" t="s">
        <v>169</v>
      </c>
      <c r="L22" s="81">
        <f t="shared" si="4"/>
        <v>1</v>
      </c>
    </row>
    <row r="23" spans="1:12" ht="15.75" customHeight="1">
      <c r="A23" s="172" t="s">
        <v>43</v>
      </c>
      <c r="B23" s="195" t="str">
        <f aca="true" t="shared" si="6" ref="B23:G23">IF(B11&gt;0,B12/B11,"-----")</f>
        <v>-----</v>
      </c>
      <c r="C23" s="195" t="str">
        <f t="shared" si="6"/>
        <v>-----</v>
      </c>
      <c r="D23" s="195" t="str">
        <f t="shared" si="6"/>
        <v>-----</v>
      </c>
      <c r="E23" s="195" t="str">
        <f t="shared" si="6"/>
        <v>-----</v>
      </c>
      <c r="F23" s="195" t="str">
        <f t="shared" si="6"/>
        <v>-----</v>
      </c>
      <c r="G23" s="195" t="str">
        <f t="shared" si="6"/>
        <v>-----</v>
      </c>
      <c r="H23" s="195"/>
      <c r="I23" s="195"/>
      <c r="J23" s="468">
        <f t="shared" si="3"/>
        <v>1</v>
      </c>
      <c r="K23" s="119" t="s">
        <v>172</v>
      </c>
      <c r="L23" s="81">
        <f t="shared" si="4"/>
        <v>1</v>
      </c>
    </row>
    <row r="24" spans="1:12" ht="15.75" customHeight="1">
      <c r="A24" s="172" t="s">
        <v>44</v>
      </c>
      <c r="B24" s="195" t="str">
        <f>IF(B12&gt;0,B13/B12,"-----")</f>
        <v>-----</v>
      </c>
      <c r="C24" s="195" t="str">
        <f>IF(C12&gt;0,C13/C12,"-----")</f>
        <v>-----</v>
      </c>
      <c r="D24" s="195" t="str">
        <f>IF(D12&gt;0,D13/D12,"-----")</f>
        <v>-----</v>
      </c>
      <c r="E24" s="195" t="str">
        <f>IF(E12&gt;0,E13/E12,"-----")</f>
        <v>-----</v>
      </c>
      <c r="F24" s="195" t="str">
        <f>IF(F12&gt;0,F13/F12,"-----")</f>
        <v>-----</v>
      </c>
      <c r="G24" s="195"/>
      <c r="H24" s="195"/>
      <c r="I24" s="195"/>
      <c r="J24" s="468">
        <f t="shared" si="3"/>
        <v>1</v>
      </c>
      <c r="K24" s="119" t="s">
        <v>170</v>
      </c>
      <c r="L24" s="81">
        <f t="shared" si="4"/>
        <v>1</v>
      </c>
    </row>
    <row r="25" spans="1:12" ht="15.75" customHeight="1">
      <c r="A25" s="172" t="s">
        <v>45</v>
      </c>
      <c r="B25" s="195" t="str">
        <f>IF(B13&gt;0,B14/B13,"-----")</f>
        <v>-----</v>
      </c>
      <c r="C25" s="195" t="str">
        <f>IF(C13&gt;0,C14/C13,"-----")</f>
        <v>-----</v>
      </c>
      <c r="D25" s="195" t="str">
        <f>IF(D13&gt;0,D14/D13,"-----")</f>
        <v>-----</v>
      </c>
      <c r="E25" s="195" t="str">
        <f>IF(E13&gt;0,E14/E13,"-----")</f>
        <v>-----</v>
      </c>
      <c r="F25" s="195"/>
      <c r="G25" s="195"/>
      <c r="H25" s="195"/>
      <c r="I25" s="195"/>
      <c r="J25" s="468">
        <f t="shared" si="3"/>
        <v>1</v>
      </c>
      <c r="K25" s="119" t="s">
        <v>171</v>
      </c>
      <c r="L25" s="81">
        <f t="shared" si="4"/>
        <v>1</v>
      </c>
    </row>
    <row r="26" spans="1:12" ht="15.75" customHeight="1">
      <c r="A26" s="172" t="s">
        <v>46</v>
      </c>
      <c r="B26" s="195" t="str">
        <f>IF(B14&gt;0,B15/B14,"-----")</f>
        <v>-----</v>
      </c>
      <c r="C26" s="195" t="str">
        <f>IF(C14&gt;0,C15/C14,"-----")</f>
        <v>-----</v>
      </c>
      <c r="D26" s="195" t="str">
        <f>IF(D14&gt;0,D15/D14,"-----")</f>
        <v>-----</v>
      </c>
      <c r="E26" s="192"/>
      <c r="F26" s="192"/>
      <c r="G26" s="192"/>
      <c r="H26" s="192"/>
      <c r="I26" s="192"/>
      <c r="J26" s="468">
        <f t="shared" si="3"/>
        <v>1</v>
      </c>
      <c r="K26" s="119" t="s">
        <v>176</v>
      </c>
      <c r="L26" s="81">
        <f t="shared" si="4"/>
        <v>1</v>
      </c>
    </row>
    <row r="27" spans="1:12" ht="15.75" customHeight="1">
      <c r="A27" s="172" t="s">
        <v>148</v>
      </c>
      <c r="B27" s="195" t="str">
        <f>IF(B15&gt;0,B16/B15,"-----")</f>
        <v>-----</v>
      </c>
      <c r="C27" s="195" t="str">
        <f>IF(C15&gt;0,C16/C15,"-----")</f>
        <v>-----</v>
      </c>
      <c r="D27" s="192"/>
      <c r="E27" s="192"/>
      <c r="F27" s="192"/>
      <c r="G27" s="192"/>
      <c r="H27" s="192"/>
      <c r="I27" s="192"/>
      <c r="J27" s="468">
        <f t="shared" si="3"/>
        <v>1</v>
      </c>
      <c r="K27" s="119" t="s">
        <v>177</v>
      </c>
      <c r="L27" s="81">
        <f t="shared" si="4"/>
        <v>1</v>
      </c>
    </row>
    <row r="28" spans="1:12" ht="15.75" customHeight="1" thickBot="1">
      <c r="A28" s="191"/>
      <c r="B28" s="129"/>
      <c r="C28" s="129"/>
      <c r="D28" s="129"/>
      <c r="E28" s="129"/>
      <c r="F28" s="129"/>
      <c r="G28" s="129"/>
      <c r="H28" s="129"/>
      <c r="I28" s="190" t="s">
        <v>104</v>
      </c>
      <c r="J28" s="82">
        <f>IF(InputB!G$66=1,MAX(1,(J26*J27)^0.5),InputB!G$66)</f>
        <v>1</v>
      </c>
      <c r="K28" s="190" t="s">
        <v>178</v>
      </c>
      <c r="L28" s="83">
        <f>J28</f>
        <v>1</v>
      </c>
    </row>
    <row r="29" spans="9:11" ht="15.75" customHeight="1" thickBot="1">
      <c r="I29" s="9"/>
      <c r="J29" s="9"/>
      <c r="K29" s="10"/>
    </row>
    <row r="30" spans="1:12" ht="15.75" customHeight="1">
      <c r="A30" s="651" t="s">
        <v>56</v>
      </c>
      <c r="B30" s="652" t="s">
        <v>118</v>
      </c>
      <c r="C30" s="652" t="s">
        <v>119</v>
      </c>
      <c r="D30" s="652" t="s">
        <v>120</v>
      </c>
      <c r="E30" s="652" t="s">
        <v>121</v>
      </c>
      <c r="F30" s="653" t="s">
        <v>122</v>
      </c>
      <c r="G30" s="654"/>
      <c r="H30" s="655" t="s">
        <v>57</v>
      </c>
      <c r="I30" s="656" t="s">
        <v>118</v>
      </c>
      <c r="J30" s="656" t="s">
        <v>119</v>
      </c>
      <c r="K30" s="656" t="s">
        <v>120</v>
      </c>
      <c r="L30" s="657" t="s">
        <v>121</v>
      </c>
    </row>
    <row r="31" spans="1:12" ht="15.75" customHeight="1">
      <c r="A31" s="658"/>
      <c r="B31" s="659" t="s">
        <v>101</v>
      </c>
      <c r="C31" s="659" t="s">
        <v>101</v>
      </c>
      <c r="D31" s="659" t="s">
        <v>101</v>
      </c>
      <c r="E31" s="659" t="s">
        <v>101</v>
      </c>
      <c r="F31" s="660" t="s">
        <v>316</v>
      </c>
      <c r="G31" s="654"/>
      <c r="H31" s="661" t="s">
        <v>59</v>
      </c>
      <c r="I31" s="659" t="s">
        <v>313</v>
      </c>
      <c r="J31" s="659" t="s">
        <v>314</v>
      </c>
      <c r="K31" s="662" t="s">
        <v>316</v>
      </c>
      <c r="L31" s="663" t="s">
        <v>312</v>
      </c>
    </row>
    <row r="32" spans="1:12" ht="15.75" customHeight="1">
      <c r="A32" s="664" t="s">
        <v>17</v>
      </c>
      <c r="B32" s="665" t="s">
        <v>317</v>
      </c>
      <c r="C32" s="665" t="s">
        <v>322</v>
      </c>
      <c r="D32" s="666" t="s">
        <v>323</v>
      </c>
      <c r="E32" s="665" t="s">
        <v>316</v>
      </c>
      <c r="F32" s="667" t="s">
        <v>320</v>
      </c>
      <c r="G32" s="654"/>
      <c r="H32" s="668" t="s">
        <v>33</v>
      </c>
      <c r="I32" s="669" t="str">
        <f>"@ 3/31/"&amp;TEXT(MOD($B$3,100),"00")</f>
        <v>@ 3/31/24</v>
      </c>
      <c r="J32" s="670" t="s">
        <v>315</v>
      </c>
      <c r="K32" s="671" t="s">
        <v>21</v>
      </c>
      <c r="L32" s="672" t="str">
        <f>I32</f>
        <v>@ 3/31/24</v>
      </c>
    </row>
    <row r="33" spans="1:12" ht="15.75" customHeight="1">
      <c r="A33" s="673">
        <f>$B$3-1</f>
        <v>2023</v>
      </c>
      <c r="B33" s="674">
        <f>InputB!$E$72</f>
        <v>0</v>
      </c>
      <c r="C33" s="674">
        <f>InputB!$E$73</f>
        <v>0</v>
      </c>
      <c r="D33" s="674">
        <f aca="true" t="shared" si="7" ref="D33:D41">B33+C33</f>
        <v>0</v>
      </c>
      <c r="E33" s="674">
        <f>InputB!$E$74</f>
        <v>0</v>
      </c>
      <c r="F33" s="675">
        <f aca="true" t="shared" si="8" ref="F33:F41">IF(D33=0,0,E33/D33)</f>
        <v>0</v>
      </c>
      <c r="G33" s="654"/>
      <c r="H33" s="676">
        <f>ReportYear-1</f>
        <v>2023</v>
      </c>
      <c r="I33" s="500">
        <f>J9</f>
        <v>0</v>
      </c>
      <c r="J33" s="468">
        <f aca="true" t="shared" si="9" ref="J33:J39">L21</f>
        <v>1</v>
      </c>
      <c r="K33" s="677">
        <f>MIN(MAX(AVERAGE(F33:F35)+1,1.05),1.3)</f>
        <v>1.05</v>
      </c>
      <c r="L33" s="616">
        <f>J33*I33*K33</f>
        <v>0</v>
      </c>
    </row>
    <row r="34" spans="1:12" ht="15.75" customHeight="1">
      <c r="A34" s="673">
        <f aca="true" t="shared" si="10" ref="A34:A41">A33-1</f>
        <v>2022</v>
      </c>
      <c r="B34" s="674">
        <f>InputB!$F$72</f>
        <v>0</v>
      </c>
      <c r="C34" s="674">
        <f>InputB!$F$73</f>
        <v>0</v>
      </c>
      <c r="D34" s="674">
        <f t="shared" si="7"/>
        <v>0</v>
      </c>
      <c r="E34" s="674">
        <f>InputB!$F$74</f>
        <v>0</v>
      </c>
      <c r="F34" s="675">
        <f t="shared" si="8"/>
        <v>0</v>
      </c>
      <c r="G34" s="654"/>
      <c r="H34" s="676">
        <f aca="true" t="shared" si="11" ref="H34:H39">H33-1</f>
        <v>2022</v>
      </c>
      <c r="I34" s="500">
        <f>I10</f>
        <v>0</v>
      </c>
      <c r="J34" s="468">
        <f t="shared" si="9"/>
        <v>1</v>
      </c>
      <c r="K34" s="677">
        <f aca="true" t="shared" si="12" ref="K34:K39">MIN(MAX(AVERAGE(F34:F36)+1,1.05),1.3)</f>
        <v>1.05</v>
      </c>
      <c r="L34" s="616">
        <f aca="true" t="shared" si="13" ref="L34:L39">J34*I34*K34</f>
        <v>0</v>
      </c>
    </row>
    <row r="35" spans="1:12" ht="15.75" customHeight="1">
      <c r="A35" s="673">
        <f t="shared" si="10"/>
        <v>2021</v>
      </c>
      <c r="B35" s="674">
        <f>InputB!$G$72</f>
        <v>0</v>
      </c>
      <c r="C35" s="674">
        <f>InputB!$G$73</f>
        <v>0</v>
      </c>
      <c r="D35" s="674">
        <f t="shared" si="7"/>
        <v>0</v>
      </c>
      <c r="E35" s="674">
        <f>InputB!$G$74</f>
        <v>0</v>
      </c>
      <c r="F35" s="675">
        <f t="shared" si="8"/>
        <v>0</v>
      </c>
      <c r="G35" s="654"/>
      <c r="H35" s="676">
        <f t="shared" si="11"/>
        <v>2021</v>
      </c>
      <c r="I35" s="500">
        <f>H11</f>
        <v>0</v>
      </c>
      <c r="J35" s="468">
        <f t="shared" si="9"/>
        <v>1</v>
      </c>
      <c r="K35" s="677">
        <f t="shared" si="12"/>
        <v>1.05</v>
      </c>
      <c r="L35" s="616">
        <f t="shared" si="13"/>
        <v>0</v>
      </c>
    </row>
    <row r="36" spans="1:12" ht="15.75" customHeight="1">
      <c r="A36" s="673">
        <f t="shared" si="10"/>
        <v>2020</v>
      </c>
      <c r="B36" s="674">
        <f>InputB!$H$72</f>
        <v>0</v>
      </c>
      <c r="C36" s="674">
        <f>InputB!$H$73</f>
        <v>0</v>
      </c>
      <c r="D36" s="674">
        <f t="shared" si="7"/>
        <v>0</v>
      </c>
      <c r="E36" s="674">
        <f>InputB!$H$74</f>
        <v>0</v>
      </c>
      <c r="F36" s="675">
        <f t="shared" si="8"/>
        <v>0</v>
      </c>
      <c r="G36" s="654"/>
      <c r="H36" s="676">
        <f t="shared" si="11"/>
        <v>2020</v>
      </c>
      <c r="I36" s="500">
        <f>G12</f>
        <v>0</v>
      </c>
      <c r="J36" s="468">
        <f t="shared" si="9"/>
        <v>1</v>
      </c>
      <c r="K36" s="677">
        <f t="shared" si="12"/>
        <v>1.05</v>
      </c>
      <c r="L36" s="616">
        <f t="shared" si="13"/>
        <v>0</v>
      </c>
    </row>
    <row r="37" spans="1:12" ht="15.75" customHeight="1">
      <c r="A37" s="673">
        <f t="shared" si="10"/>
        <v>2019</v>
      </c>
      <c r="B37" s="674">
        <f>InputB!$I$72</f>
        <v>0</v>
      </c>
      <c r="C37" s="674">
        <f>InputB!$I$73</f>
        <v>0</v>
      </c>
      <c r="D37" s="674">
        <f t="shared" si="7"/>
        <v>0</v>
      </c>
      <c r="E37" s="674">
        <f>InputB!$I$74</f>
        <v>0</v>
      </c>
      <c r="F37" s="675">
        <f t="shared" si="8"/>
        <v>0</v>
      </c>
      <c r="G37" s="654"/>
      <c r="H37" s="676">
        <f t="shared" si="11"/>
        <v>2019</v>
      </c>
      <c r="I37" s="500">
        <f>F13</f>
        <v>0</v>
      </c>
      <c r="J37" s="468">
        <f t="shared" si="9"/>
        <v>1</v>
      </c>
      <c r="K37" s="677">
        <f t="shared" si="12"/>
        <v>1.05</v>
      </c>
      <c r="L37" s="616">
        <f t="shared" si="13"/>
        <v>0</v>
      </c>
    </row>
    <row r="38" spans="1:12" ht="15.75" customHeight="1">
      <c r="A38" s="673">
        <f t="shared" si="10"/>
        <v>2018</v>
      </c>
      <c r="B38" s="674">
        <f>InputB!$J$72</f>
        <v>0</v>
      </c>
      <c r="C38" s="674">
        <f>InputB!$J$73</f>
        <v>0</v>
      </c>
      <c r="D38" s="674">
        <f t="shared" si="7"/>
        <v>0</v>
      </c>
      <c r="E38" s="674">
        <f>InputB!$J$74</f>
        <v>0</v>
      </c>
      <c r="F38" s="675">
        <f t="shared" si="8"/>
        <v>0</v>
      </c>
      <c r="G38" s="654"/>
      <c r="H38" s="676">
        <f t="shared" si="11"/>
        <v>2018</v>
      </c>
      <c r="I38" s="500">
        <f>E14</f>
        <v>0</v>
      </c>
      <c r="J38" s="468">
        <f t="shared" si="9"/>
        <v>1</v>
      </c>
      <c r="K38" s="677">
        <f t="shared" si="12"/>
        <v>1.05</v>
      </c>
      <c r="L38" s="616">
        <f t="shared" si="13"/>
        <v>0</v>
      </c>
    </row>
    <row r="39" spans="1:12" ht="15.75" customHeight="1" thickBot="1">
      <c r="A39" s="673">
        <f t="shared" si="10"/>
        <v>2017</v>
      </c>
      <c r="B39" s="674">
        <f>InputB!$K$72</f>
        <v>0</v>
      </c>
      <c r="C39" s="674">
        <f>InputB!$K$73</f>
        <v>0</v>
      </c>
      <c r="D39" s="674">
        <f t="shared" si="7"/>
        <v>0</v>
      </c>
      <c r="E39" s="674">
        <f>InputB!$K$74</f>
        <v>0</v>
      </c>
      <c r="F39" s="675">
        <f t="shared" si="8"/>
        <v>0</v>
      </c>
      <c r="G39" s="654"/>
      <c r="H39" s="678">
        <f t="shared" si="11"/>
        <v>2017</v>
      </c>
      <c r="I39" s="679">
        <f>D15</f>
        <v>0</v>
      </c>
      <c r="J39" s="469">
        <f t="shared" si="9"/>
        <v>1</v>
      </c>
      <c r="K39" s="680">
        <f t="shared" si="12"/>
        <v>1.05</v>
      </c>
      <c r="L39" s="681">
        <f t="shared" si="13"/>
        <v>0</v>
      </c>
    </row>
    <row r="40" spans="1:12" ht="15.75" customHeight="1">
      <c r="A40" s="673">
        <f t="shared" si="10"/>
        <v>2016</v>
      </c>
      <c r="B40" s="674">
        <f>InputB!$L$72</f>
        <v>0</v>
      </c>
      <c r="C40" s="674">
        <f>InputB!$L$73</f>
        <v>0</v>
      </c>
      <c r="D40" s="674">
        <f t="shared" si="7"/>
        <v>0</v>
      </c>
      <c r="E40" s="674">
        <f>InputB!$L$74</f>
        <v>0</v>
      </c>
      <c r="F40" s="675">
        <f t="shared" si="8"/>
        <v>0</v>
      </c>
      <c r="G40" s="654"/>
      <c r="H40" s="682"/>
      <c r="I40" s="500"/>
      <c r="J40" s="468"/>
      <c r="K40" s="683"/>
      <c r="L40" s="500"/>
    </row>
    <row r="41" spans="1:12" ht="15.75" customHeight="1" thickBot="1">
      <c r="A41" s="684">
        <f t="shared" si="10"/>
        <v>2015</v>
      </c>
      <c r="B41" s="685">
        <f>InputB!$M$72</f>
        <v>0</v>
      </c>
      <c r="C41" s="685">
        <f>InputB!$M$73</f>
        <v>0</v>
      </c>
      <c r="D41" s="685">
        <f t="shared" si="7"/>
        <v>0</v>
      </c>
      <c r="E41" s="685">
        <f>InputB!$M$74</f>
        <v>0</v>
      </c>
      <c r="F41" s="686">
        <f t="shared" si="8"/>
        <v>0</v>
      </c>
      <c r="G41" s="654"/>
      <c r="H41" s="682"/>
      <c r="I41" s="500"/>
      <c r="J41" s="468"/>
      <c r="K41" s="683"/>
      <c r="L41" s="500"/>
    </row>
    <row r="42" spans="1:12" ht="15.75" customHeight="1">
      <c r="A42" s="505"/>
      <c r="B42" s="505"/>
      <c r="C42" s="505"/>
      <c r="D42" s="505"/>
      <c r="E42" s="505"/>
      <c r="F42" s="505"/>
      <c r="G42" s="505"/>
      <c r="H42" s="505"/>
      <c r="I42" s="505"/>
      <c r="J42" s="505"/>
      <c r="K42" s="505"/>
      <c r="L42" s="505"/>
    </row>
    <row r="43" spans="1:12" ht="15.75" customHeight="1">
      <c r="A43"/>
      <c r="B43"/>
      <c r="C43"/>
      <c r="D43"/>
      <c r="E43"/>
      <c r="F43"/>
      <c r="G43"/>
      <c r="H43"/>
      <c r="I43"/>
      <c r="J43"/>
      <c r="K43"/>
      <c r="L43"/>
    </row>
    <row r="44" spans="1:12" ht="15.75" customHeight="1">
      <c r="A44"/>
      <c r="B44"/>
      <c r="C44"/>
      <c r="D44"/>
      <c r="E44"/>
      <c r="F44"/>
      <c r="G44"/>
      <c r="H44"/>
      <c r="I44"/>
      <c r="J44"/>
      <c r="K44"/>
      <c r="L44"/>
    </row>
    <row r="45" spans="1:12" ht="15.75" customHeight="1">
      <c r="A45"/>
      <c r="B45"/>
      <c r="C45"/>
      <c r="D45"/>
      <c r="E45"/>
      <c r="F45"/>
      <c r="G45"/>
      <c r="H45"/>
      <c r="I45"/>
      <c r="J45"/>
      <c r="K45"/>
      <c r="L45"/>
    </row>
    <row r="46" spans="1:12" ht="15.75" customHeight="1">
      <c r="A46"/>
      <c r="B46"/>
      <c r="C46"/>
      <c r="D46"/>
      <c r="E46"/>
      <c r="F46"/>
      <c r="G46"/>
      <c r="H46"/>
      <c r="I46"/>
      <c r="J46"/>
      <c r="K46"/>
      <c r="L46"/>
    </row>
    <row r="47" spans="1:12" ht="15.75" customHeight="1">
      <c r="A47"/>
      <c r="B47"/>
      <c r="C47"/>
      <c r="D47"/>
      <c r="E47"/>
      <c r="F47"/>
      <c r="G47"/>
      <c r="H47"/>
      <c r="I47"/>
      <c r="J47"/>
      <c r="K47"/>
      <c r="L47"/>
    </row>
    <row r="48" spans="1:12" ht="15.75" customHeight="1">
      <c r="A48"/>
      <c r="B48"/>
      <c r="C48"/>
      <c r="D48"/>
      <c r="E48"/>
      <c r="F48"/>
      <c r="G48"/>
      <c r="H48"/>
      <c r="I48"/>
      <c r="J48"/>
      <c r="K48"/>
      <c r="L48"/>
    </row>
    <row r="49" spans="1:12" ht="15.75" customHeight="1">
      <c r="A49"/>
      <c r="B49"/>
      <c r="C49"/>
      <c r="D49"/>
      <c r="E49"/>
      <c r="F49"/>
      <c r="G49"/>
      <c r="H49"/>
      <c r="I49"/>
      <c r="J49"/>
      <c r="K49"/>
      <c r="L49"/>
    </row>
    <row r="50" spans="1:12" ht="15.75" customHeight="1">
      <c r="A50"/>
      <c r="B50"/>
      <c r="C50"/>
      <c r="D50"/>
      <c r="E50"/>
      <c r="F50"/>
      <c r="G50"/>
      <c r="H50"/>
      <c r="I50"/>
      <c r="J50"/>
      <c r="K50"/>
      <c r="L50"/>
    </row>
    <row r="51" spans="1:12" ht="15.75" customHeight="1">
      <c r="A51"/>
      <c r="B51"/>
      <c r="C51"/>
      <c r="D51"/>
      <c r="E51"/>
      <c r="F51"/>
      <c r="G51"/>
      <c r="H51"/>
      <c r="I51"/>
      <c r="J51"/>
      <c r="K51"/>
      <c r="L51"/>
    </row>
    <row r="52" spans="1:12" ht="15.75" customHeight="1">
      <c r="A52"/>
      <c r="B52"/>
      <c r="C52"/>
      <c r="D52"/>
      <c r="E52"/>
      <c r="F52"/>
      <c r="G52"/>
      <c r="H52"/>
      <c r="I52"/>
      <c r="J52"/>
      <c r="K52"/>
      <c r="L52"/>
    </row>
    <row r="53" spans="1:12" ht="15.75" customHeight="1">
      <c r="A53"/>
      <c r="B53"/>
      <c r="C53"/>
      <c r="D53"/>
      <c r="E53"/>
      <c r="F53"/>
      <c r="G53"/>
      <c r="H53"/>
      <c r="I53"/>
      <c r="J53"/>
      <c r="K53"/>
      <c r="L53"/>
    </row>
    <row r="54" spans="1:12" ht="15.75" customHeight="1">
      <c r="A54"/>
      <c r="B54"/>
      <c r="C54"/>
      <c r="D54"/>
      <c r="E54"/>
      <c r="F54"/>
      <c r="G54"/>
      <c r="H54"/>
      <c r="I54"/>
      <c r="J54"/>
      <c r="K54"/>
      <c r="L54"/>
    </row>
    <row r="55" spans="1:12" ht="15.75" customHeight="1">
      <c r="A55"/>
      <c r="B55"/>
      <c r="C55"/>
      <c r="D55"/>
      <c r="E55"/>
      <c r="F55"/>
      <c r="G55"/>
      <c r="H55"/>
      <c r="I55"/>
      <c r="J55"/>
      <c r="K55"/>
      <c r="L55"/>
    </row>
    <row r="56" spans="1:12" ht="15.75" customHeight="1">
      <c r="A56"/>
      <c r="B56"/>
      <c r="C56"/>
      <c r="D56"/>
      <c r="E56"/>
      <c r="F56"/>
      <c r="G56"/>
      <c r="H56"/>
      <c r="I56"/>
      <c r="J56"/>
      <c r="K56"/>
      <c r="L56"/>
    </row>
    <row r="57" spans="1:12" ht="15.75" customHeight="1">
      <c r="A57"/>
      <c r="B57"/>
      <c r="C57"/>
      <c r="D57"/>
      <c r="E57"/>
      <c r="F57"/>
      <c r="G57"/>
      <c r="H57"/>
      <c r="I57"/>
      <c r="J57"/>
      <c r="K57"/>
      <c r="L57"/>
    </row>
    <row r="58" spans="1:12" ht="15.75" customHeight="1">
      <c r="A58"/>
      <c r="B58"/>
      <c r="C58"/>
      <c r="D58"/>
      <c r="E58"/>
      <c r="F58"/>
      <c r="G58"/>
      <c r="H58"/>
      <c r="I58"/>
      <c r="J58"/>
      <c r="K58"/>
      <c r="L58"/>
    </row>
    <row r="59" spans="1:12" ht="15.75" customHeight="1">
      <c r="A59"/>
      <c r="B59"/>
      <c r="C59"/>
      <c r="D59"/>
      <c r="E59"/>
      <c r="F59"/>
      <c r="G59"/>
      <c r="H59"/>
      <c r="I59"/>
      <c r="J59"/>
      <c r="K59"/>
      <c r="L59"/>
    </row>
    <row r="60" spans="1:12" ht="15.75" customHeight="1">
      <c r="A60"/>
      <c r="B60"/>
      <c r="C60"/>
      <c r="D60"/>
      <c r="E60"/>
      <c r="F60"/>
      <c r="G60"/>
      <c r="H60"/>
      <c r="I60"/>
      <c r="J60"/>
      <c r="K60"/>
      <c r="L60"/>
    </row>
    <row r="61" spans="1:12" ht="15.75" customHeight="1">
      <c r="A61"/>
      <c r="B61"/>
      <c r="C61"/>
      <c r="D61"/>
      <c r="E61"/>
      <c r="F61"/>
      <c r="G61"/>
      <c r="H61"/>
      <c r="I61"/>
      <c r="J61"/>
      <c r="K61"/>
      <c r="L61"/>
    </row>
    <row r="62" spans="1:12" ht="15.75" customHeight="1">
      <c r="A62"/>
      <c r="B62"/>
      <c r="C62"/>
      <c r="D62"/>
      <c r="E62"/>
      <c r="F62"/>
      <c r="G62"/>
      <c r="H62"/>
      <c r="I62"/>
      <c r="J62"/>
      <c r="K62"/>
      <c r="L62"/>
    </row>
    <row r="63" spans="1:12" ht="15.75" customHeight="1">
      <c r="A63"/>
      <c r="B63"/>
      <c r="C63"/>
      <c r="D63"/>
      <c r="E63"/>
      <c r="F63"/>
      <c r="G63"/>
      <c r="H63"/>
      <c r="I63"/>
      <c r="J63"/>
      <c r="K63"/>
      <c r="L63"/>
    </row>
    <row r="64" spans="1:12" ht="15.75" customHeight="1">
      <c r="A64"/>
      <c r="B64"/>
      <c r="C64"/>
      <c r="D64"/>
      <c r="E64"/>
      <c r="F64"/>
      <c r="G64"/>
      <c r="H64"/>
      <c r="I64"/>
      <c r="J64"/>
      <c r="K64"/>
      <c r="L64"/>
    </row>
    <row r="65" spans="1:12" ht="15.75" customHeight="1">
      <c r="A65"/>
      <c r="B65"/>
      <c r="C65"/>
      <c r="D65"/>
      <c r="E65"/>
      <c r="F65"/>
      <c r="G65"/>
      <c r="H65"/>
      <c r="I65"/>
      <c r="J65"/>
      <c r="K65"/>
      <c r="L65"/>
    </row>
    <row r="66" spans="1:12" ht="15.75" customHeight="1">
      <c r="A66"/>
      <c r="B66"/>
      <c r="C66"/>
      <c r="D66"/>
      <c r="E66"/>
      <c r="F66"/>
      <c r="G66"/>
      <c r="H66"/>
      <c r="I66"/>
      <c r="J66"/>
      <c r="K66"/>
      <c r="L66"/>
    </row>
    <row r="67" spans="1:12" ht="15.75" customHeight="1">
      <c r="A67"/>
      <c r="B67"/>
      <c r="C67"/>
      <c r="D67"/>
      <c r="E67"/>
      <c r="F67"/>
      <c r="G67"/>
      <c r="H67"/>
      <c r="I67"/>
      <c r="J67"/>
      <c r="K67"/>
      <c r="L67"/>
    </row>
    <row r="68" spans="1:12" ht="15.75" customHeight="1">
      <c r="A68"/>
      <c r="B68"/>
      <c r="C68"/>
      <c r="D68"/>
      <c r="E68"/>
      <c r="F68"/>
      <c r="G68"/>
      <c r="H68"/>
      <c r="I68"/>
      <c r="J68"/>
      <c r="K68"/>
      <c r="L68"/>
    </row>
    <row r="69" spans="1:12" ht="15.75" customHeight="1">
      <c r="A69"/>
      <c r="B69"/>
      <c r="C69"/>
      <c r="D69"/>
      <c r="E69"/>
      <c r="F69"/>
      <c r="G69"/>
      <c r="H69"/>
      <c r="I69"/>
      <c r="J69"/>
      <c r="K69"/>
      <c r="L69"/>
    </row>
    <row r="70" spans="1:12" ht="15.75" customHeight="1">
      <c r="A70"/>
      <c r="B70"/>
      <c r="C70"/>
      <c r="D70"/>
      <c r="E70"/>
      <c r="F70"/>
      <c r="G70"/>
      <c r="H70"/>
      <c r="I70"/>
      <c r="J70"/>
      <c r="K70"/>
      <c r="L70"/>
    </row>
    <row r="71" spans="1:12" ht="15.75" customHeight="1">
      <c r="A71"/>
      <c r="B71"/>
      <c r="C71"/>
      <c r="D71"/>
      <c r="E71"/>
      <c r="F71"/>
      <c r="G71"/>
      <c r="H71"/>
      <c r="I71"/>
      <c r="J71"/>
      <c r="K71"/>
      <c r="L71"/>
    </row>
    <row r="72" spans="1:12" ht="15.75" customHeight="1">
      <c r="A72"/>
      <c r="B72"/>
      <c r="C72"/>
      <c r="D72"/>
      <c r="E72"/>
      <c r="F72"/>
      <c r="G72"/>
      <c r="H72"/>
      <c r="I72"/>
      <c r="J72"/>
      <c r="K72"/>
      <c r="L72"/>
    </row>
    <row r="73" spans="1:12" ht="15.75" customHeight="1">
      <c r="A73"/>
      <c r="B73"/>
      <c r="C73"/>
      <c r="D73"/>
      <c r="E73"/>
      <c r="F73"/>
      <c r="G73"/>
      <c r="H73"/>
      <c r="I73"/>
      <c r="J73"/>
      <c r="K73"/>
      <c r="L73"/>
    </row>
    <row r="74" spans="1:12" ht="15.75" customHeight="1">
      <c r="A74"/>
      <c r="B74"/>
      <c r="C74"/>
      <c r="D74"/>
      <c r="E74"/>
      <c r="F74"/>
      <c r="G74"/>
      <c r="H74"/>
      <c r="I74"/>
      <c r="J74"/>
      <c r="K74"/>
      <c r="L74"/>
    </row>
    <row r="75" spans="1:12" ht="15.75" customHeight="1">
      <c r="A75"/>
      <c r="B75"/>
      <c r="C75"/>
      <c r="D75"/>
      <c r="E75"/>
      <c r="F75"/>
      <c r="G75"/>
      <c r="H75"/>
      <c r="I75"/>
      <c r="J75"/>
      <c r="K75"/>
      <c r="L75"/>
    </row>
    <row r="76" spans="1:12" ht="15.75" customHeight="1">
      <c r="A76"/>
      <c r="B76"/>
      <c r="C76"/>
      <c r="D76"/>
      <c r="E76"/>
      <c r="F76"/>
      <c r="G76"/>
      <c r="H76"/>
      <c r="I76"/>
      <c r="J76"/>
      <c r="K76"/>
      <c r="L76"/>
    </row>
    <row r="77" spans="1:12" ht="15.75" customHeight="1">
      <c r="A77"/>
      <c r="B77"/>
      <c r="C77"/>
      <c r="D77"/>
      <c r="E77"/>
      <c r="F77"/>
      <c r="G77"/>
      <c r="H77"/>
      <c r="I77"/>
      <c r="J77"/>
      <c r="K77"/>
      <c r="L77"/>
    </row>
    <row r="78" spans="1:12" ht="15.75" customHeight="1">
      <c r="A78"/>
      <c r="B78"/>
      <c r="C78"/>
      <c r="D78"/>
      <c r="E78"/>
      <c r="F78"/>
      <c r="G78"/>
      <c r="H78"/>
      <c r="I78"/>
      <c r="J78"/>
      <c r="K78"/>
      <c r="L78"/>
    </row>
    <row r="79" spans="1:12" ht="15.75" customHeight="1">
      <c r="A79"/>
      <c r="B79"/>
      <c r="C79"/>
      <c r="D79"/>
      <c r="E79"/>
      <c r="F79"/>
      <c r="G79"/>
      <c r="H79"/>
      <c r="I79"/>
      <c r="J79"/>
      <c r="K79"/>
      <c r="L79"/>
    </row>
    <row r="80" spans="1:12" ht="15.75" customHeight="1">
      <c r="A80"/>
      <c r="B80"/>
      <c r="C80"/>
      <c r="D80"/>
      <c r="E80"/>
      <c r="F80"/>
      <c r="G80"/>
      <c r="H80"/>
      <c r="I80"/>
      <c r="J80"/>
      <c r="K80"/>
      <c r="L80"/>
    </row>
    <row r="81" spans="1:12" ht="15.75" customHeight="1">
      <c r="A81"/>
      <c r="B81"/>
      <c r="C81"/>
      <c r="D81"/>
      <c r="E81"/>
      <c r="F81"/>
      <c r="G81"/>
      <c r="H81"/>
      <c r="I81"/>
      <c r="J81"/>
      <c r="K81"/>
      <c r="L81"/>
    </row>
    <row r="82" spans="1:12" ht="15.75" customHeight="1">
      <c r="A82"/>
      <c r="B82"/>
      <c r="C82"/>
      <c r="D82"/>
      <c r="E82"/>
      <c r="F82"/>
      <c r="G82"/>
      <c r="H82"/>
      <c r="I82"/>
      <c r="J82"/>
      <c r="K82"/>
      <c r="L82"/>
    </row>
    <row r="83" spans="1:12" ht="15.75" customHeight="1">
      <c r="A83"/>
      <c r="B83"/>
      <c r="C83"/>
      <c r="D83"/>
      <c r="E83"/>
      <c r="F83"/>
      <c r="G83"/>
      <c r="H83"/>
      <c r="I83"/>
      <c r="J83"/>
      <c r="K83"/>
      <c r="L83"/>
    </row>
    <row r="84" spans="1:12" ht="15.75" customHeight="1">
      <c r="A84"/>
      <c r="B84"/>
      <c r="C84"/>
      <c r="D84"/>
      <c r="E84"/>
      <c r="F84"/>
      <c r="G84"/>
      <c r="H84"/>
      <c r="I84"/>
      <c r="J84"/>
      <c r="K84"/>
      <c r="L84"/>
    </row>
    <row r="85" spans="1:12" ht="15.75" customHeight="1">
      <c r="A85"/>
      <c r="B85"/>
      <c r="C85"/>
      <c r="D85"/>
      <c r="E85"/>
      <c r="F85"/>
      <c r="G85"/>
      <c r="H85"/>
      <c r="I85"/>
      <c r="J85"/>
      <c r="K85"/>
      <c r="L85"/>
    </row>
    <row r="86" spans="1:12" ht="15.75" customHeight="1">
      <c r="A86"/>
      <c r="B86"/>
      <c r="C86"/>
      <c r="D86"/>
      <c r="E86"/>
      <c r="F86"/>
      <c r="G86"/>
      <c r="H86"/>
      <c r="I86"/>
      <c r="J86"/>
      <c r="K86"/>
      <c r="L86"/>
    </row>
    <row r="87" spans="1:12" ht="15.75" customHeight="1">
      <c r="A87"/>
      <c r="B87"/>
      <c r="C87"/>
      <c r="D87"/>
      <c r="E87"/>
      <c r="F87"/>
      <c r="G87"/>
      <c r="H87"/>
      <c r="I87"/>
      <c r="J87"/>
      <c r="K87"/>
      <c r="L87"/>
    </row>
    <row r="88" spans="1:12" ht="15.75" customHeight="1">
      <c r="A88"/>
      <c r="B88"/>
      <c r="C88"/>
      <c r="D88"/>
      <c r="E88"/>
      <c r="F88"/>
      <c r="G88"/>
      <c r="H88"/>
      <c r="I88"/>
      <c r="J88"/>
      <c r="K88"/>
      <c r="L88"/>
    </row>
    <row r="89" spans="1:12" ht="15.75" customHeight="1">
      <c r="A89"/>
      <c r="B89"/>
      <c r="C89"/>
      <c r="D89"/>
      <c r="E89"/>
      <c r="F89"/>
      <c r="G89"/>
      <c r="H89"/>
      <c r="I89"/>
      <c r="J89"/>
      <c r="K89"/>
      <c r="L89"/>
    </row>
    <row r="90" spans="1:12" ht="15.75" customHeight="1">
      <c r="A90"/>
      <c r="B90"/>
      <c r="C90"/>
      <c r="D90"/>
      <c r="E90"/>
      <c r="F90"/>
      <c r="G90"/>
      <c r="H90"/>
      <c r="I90"/>
      <c r="J90"/>
      <c r="K90"/>
      <c r="L90"/>
    </row>
    <row r="91" spans="1:12" ht="15.75" customHeight="1">
      <c r="A91"/>
      <c r="B91"/>
      <c r="C91"/>
      <c r="D91"/>
      <c r="E91"/>
      <c r="F91"/>
      <c r="G91"/>
      <c r="H91"/>
      <c r="I91"/>
      <c r="J91"/>
      <c r="K91"/>
      <c r="L91"/>
    </row>
    <row r="92" spans="1:12" ht="15.75" customHeight="1">
      <c r="A92"/>
      <c r="B92"/>
      <c r="C92"/>
      <c r="D92"/>
      <c r="E92"/>
      <c r="F92"/>
      <c r="G92"/>
      <c r="H92"/>
      <c r="I92"/>
      <c r="J92"/>
      <c r="K92"/>
      <c r="L92"/>
    </row>
    <row r="93" spans="6:8" ht="15.75" customHeight="1">
      <c r="F93" s="11"/>
      <c r="H93" s="12"/>
    </row>
    <row r="94" ht="15.75" customHeight="1">
      <c r="A94" s="4"/>
    </row>
  </sheetData>
  <sheetProtection password="DCE9" sheet="1" objects="1" scenarios="1"/>
  <printOptions headings="1"/>
  <pageMargins left="0.5" right="0.5" top="0.5" bottom="0.5" header="0.5" footer="0.5"/>
  <pageSetup horizontalDpi="300" verticalDpi="300" orientation="landscape" scale="62" r:id="rId1"/>
  <headerFooter alignWithMargins="0">
    <oddFooter>&amp;L&amp;D&amp;RPage &amp;P of &amp;N</oddFooter>
  </headerFooter>
  <rowBreaks count="1" manualBreakCount="1">
    <brk id="41" max="255" man="1"/>
  </rowBreaks>
</worksheet>
</file>

<file path=xl/worksheets/sheet12.xml><?xml version="1.0" encoding="utf-8"?>
<worksheet xmlns="http://schemas.openxmlformats.org/spreadsheetml/2006/main" xmlns:r="http://schemas.openxmlformats.org/officeDocument/2006/relationships">
  <sheetPr codeName="Sheet33" transitionEvaluation="1"/>
  <dimension ref="A1:L94"/>
  <sheetViews>
    <sheetView view="pageBreakPreview" zoomScale="85" zoomScaleNormal="85" zoomScaleSheetLayoutView="85" zoomScalePageLayoutView="0" workbookViewId="0" topLeftCell="A1">
      <selection activeCell="G2" sqref="G2"/>
    </sheetView>
  </sheetViews>
  <sheetFormatPr defaultColWidth="11.7109375" defaultRowHeight="15.75" customHeight="1"/>
  <cols>
    <col min="1" max="1" width="20.8515625" style="142" customWidth="1"/>
    <col min="2" max="12" width="15.7109375" style="142" customWidth="1"/>
    <col min="13" max="16384" width="11.7109375" style="142" customWidth="1"/>
  </cols>
  <sheetData>
    <row r="1" spans="1:12" ht="15.75" customHeight="1">
      <c r="A1" s="136" t="str">
        <f>InputB!$A$1</f>
        <v>Group Name:</v>
      </c>
      <c r="B1" s="137" t="str">
        <f>InputB!$C$1</f>
        <v>enter group name here</v>
      </c>
      <c r="C1" s="136"/>
      <c r="D1"/>
      <c r="E1"/>
      <c r="F1"/>
      <c r="G1"/>
      <c r="H1"/>
      <c r="I1"/>
      <c r="J1"/>
      <c r="L1" s="139" t="s">
        <v>155</v>
      </c>
    </row>
    <row r="2" spans="1:12" ht="15.75" customHeight="1">
      <c r="A2" s="140" t="str">
        <f>InputB!$A$2</f>
        <v>Group NAIC #:</v>
      </c>
      <c r="B2" s="137" t="str">
        <f>InputB!$C$2</f>
        <v>enter group # here</v>
      </c>
      <c r="C2" s="136"/>
      <c r="D2"/>
      <c r="E2"/>
      <c r="F2"/>
      <c r="G2"/>
      <c r="H2"/>
      <c r="I2"/>
      <c r="J2"/>
      <c r="L2" s="139" t="s">
        <v>361</v>
      </c>
    </row>
    <row r="3" spans="1:11" ht="15.75" customHeight="1">
      <c r="A3" s="136" t="str">
        <f>InputB!$A$3</f>
        <v>Year Filed:</v>
      </c>
      <c r="B3" s="141">
        <f>InputB!$C$3</f>
        <v>2024</v>
      </c>
      <c r="C3" s="136"/>
      <c r="D3"/>
      <c r="E3"/>
      <c r="F3"/>
      <c r="G3"/>
      <c r="H3"/>
      <c r="I3"/>
      <c r="J3"/>
      <c r="K3" s="136"/>
    </row>
    <row r="4" ht="15.75" customHeight="1" thickBot="1"/>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2015</v>
      </c>
      <c r="C8" s="177">
        <f t="shared" si="0"/>
        <v>2016</v>
      </c>
      <c r="D8" s="177">
        <f t="shared" si="0"/>
        <v>2017</v>
      </c>
      <c r="E8" s="177">
        <f t="shared" si="0"/>
        <v>2018</v>
      </c>
      <c r="F8" s="177">
        <f t="shared" si="0"/>
        <v>2019</v>
      </c>
      <c r="G8" s="177">
        <f t="shared" si="0"/>
        <v>2020</v>
      </c>
      <c r="H8" s="177">
        <f t="shared" si="0"/>
        <v>2021</v>
      </c>
      <c r="I8" s="177">
        <f t="shared" si="0"/>
        <v>2022</v>
      </c>
      <c r="J8" s="178">
        <f>ReportYear-1</f>
        <v>2023</v>
      </c>
      <c r="K8" s="179"/>
      <c r="L8" s="104"/>
    </row>
    <row r="9" spans="1:12" ht="15.75" customHeight="1">
      <c r="A9" s="172" t="s">
        <v>34</v>
      </c>
      <c r="B9" s="41">
        <f>InputB!E57</f>
        <v>0</v>
      </c>
      <c r="C9" s="41">
        <f>InputB!F57</f>
        <v>0</v>
      </c>
      <c r="D9" s="35">
        <f>InputB!G57</f>
        <v>0</v>
      </c>
      <c r="E9" s="35">
        <f>InputB!H57</f>
        <v>0</v>
      </c>
      <c r="F9" s="35">
        <f>InputB!I57</f>
        <v>0</v>
      </c>
      <c r="G9" s="35">
        <f>InputB!J57</f>
        <v>0</v>
      </c>
      <c r="H9" s="35">
        <f>InputB!K57</f>
        <v>0</v>
      </c>
      <c r="I9" s="35">
        <f>InputB!L57</f>
        <v>0</v>
      </c>
      <c r="J9" s="80">
        <f>InputB!M57</f>
        <v>0</v>
      </c>
      <c r="K9" s="41"/>
      <c r="L9" s="104"/>
    </row>
    <row r="10" spans="1:12" ht="15.75" customHeight="1">
      <c r="A10" s="176" t="s">
        <v>35</v>
      </c>
      <c r="B10" s="41">
        <f>InputB!E58</f>
        <v>0</v>
      </c>
      <c r="C10" s="35">
        <f>InputB!F58</f>
        <v>0</v>
      </c>
      <c r="D10" s="35">
        <f>InputB!G58</f>
        <v>0</v>
      </c>
      <c r="E10" s="35">
        <f>InputB!H58</f>
        <v>0</v>
      </c>
      <c r="F10" s="35">
        <f>InputB!I58</f>
        <v>0</v>
      </c>
      <c r="G10" s="35">
        <f>InputB!J58</f>
        <v>0</v>
      </c>
      <c r="H10" s="35">
        <f>InputB!K58</f>
        <v>0</v>
      </c>
      <c r="I10" s="35">
        <f>InputB!L58</f>
        <v>0</v>
      </c>
      <c r="J10" s="93">
        <f>InputB!M58</f>
        <v>0</v>
      </c>
      <c r="K10" s="35"/>
      <c r="L10" s="104"/>
    </row>
    <row r="11" spans="1:12" ht="15.75" customHeight="1">
      <c r="A11" s="176" t="s">
        <v>36</v>
      </c>
      <c r="B11" s="35">
        <f>InputB!E59</f>
        <v>0</v>
      </c>
      <c r="C11" s="35">
        <f>InputB!F59</f>
        <v>0</v>
      </c>
      <c r="D11" s="35">
        <f>InputB!G59</f>
        <v>0</v>
      </c>
      <c r="E11" s="35">
        <f>InputB!H59</f>
        <v>0</v>
      </c>
      <c r="F11" s="35">
        <f>InputB!I59</f>
        <v>0</v>
      </c>
      <c r="G11" s="35">
        <f>InputB!J59</f>
        <v>0</v>
      </c>
      <c r="H11" s="35">
        <f>InputB!K59</f>
        <v>0</v>
      </c>
      <c r="I11" s="35"/>
      <c r="J11" s="93"/>
      <c r="K11" s="35"/>
      <c r="L11" s="104"/>
    </row>
    <row r="12" spans="1:12" ht="15.75" customHeight="1">
      <c r="A12" s="176" t="s">
        <v>37</v>
      </c>
      <c r="B12" s="35">
        <f>InputB!E60</f>
        <v>0</v>
      </c>
      <c r="C12" s="35">
        <f>InputB!F60</f>
        <v>0</v>
      </c>
      <c r="D12" s="35">
        <f>InputB!G60</f>
        <v>0</v>
      </c>
      <c r="E12" s="35">
        <f>InputB!H60</f>
        <v>0</v>
      </c>
      <c r="F12" s="35">
        <f>InputB!I60</f>
        <v>0</v>
      </c>
      <c r="G12" s="35">
        <f>InputB!J60</f>
        <v>0</v>
      </c>
      <c r="H12" s="35"/>
      <c r="I12" s="35"/>
      <c r="J12" s="93"/>
      <c r="K12" s="35"/>
      <c r="L12" s="104"/>
    </row>
    <row r="13" spans="1:12" ht="15.75" customHeight="1">
      <c r="A13" s="426"/>
      <c r="B13" s="427"/>
      <c r="C13" s="427"/>
      <c r="D13" s="427"/>
      <c r="E13" s="427"/>
      <c r="F13" s="427"/>
      <c r="G13" s="427"/>
      <c r="H13" s="427"/>
      <c r="I13" s="427"/>
      <c r="J13" s="428"/>
      <c r="K13" s="35"/>
      <c r="L13" s="104"/>
    </row>
    <row r="14" spans="1:12" ht="15.75" customHeight="1">
      <c r="A14" s="176"/>
      <c r="B14" s="35"/>
      <c r="C14" s="35"/>
      <c r="D14" s="35"/>
      <c r="E14" s="35"/>
      <c r="F14" s="35"/>
      <c r="G14" s="35"/>
      <c r="H14" s="35"/>
      <c r="I14" s="35"/>
      <c r="J14" s="93"/>
      <c r="K14" s="35"/>
      <c r="L14" s="104"/>
    </row>
    <row r="15" spans="1:12" ht="15.75" customHeight="1" thickBot="1">
      <c r="A15" s="181"/>
      <c r="B15" s="36"/>
      <c r="C15" s="36"/>
      <c r="D15" s="36"/>
      <c r="E15" s="185"/>
      <c r="F15" s="36"/>
      <c r="G15" s="36"/>
      <c r="H15" s="36"/>
      <c r="I15" s="36"/>
      <c r="J15" s="96"/>
      <c r="K15" s="35"/>
      <c r="L15" s="104"/>
    </row>
    <row r="16" spans="1:12" ht="15.75" customHeight="1">
      <c r="A16" s="182"/>
      <c r="B16" s="35"/>
      <c r="C16" s="35"/>
      <c r="D16" s="35"/>
      <c r="E16" s="183"/>
      <c r="F16" s="35"/>
      <c r="G16" s="35"/>
      <c r="H16" s="35"/>
      <c r="I16" s="35"/>
      <c r="J16" s="35"/>
      <c r="K16" s="35"/>
      <c r="L16" s="104"/>
    </row>
    <row r="17" spans="1:12" ht="15.75" customHeight="1" thickBot="1">
      <c r="A17" s="104"/>
      <c r="B17" s="104"/>
      <c r="C17" s="104"/>
      <c r="D17" s="104"/>
      <c r="E17" s="104"/>
      <c r="F17" s="104"/>
      <c r="G17" s="104"/>
      <c r="H17" s="104"/>
      <c r="I17" s="104"/>
      <c r="J17" s="104"/>
      <c r="K17" s="104"/>
      <c r="L17" s="104"/>
    </row>
    <row r="18" spans="1:12" ht="15.75" customHeight="1">
      <c r="A18" s="186" t="s">
        <v>53</v>
      </c>
      <c r="B18" s="401"/>
      <c r="C18" s="168"/>
      <c r="D18" s="168"/>
      <c r="E18" s="168"/>
      <c r="F18" s="168"/>
      <c r="G18" s="168"/>
      <c r="H18" s="168"/>
      <c r="I18" s="168"/>
      <c r="J18" s="148" t="s">
        <v>140</v>
      </c>
      <c r="K18" s="148" t="s">
        <v>59</v>
      </c>
      <c r="L18" s="149" t="s">
        <v>141</v>
      </c>
    </row>
    <row r="19" spans="1:12" ht="15.75" customHeight="1">
      <c r="A19" s="176" t="s">
        <v>19</v>
      </c>
      <c r="B19" s="174" t="str">
        <f>B7</f>
        <v>Accident Year</v>
      </c>
      <c r="C19" s="174"/>
      <c r="D19" s="174"/>
      <c r="E19" s="174"/>
      <c r="F19" s="174"/>
      <c r="G19" s="174"/>
      <c r="H19" s="174"/>
      <c r="I19" s="174"/>
      <c r="J19" s="150" t="s">
        <v>98</v>
      </c>
      <c r="K19" s="151" t="str">
        <f>A19</f>
        <v>Development </v>
      </c>
      <c r="L19" s="188" t="s">
        <v>99</v>
      </c>
    </row>
    <row r="20" spans="1:12" ht="15.75" customHeight="1">
      <c r="A20" s="180" t="s">
        <v>20</v>
      </c>
      <c r="B20" s="177">
        <f>B8</f>
        <v>2015</v>
      </c>
      <c r="C20" s="177">
        <f aca="true" t="shared" si="1" ref="C20:I20">C8</f>
        <v>2016</v>
      </c>
      <c r="D20" s="177">
        <f t="shared" si="1"/>
        <v>2017</v>
      </c>
      <c r="E20" s="177">
        <f t="shared" si="1"/>
        <v>2018</v>
      </c>
      <c r="F20" s="177">
        <f t="shared" si="1"/>
        <v>2019</v>
      </c>
      <c r="G20" s="177">
        <f t="shared" si="1"/>
        <v>2020</v>
      </c>
      <c r="H20" s="177">
        <f t="shared" si="1"/>
        <v>2021</v>
      </c>
      <c r="I20" s="177">
        <f t="shared" si="1"/>
        <v>2022</v>
      </c>
      <c r="J20" s="189" t="s">
        <v>22</v>
      </c>
      <c r="K20" s="152" t="str">
        <f>A20</f>
        <v>Factors</v>
      </c>
      <c r="L20" s="153" t="str">
        <f>J20</f>
        <v>LDF</v>
      </c>
    </row>
    <row r="21" spans="1:12" ht="15.75" customHeight="1">
      <c r="A21" s="176" t="s">
        <v>41</v>
      </c>
      <c r="B21" s="195" t="str">
        <f aca="true" t="shared" si="2" ref="B21:I23">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IF(COUNT(B21:I21)=0,1,IF(COUNT(B21:I21)&lt;=4,AVERAGE(B21:I21),(SUM(B21:I21)-MAX(B21:I21)-MIN(B21:I21))/(COUNT(B21:I21)-2)))</f>
        <v>1</v>
      </c>
      <c r="K21" s="402" t="s">
        <v>168</v>
      </c>
      <c r="L21" s="81">
        <f>L22*J21</f>
        <v>1</v>
      </c>
    </row>
    <row r="22" spans="1:12" ht="15.75" customHeight="1">
      <c r="A22" s="176" t="s">
        <v>42</v>
      </c>
      <c r="B22" s="195" t="str">
        <f t="shared" si="2"/>
        <v>-----</v>
      </c>
      <c r="C22" s="195" t="str">
        <f t="shared" si="2"/>
        <v>-----</v>
      </c>
      <c r="D22" s="195" t="str">
        <f t="shared" si="2"/>
        <v>-----</v>
      </c>
      <c r="E22" s="195" t="str">
        <f t="shared" si="2"/>
        <v>-----</v>
      </c>
      <c r="F22" s="195" t="str">
        <f t="shared" si="2"/>
        <v>-----</v>
      </c>
      <c r="G22" s="195" t="str">
        <f t="shared" si="2"/>
        <v>-----</v>
      </c>
      <c r="H22" s="195" t="str">
        <f t="shared" si="2"/>
        <v>-----</v>
      </c>
      <c r="I22" s="195"/>
      <c r="J22" s="468">
        <f>IF(COUNT(B22:I22)=0,1,IF(COUNT(B22:I22)&lt;=4,AVERAGE(B22:I22),(SUM(B22:I22)-MAX(B22:I22)-MIN(B22:I22))/(COUNT(B22:I22)-2)))</f>
        <v>1</v>
      </c>
      <c r="K22" s="402" t="s">
        <v>169</v>
      </c>
      <c r="L22" s="81">
        <f>L23*J22</f>
        <v>1</v>
      </c>
    </row>
    <row r="23" spans="1:12" ht="15.75" customHeight="1" thickBot="1">
      <c r="A23" s="181" t="s">
        <v>43</v>
      </c>
      <c r="B23" s="383" t="str">
        <f t="shared" si="2"/>
        <v>-----</v>
      </c>
      <c r="C23" s="383" t="str">
        <f t="shared" si="2"/>
        <v>-----</v>
      </c>
      <c r="D23" s="383" t="str">
        <f t="shared" si="2"/>
        <v>-----</v>
      </c>
      <c r="E23" s="383" t="str">
        <f t="shared" si="2"/>
        <v>-----</v>
      </c>
      <c r="F23" s="383" t="str">
        <f t="shared" si="2"/>
        <v>-----</v>
      </c>
      <c r="G23" s="383" t="str">
        <f t="shared" si="2"/>
        <v>-----</v>
      </c>
      <c r="H23" s="383"/>
      <c r="I23" s="383"/>
      <c r="J23" s="469">
        <f>IF(COUNT(B23:I23)=0,1,IF(COUNT(B23:I23)&lt;=4,AVERAGE(B23:I23),(SUM(B23:I23)-MAX(B23:I23)-MIN(B23:I23))/(COUNT(B23:I23)-2)))</f>
        <v>1</v>
      </c>
      <c r="K23" s="403" t="s">
        <v>172</v>
      </c>
      <c r="L23" s="83">
        <f>J23</f>
        <v>1</v>
      </c>
    </row>
    <row r="24" spans="2:12" ht="15.75" customHeight="1">
      <c r="B24" s="109" t="s">
        <v>59</v>
      </c>
      <c r="C24" s="86"/>
      <c r="D24" s="86"/>
      <c r="E24" s="86"/>
      <c r="F24" s="104"/>
      <c r="G24" s="104"/>
      <c r="H24" s="104"/>
      <c r="I24" s="104"/>
      <c r="J24" s="86"/>
      <c r="K24" s="86"/>
      <c r="L24" s="86"/>
    </row>
    <row r="25" spans="2:12" ht="15.75" customHeight="1">
      <c r="B25" s="109" t="s">
        <v>59</v>
      </c>
      <c r="C25" s="86"/>
      <c r="D25" s="86"/>
      <c r="E25" s="104"/>
      <c r="F25" s="104"/>
      <c r="G25" s="104"/>
      <c r="H25" s="104"/>
      <c r="I25" s="104"/>
      <c r="J25" s="86"/>
      <c r="K25" s="86"/>
      <c r="L25" s="86"/>
    </row>
    <row r="26" spans="2:12" ht="15.75" customHeight="1">
      <c r="B26" s="109" t="s">
        <v>59</v>
      </c>
      <c r="C26" s="86"/>
      <c r="D26" s="104"/>
      <c r="E26" s="104"/>
      <c r="F26" s="104"/>
      <c r="G26" s="104"/>
      <c r="H26" s="104"/>
      <c r="I26" s="104"/>
      <c r="J26" s="86"/>
      <c r="K26" s="86"/>
      <c r="L26" s="86"/>
    </row>
    <row r="27" spans="2:12" ht="15.75" customHeight="1">
      <c r="B27" s="109" t="s">
        <v>59</v>
      </c>
      <c r="C27" s="104"/>
      <c r="D27" s="104"/>
      <c r="E27" s="104"/>
      <c r="F27" s="104"/>
      <c r="G27" s="104"/>
      <c r="H27" s="104"/>
      <c r="I27" s="104"/>
      <c r="J27" s="86"/>
      <c r="K27" s="86"/>
      <c r="L27" s="86"/>
    </row>
    <row r="28" spans="2:12" ht="15.75" customHeight="1">
      <c r="B28" s="109" t="s">
        <v>59</v>
      </c>
      <c r="C28" s="104"/>
      <c r="D28" s="104"/>
      <c r="E28" s="104"/>
      <c r="F28" s="104"/>
      <c r="G28" s="104"/>
      <c r="H28" s="104"/>
      <c r="I28" s="104"/>
      <c r="J28" s="86"/>
      <c r="K28" s="86"/>
      <c r="L28" s="86"/>
    </row>
    <row r="29" spans="1:12" ht="15.75" customHeight="1" thickBot="1">
      <c r="A29" s="104"/>
      <c r="B29" s="104"/>
      <c r="C29" s="104"/>
      <c r="D29" s="104"/>
      <c r="E29" s="104"/>
      <c r="F29" s="104"/>
      <c r="G29" s="104"/>
      <c r="H29" s="104"/>
      <c r="I29" s="86"/>
      <c r="J29" s="86"/>
      <c r="K29" s="86"/>
      <c r="L29" s="104"/>
    </row>
    <row r="30" spans="1:12" ht="15.75" customHeight="1">
      <c r="A30" s="155" t="s">
        <v>56</v>
      </c>
      <c r="B30" s="652" t="s">
        <v>118</v>
      </c>
      <c r="C30" s="652" t="s">
        <v>119</v>
      </c>
      <c r="D30" s="652" t="s">
        <v>120</v>
      </c>
      <c r="E30" s="652" t="s">
        <v>121</v>
      </c>
      <c r="F30" s="653" t="s">
        <v>122</v>
      </c>
      <c r="G30" s="504"/>
      <c r="H30" s="655" t="s">
        <v>57</v>
      </c>
      <c r="I30" s="656" t="s">
        <v>118</v>
      </c>
      <c r="J30" s="656" t="s">
        <v>119</v>
      </c>
      <c r="K30" s="656" t="s">
        <v>120</v>
      </c>
      <c r="L30" s="657" t="s">
        <v>121</v>
      </c>
    </row>
    <row r="31" spans="1:12" ht="15.75" customHeight="1">
      <c r="A31" s="544"/>
      <c r="B31" s="659" t="s">
        <v>101</v>
      </c>
      <c r="C31" s="659" t="s">
        <v>101</v>
      </c>
      <c r="D31" s="659" t="s">
        <v>101</v>
      </c>
      <c r="E31" s="659" t="s">
        <v>101</v>
      </c>
      <c r="F31" s="660" t="s">
        <v>316</v>
      </c>
      <c r="G31" s="504"/>
      <c r="H31" s="661" t="s">
        <v>59</v>
      </c>
      <c r="I31" s="659" t="s">
        <v>313</v>
      </c>
      <c r="J31" s="659" t="s">
        <v>314</v>
      </c>
      <c r="K31" s="662" t="s">
        <v>316</v>
      </c>
      <c r="L31" s="663" t="s">
        <v>312</v>
      </c>
    </row>
    <row r="32" spans="1:12" ht="15.75" customHeight="1">
      <c r="A32" s="158" t="s">
        <v>17</v>
      </c>
      <c r="B32" s="665" t="s">
        <v>317</v>
      </c>
      <c r="C32" s="665" t="s">
        <v>318</v>
      </c>
      <c r="D32" s="666" t="s">
        <v>319</v>
      </c>
      <c r="E32" s="665" t="s">
        <v>316</v>
      </c>
      <c r="F32" s="667" t="s">
        <v>320</v>
      </c>
      <c r="G32" s="504"/>
      <c r="H32" s="668" t="s">
        <v>33</v>
      </c>
      <c r="I32" s="669" t="str">
        <f>"@ 3/31/"&amp;TEXT(MOD(ReportYear,100),"00")</f>
        <v>@ 3/31/24</v>
      </c>
      <c r="J32" s="670" t="s">
        <v>315</v>
      </c>
      <c r="K32" s="671" t="s">
        <v>21</v>
      </c>
      <c r="L32" s="672" t="str">
        <f>I32</f>
        <v>@ 3/31/24</v>
      </c>
    </row>
    <row r="33" spans="1:12" ht="15.75" customHeight="1">
      <c r="A33" s="162">
        <f>$B$3-1</f>
        <v>2023</v>
      </c>
      <c r="B33" s="674">
        <f>InputB!$E$72</f>
        <v>0</v>
      </c>
      <c r="C33" s="674">
        <f>InputB!$E$73</f>
        <v>0</v>
      </c>
      <c r="D33" s="674">
        <f aca="true" t="shared" si="3" ref="D33:D41">B33+C33</f>
        <v>0</v>
      </c>
      <c r="E33" s="674">
        <f>InputB!$E$74</f>
        <v>0</v>
      </c>
      <c r="F33" s="675">
        <f aca="true" t="shared" si="4" ref="F33:F41">IF(D33=0,0,E33/D33)</f>
        <v>0</v>
      </c>
      <c r="G33" s="504"/>
      <c r="H33" s="676">
        <f>ReportYear-1</f>
        <v>2023</v>
      </c>
      <c r="I33" s="500">
        <f>J9</f>
        <v>0</v>
      </c>
      <c r="J33" s="468">
        <f>L21</f>
        <v>1</v>
      </c>
      <c r="K33" s="677">
        <f>MIN(MAX(AVERAGE(F33:F35)+1,1.05),1.3)</f>
        <v>1.05</v>
      </c>
      <c r="L33" s="616">
        <f>J33*I33*K33</f>
        <v>0</v>
      </c>
    </row>
    <row r="34" spans="1:12" ht="15.75" customHeight="1">
      <c r="A34" s="162">
        <f aca="true" t="shared" si="5" ref="A34:A41">A33-1</f>
        <v>2022</v>
      </c>
      <c r="B34" s="674">
        <f>InputB!$F$72</f>
        <v>0</v>
      </c>
      <c r="C34" s="674">
        <f>InputB!$F$73</f>
        <v>0</v>
      </c>
      <c r="D34" s="674">
        <f t="shared" si="3"/>
        <v>0</v>
      </c>
      <c r="E34" s="674">
        <f>InputB!$F$74</f>
        <v>0</v>
      </c>
      <c r="F34" s="675">
        <f t="shared" si="4"/>
        <v>0</v>
      </c>
      <c r="G34" s="504"/>
      <c r="H34" s="676">
        <f aca="true" t="shared" si="6" ref="H34:H39">H33-1</f>
        <v>2022</v>
      </c>
      <c r="I34" s="500">
        <f>I10</f>
        <v>0</v>
      </c>
      <c r="J34" s="468">
        <f>L22</f>
        <v>1</v>
      </c>
      <c r="K34" s="677">
        <f aca="true" t="shared" si="7" ref="K34:K39">MIN(MAX(AVERAGE(F34:F36)+1,1.05),1.3)</f>
        <v>1.05</v>
      </c>
      <c r="L34" s="616">
        <f aca="true" t="shared" si="8" ref="L34:L39">J34*I34*K34</f>
        <v>0</v>
      </c>
    </row>
    <row r="35" spans="1:12" ht="15.75" customHeight="1">
      <c r="A35" s="162">
        <f t="shared" si="5"/>
        <v>2021</v>
      </c>
      <c r="B35" s="674">
        <f>InputB!$G$72</f>
        <v>0</v>
      </c>
      <c r="C35" s="674">
        <f>InputB!$G$73</f>
        <v>0</v>
      </c>
      <c r="D35" s="674">
        <f t="shared" si="3"/>
        <v>0</v>
      </c>
      <c r="E35" s="674">
        <f>InputB!$G$74</f>
        <v>0</v>
      </c>
      <c r="F35" s="675">
        <f t="shared" si="4"/>
        <v>0</v>
      </c>
      <c r="G35" s="504"/>
      <c r="H35" s="676">
        <f t="shared" si="6"/>
        <v>2021</v>
      </c>
      <c r="I35" s="500">
        <f>H11</f>
        <v>0</v>
      </c>
      <c r="J35" s="468">
        <f>L23</f>
        <v>1</v>
      </c>
      <c r="K35" s="677">
        <f t="shared" si="7"/>
        <v>1.05</v>
      </c>
      <c r="L35" s="616">
        <f t="shared" si="8"/>
        <v>0</v>
      </c>
    </row>
    <row r="36" spans="1:12" ht="15.75" customHeight="1">
      <c r="A36" s="162">
        <f t="shared" si="5"/>
        <v>2020</v>
      </c>
      <c r="B36" s="674">
        <f>InputB!$H$72</f>
        <v>0</v>
      </c>
      <c r="C36" s="674">
        <f>InputB!$H$73</f>
        <v>0</v>
      </c>
      <c r="D36" s="674">
        <f t="shared" si="3"/>
        <v>0</v>
      </c>
      <c r="E36" s="674">
        <f>InputB!$H$74</f>
        <v>0</v>
      </c>
      <c r="F36" s="675">
        <f t="shared" si="4"/>
        <v>0</v>
      </c>
      <c r="G36" s="504"/>
      <c r="H36" s="676">
        <f t="shared" si="6"/>
        <v>2020</v>
      </c>
      <c r="I36" s="500">
        <f>G12</f>
        <v>0</v>
      </c>
      <c r="J36" s="468">
        <v>1</v>
      </c>
      <c r="K36" s="677">
        <f t="shared" si="7"/>
        <v>1.05</v>
      </c>
      <c r="L36" s="616">
        <f t="shared" si="8"/>
        <v>0</v>
      </c>
    </row>
    <row r="37" spans="1:12" ht="15.75" customHeight="1">
      <c r="A37" s="162">
        <f t="shared" si="5"/>
        <v>2019</v>
      </c>
      <c r="B37" s="674">
        <f>InputB!$I$72</f>
        <v>0</v>
      </c>
      <c r="C37" s="674">
        <f>InputB!$I$73</f>
        <v>0</v>
      </c>
      <c r="D37" s="674">
        <f t="shared" si="3"/>
        <v>0</v>
      </c>
      <c r="E37" s="674">
        <f>InputB!$I$74</f>
        <v>0</v>
      </c>
      <c r="F37" s="675">
        <f t="shared" si="4"/>
        <v>0</v>
      </c>
      <c r="G37" s="504"/>
      <c r="H37" s="676">
        <f t="shared" si="6"/>
        <v>2019</v>
      </c>
      <c r="I37" s="500">
        <f>F12</f>
        <v>0</v>
      </c>
      <c r="J37" s="468">
        <v>1</v>
      </c>
      <c r="K37" s="677">
        <f t="shared" si="7"/>
        <v>1.05</v>
      </c>
      <c r="L37" s="616">
        <f t="shared" si="8"/>
        <v>0</v>
      </c>
    </row>
    <row r="38" spans="1:12" ht="15.75" customHeight="1">
      <c r="A38" s="162">
        <f t="shared" si="5"/>
        <v>2018</v>
      </c>
      <c r="B38" s="674">
        <f>InputB!$J$72</f>
        <v>0</v>
      </c>
      <c r="C38" s="674">
        <f>InputB!$J$73</f>
        <v>0</v>
      </c>
      <c r="D38" s="674">
        <f t="shared" si="3"/>
        <v>0</v>
      </c>
      <c r="E38" s="674">
        <f>InputB!$J$74</f>
        <v>0</v>
      </c>
      <c r="F38" s="675">
        <f t="shared" si="4"/>
        <v>0</v>
      </c>
      <c r="G38" s="504"/>
      <c r="H38" s="676">
        <f t="shared" si="6"/>
        <v>2018</v>
      </c>
      <c r="I38" s="500">
        <f>E12</f>
        <v>0</v>
      </c>
      <c r="J38" s="468">
        <v>1</v>
      </c>
      <c r="K38" s="677">
        <f t="shared" si="7"/>
        <v>1.05</v>
      </c>
      <c r="L38" s="616">
        <f t="shared" si="8"/>
        <v>0</v>
      </c>
    </row>
    <row r="39" spans="1:12" ht="15.75" customHeight="1" thickBot="1">
      <c r="A39" s="162">
        <f t="shared" si="5"/>
        <v>2017</v>
      </c>
      <c r="B39" s="674">
        <f>InputB!$K$72</f>
        <v>0</v>
      </c>
      <c r="C39" s="674">
        <f>InputB!$K$73</f>
        <v>0</v>
      </c>
      <c r="D39" s="674">
        <f t="shared" si="3"/>
        <v>0</v>
      </c>
      <c r="E39" s="674">
        <f>InputB!$K$74</f>
        <v>0</v>
      </c>
      <c r="F39" s="675">
        <f t="shared" si="4"/>
        <v>0</v>
      </c>
      <c r="G39" s="504"/>
      <c r="H39" s="678">
        <f t="shared" si="6"/>
        <v>2017</v>
      </c>
      <c r="I39" s="679">
        <f>D12</f>
        <v>0</v>
      </c>
      <c r="J39" s="469">
        <v>1</v>
      </c>
      <c r="K39" s="680">
        <f t="shared" si="7"/>
        <v>1.05</v>
      </c>
      <c r="L39" s="681">
        <f t="shared" si="8"/>
        <v>0</v>
      </c>
    </row>
    <row r="40" spans="1:12" ht="15.75" customHeight="1">
      <c r="A40" s="162">
        <f t="shared" si="5"/>
        <v>2016</v>
      </c>
      <c r="B40" s="674">
        <f>InputB!$L$72</f>
        <v>0</v>
      </c>
      <c r="C40" s="674">
        <f>InputB!$L$73</f>
        <v>0</v>
      </c>
      <c r="D40" s="674">
        <f t="shared" si="3"/>
        <v>0</v>
      </c>
      <c r="E40" s="674">
        <f>InputB!$L$74</f>
        <v>0</v>
      </c>
      <c r="F40" s="675">
        <f t="shared" si="4"/>
        <v>0</v>
      </c>
      <c r="G40" s="504"/>
      <c r="H40" s="682"/>
      <c r="I40" s="500"/>
      <c r="J40" s="468"/>
      <c r="K40" s="683"/>
      <c r="L40" s="500"/>
    </row>
    <row r="41" spans="1:12" ht="15.75" customHeight="1" thickBot="1">
      <c r="A41" s="545">
        <f t="shared" si="5"/>
        <v>2015</v>
      </c>
      <c r="B41" s="685">
        <f>InputB!$M$72</f>
        <v>0</v>
      </c>
      <c r="C41" s="685">
        <f>InputB!$M$73</f>
        <v>0</v>
      </c>
      <c r="D41" s="685">
        <f t="shared" si="3"/>
        <v>0</v>
      </c>
      <c r="E41" s="685">
        <f>InputB!$M$74</f>
        <v>0</v>
      </c>
      <c r="F41" s="686">
        <f t="shared" si="4"/>
        <v>0</v>
      </c>
      <c r="G41" s="504"/>
      <c r="H41" s="682"/>
      <c r="I41" s="500"/>
      <c r="J41" s="468"/>
      <c r="K41" s="683"/>
      <c r="L41" s="500"/>
    </row>
    <row r="42" spans="1:12" ht="15.75" customHeight="1">
      <c r="A42"/>
      <c r="B42"/>
      <c r="C42"/>
      <c r="D42"/>
      <c r="E42"/>
      <c r="F42"/>
      <c r="G42"/>
      <c r="H42"/>
      <c r="I42"/>
      <c r="J42"/>
      <c r="K42"/>
      <c r="L42"/>
    </row>
    <row r="43" spans="1:12" ht="15.75" customHeight="1">
      <c r="A43"/>
      <c r="B43"/>
      <c r="C43"/>
      <c r="D43"/>
      <c r="E43"/>
      <c r="F43"/>
      <c r="G43"/>
      <c r="H43"/>
      <c r="I43"/>
      <c r="J43"/>
      <c r="K43"/>
      <c r="L43"/>
    </row>
    <row r="44" spans="1:12" ht="15.75" customHeight="1">
      <c r="A44"/>
      <c r="B44"/>
      <c r="C44"/>
      <c r="D44"/>
      <c r="E44"/>
      <c r="F44"/>
      <c r="G44"/>
      <c r="H44"/>
      <c r="I44"/>
      <c r="J44"/>
      <c r="K44"/>
      <c r="L44"/>
    </row>
    <row r="45" spans="1:12" ht="15.75" customHeight="1">
      <c r="A45"/>
      <c r="B45"/>
      <c r="C45"/>
      <c r="D45"/>
      <c r="E45"/>
      <c r="F45"/>
      <c r="G45"/>
      <c r="H45"/>
      <c r="I45"/>
      <c r="J45"/>
      <c r="K45"/>
      <c r="L45"/>
    </row>
    <row r="46" spans="1:12" ht="15.75" customHeight="1">
      <c r="A46"/>
      <c r="B46"/>
      <c r="C46"/>
      <c r="D46"/>
      <c r="E46"/>
      <c r="F46"/>
      <c r="G46"/>
      <c r="H46"/>
      <c r="I46"/>
      <c r="J46"/>
      <c r="K46"/>
      <c r="L46"/>
    </row>
    <row r="47" spans="1:12" ht="15.75" customHeight="1">
      <c r="A47"/>
      <c r="B47"/>
      <c r="C47"/>
      <c r="D47"/>
      <c r="E47"/>
      <c r="F47"/>
      <c r="G47"/>
      <c r="H47"/>
      <c r="I47"/>
      <c r="J47"/>
      <c r="K47"/>
      <c r="L47"/>
    </row>
    <row r="48" spans="1:12" ht="15.75" customHeight="1">
      <c r="A48"/>
      <c r="B48"/>
      <c r="C48"/>
      <c r="D48"/>
      <c r="E48"/>
      <c r="F48"/>
      <c r="G48"/>
      <c r="H48"/>
      <c r="I48"/>
      <c r="J48"/>
      <c r="K48"/>
      <c r="L48"/>
    </row>
    <row r="49" spans="1:12" ht="15.75" customHeight="1">
      <c r="A49"/>
      <c r="B49"/>
      <c r="C49"/>
      <c r="D49"/>
      <c r="E49"/>
      <c r="F49"/>
      <c r="G49"/>
      <c r="H49"/>
      <c r="I49"/>
      <c r="J49"/>
      <c r="K49"/>
      <c r="L49"/>
    </row>
    <row r="50" spans="1:12" ht="15.75" customHeight="1">
      <c r="A50"/>
      <c r="B50"/>
      <c r="C50"/>
      <c r="D50"/>
      <c r="E50"/>
      <c r="F50"/>
      <c r="G50"/>
      <c r="H50"/>
      <c r="I50"/>
      <c r="J50"/>
      <c r="K50"/>
      <c r="L50"/>
    </row>
    <row r="51" spans="1:12" ht="15.75" customHeight="1">
      <c r="A51"/>
      <c r="B51"/>
      <c r="C51"/>
      <c r="D51"/>
      <c r="E51"/>
      <c r="F51"/>
      <c r="G51"/>
      <c r="H51"/>
      <c r="I51"/>
      <c r="J51"/>
      <c r="K51"/>
      <c r="L51"/>
    </row>
    <row r="52" spans="1:12" ht="15.75" customHeight="1">
      <c r="A52"/>
      <c r="B52"/>
      <c r="C52"/>
      <c r="D52"/>
      <c r="E52"/>
      <c r="F52"/>
      <c r="G52"/>
      <c r="H52"/>
      <c r="I52"/>
      <c r="J52"/>
      <c r="K52"/>
      <c r="L52"/>
    </row>
    <row r="53" spans="1:12" ht="15.75" customHeight="1">
      <c r="A53"/>
      <c r="B53"/>
      <c r="C53"/>
      <c r="D53"/>
      <c r="E53"/>
      <c r="F53"/>
      <c r="G53"/>
      <c r="H53"/>
      <c r="I53"/>
      <c r="J53"/>
      <c r="K53"/>
      <c r="L53"/>
    </row>
    <row r="54" spans="1:12" ht="15.75" customHeight="1">
      <c r="A54"/>
      <c r="B54"/>
      <c r="C54"/>
      <c r="D54"/>
      <c r="E54"/>
      <c r="F54"/>
      <c r="G54"/>
      <c r="H54"/>
      <c r="I54"/>
      <c r="J54"/>
      <c r="K54"/>
      <c r="L54"/>
    </row>
    <row r="55" spans="1:12" ht="15.75" customHeight="1">
      <c r="A55"/>
      <c r="B55"/>
      <c r="C55"/>
      <c r="D55"/>
      <c r="E55"/>
      <c r="F55"/>
      <c r="G55"/>
      <c r="H55"/>
      <c r="I55"/>
      <c r="J55"/>
      <c r="K55"/>
      <c r="L55"/>
    </row>
    <row r="56" spans="1:12" ht="15.75" customHeight="1">
      <c r="A56"/>
      <c r="B56"/>
      <c r="C56"/>
      <c r="D56"/>
      <c r="E56"/>
      <c r="F56"/>
      <c r="G56"/>
      <c r="H56"/>
      <c r="I56"/>
      <c r="J56"/>
      <c r="K56"/>
      <c r="L56"/>
    </row>
    <row r="57" spans="1:12" ht="15.75" customHeight="1">
      <c r="A57"/>
      <c r="B57"/>
      <c r="C57"/>
      <c r="D57"/>
      <c r="E57"/>
      <c r="F57"/>
      <c r="G57"/>
      <c r="H57"/>
      <c r="I57"/>
      <c r="J57"/>
      <c r="K57"/>
      <c r="L57"/>
    </row>
    <row r="58" spans="1:12" ht="15.75" customHeight="1">
      <c r="A58"/>
      <c r="B58"/>
      <c r="C58"/>
      <c r="D58"/>
      <c r="E58"/>
      <c r="F58"/>
      <c r="G58"/>
      <c r="H58"/>
      <c r="I58"/>
      <c r="J58"/>
      <c r="K58"/>
      <c r="L58"/>
    </row>
    <row r="59" spans="1:12" ht="15.75" customHeight="1">
      <c r="A59"/>
      <c r="B59"/>
      <c r="C59"/>
      <c r="D59"/>
      <c r="E59"/>
      <c r="F59"/>
      <c r="G59"/>
      <c r="H59"/>
      <c r="I59"/>
      <c r="J59"/>
      <c r="K59"/>
      <c r="L59"/>
    </row>
    <row r="60" spans="1:12" ht="15.75" customHeight="1">
      <c r="A60"/>
      <c r="B60"/>
      <c r="C60"/>
      <c r="D60"/>
      <c r="E60"/>
      <c r="F60"/>
      <c r="G60"/>
      <c r="H60"/>
      <c r="I60"/>
      <c r="J60"/>
      <c r="K60"/>
      <c r="L60"/>
    </row>
    <row r="61" spans="1:12" ht="15.75" customHeight="1">
      <c r="A61"/>
      <c r="B61"/>
      <c r="C61"/>
      <c r="D61"/>
      <c r="E61"/>
      <c r="F61"/>
      <c r="G61"/>
      <c r="H61"/>
      <c r="I61"/>
      <c r="J61"/>
      <c r="K61"/>
      <c r="L61"/>
    </row>
    <row r="62" spans="1:12" ht="15.75" customHeight="1">
      <c r="A62"/>
      <c r="B62"/>
      <c r="C62"/>
      <c r="D62"/>
      <c r="E62"/>
      <c r="F62"/>
      <c r="G62"/>
      <c r="H62"/>
      <c r="I62"/>
      <c r="J62"/>
      <c r="K62"/>
      <c r="L62"/>
    </row>
    <row r="63" spans="1:12" ht="15.75" customHeight="1">
      <c r="A63"/>
      <c r="B63"/>
      <c r="C63"/>
      <c r="D63"/>
      <c r="E63"/>
      <c r="F63"/>
      <c r="G63"/>
      <c r="H63"/>
      <c r="I63"/>
      <c r="J63"/>
      <c r="K63"/>
      <c r="L63"/>
    </row>
    <row r="64" spans="1:12" ht="15.75" customHeight="1">
      <c r="A64"/>
      <c r="B64"/>
      <c r="C64"/>
      <c r="D64"/>
      <c r="E64"/>
      <c r="F64"/>
      <c r="G64"/>
      <c r="H64"/>
      <c r="I64"/>
      <c r="J64"/>
      <c r="K64"/>
      <c r="L64"/>
    </row>
    <row r="65" spans="1:12" ht="15.75" customHeight="1">
      <c r="A65"/>
      <c r="B65"/>
      <c r="C65"/>
      <c r="D65"/>
      <c r="E65"/>
      <c r="F65"/>
      <c r="G65"/>
      <c r="H65"/>
      <c r="I65"/>
      <c r="J65"/>
      <c r="K65"/>
      <c r="L65"/>
    </row>
    <row r="66" spans="1:12" ht="15.75" customHeight="1">
      <c r="A66"/>
      <c r="B66"/>
      <c r="C66"/>
      <c r="D66"/>
      <c r="E66"/>
      <c r="F66"/>
      <c r="G66"/>
      <c r="H66"/>
      <c r="I66"/>
      <c r="J66"/>
      <c r="K66"/>
      <c r="L66"/>
    </row>
    <row r="67" spans="1:12" ht="15.75" customHeight="1">
      <c r="A67"/>
      <c r="B67"/>
      <c r="C67"/>
      <c r="D67"/>
      <c r="E67"/>
      <c r="F67"/>
      <c r="G67"/>
      <c r="H67"/>
      <c r="I67"/>
      <c r="J67"/>
      <c r="K67"/>
      <c r="L67"/>
    </row>
    <row r="68" spans="1:12" ht="15.75" customHeight="1">
      <c r="A68"/>
      <c r="B68"/>
      <c r="C68"/>
      <c r="D68"/>
      <c r="E68"/>
      <c r="F68"/>
      <c r="G68"/>
      <c r="H68"/>
      <c r="I68"/>
      <c r="J68"/>
      <c r="K68"/>
      <c r="L68"/>
    </row>
    <row r="69" spans="1:12" ht="15.75" customHeight="1">
      <c r="A69"/>
      <c r="B69"/>
      <c r="C69"/>
      <c r="D69"/>
      <c r="E69"/>
      <c r="F69"/>
      <c r="G69"/>
      <c r="H69"/>
      <c r="I69"/>
      <c r="J69"/>
      <c r="K69"/>
      <c r="L69"/>
    </row>
    <row r="70" spans="1:12" ht="15.75" customHeight="1">
      <c r="A70"/>
      <c r="B70"/>
      <c r="C70"/>
      <c r="D70"/>
      <c r="E70"/>
      <c r="F70"/>
      <c r="G70"/>
      <c r="H70"/>
      <c r="I70"/>
      <c r="J70"/>
      <c r="K70"/>
      <c r="L70"/>
    </row>
    <row r="71" spans="1:12" ht="15.75" customHeight="1">
      <c r="A71"/>
      <c r="B71"/>
      <c r="C71"/>
      <c r="D71"/>
      <c r="E71"/>
      <c r="F71"/>
      <c r="G71"/>
      <c r="H71"/>
      <c r="I71"/>
      <c r="J71"/>
      <c r="K71"/>
      <c r="L71"/>
    </row>
    <row r="72" spans="1:12" ht="15.75" customHeight="1">
      <c r="A72"/>
      <c r="B72"/>
      <c r="C72"/>
      <c r="D72"/>
      <c r="E72"/>
      <c r="F72"/>
      <c r="G72"/>
      <c r="H72"/>
      <c r="I72"/>
      <c r="J72"/>
      <c r="K72"/>
      <c r="L72"/>
    </row>
    <row r="73" spans="1:12" ht="15.75" customHeight="1">
      <c r="A73"/>
      <c r="B73"/>
      <c r="C73"/>
      <c r="D73"/>
      <c r="E73"/>
      <c r="F73"/>
      <c r="G73"/>
      <c r="H73"/>
      <c r="I73"/>
      <c r="J73"/>
      <c r="K73"/>
      <c r="L73"/>
    </row>
    <row r="74" spans="1:12" ht="15.75" customHeight="1">
      <c r="A74"/>
      <c r="B74"/>
      <c r="C74"/>
      <c r="D74"/>
      <c r="E74"/>
      <c r="F74"/>
      <c r="G74"/>
      <c r="H74"/>
      <c r="I74"/>
      <c r="J74"/>
      <c r="K74"/>
      <c r="L74"/>
    </row>
    <row r="75" spans="1:12" ht="15.75" customHeight="1">
      <c r="A75"/>
      <c r="B75"/>
      <c r="C75"/>
      <c r="D75"/>
      <c r="E75"/>
      <c r="F75"/>
      <c r="G75"/>
      <c r="H75"/>
      <c r="I75"/>
      <c r="J75"/>
      <c r="K75"/>
      <c r="L75"/>
    </row>
    <row r="76" spans="1:12" ht="15.75" customHeight="1">
      <c r="A76"/>
      <c r="B76"/>
      <c r="C76"/>
      <c r="D76"/>
      <c r="E76"/>
      <c r="F76"/>
      <c r="G76"/>
      <c r="H76"/>
      <c r="I76"/>
      <c r="J76"/>
      <c r="K76"/>
      <c r="L76"/>
    </row>
    <row r="77" spans="1:12" ht="15.75" customHeight="1">
      <c r="A77"/>
      <c r="B77"/>
      <c r="C77"/>
      <c r="D77"/>
      <c r="E77"/>
      <c r="F77"/>
      <c r="G77"/>
      <c r="H77"/>
      <c r="I77"/>
      <c r="J77"/>
      <c r="K77"/>
      <c r="L77"/>
    </row>
    <row r="78" spans="1:12" ht="15.75" customHeight="1">
      <c r="A78"/>
      <c r="B78"/>
      <c r="C78"/>
      <c r="D78"/>
      <c r="E78"/>
      <c r="F78"/>
      <c r="G78"/>
      <c r="H78"/>
      <c r="I78"/>
      <c r="J78"/>
      <c r="K78"/>
      <c r="L78"/>
    </row>
    <row r="79" spans="1:12" ht="15.75" customHeight="1">
      <c r="A79"/>
      <c r="B79"/>
      <c r="C79"/>
      <c r="D79"/>
      <c r="E79"/>
      <c r="F79"/>
      <c r="G79"/>
      <c r="H79"/>
      <c r="I79"/>
      <c r="J79"/>
      <c r="K79"/>
      <c r="L79"/>
    </row>
    <row r="80" spans="1:12" ht="15.75" customHeight="1">
      <c r="A80"/>
      <c r="B80"/>
      <c r="C80"/>
      <c r="D80"/>
      <c r="E80"/>
      <c r="F80"/>
      <c r="G80"/>
      <c r="H80"/>
      <c r="I80"/>
      <c r="J80"/>
      <c r="K80"/>
      <c r="L80"/>
    </row>
    <row r="81" spans="1:12" ht="15.75" customHeight="1">
      <c r="A81"/>
      <c r="B81"/>
      <c r="C81"/>
      <c r="D81"/>
      <c r="E81"/>
      <c r="F81"/>
      <c r="G81"/>
      <c r="H81"/>
      <c r="I81"/>
      <c r="J81"/>
      <c r="K81"/>
      <c r="L81"/>
    </row>
    <row r="82" spans="1:12" ht="15.75" customHeight="1">
      <c r="A82"/>
      <c r="B82"/>
      <c r="C82"/>
      <c r="D82"/>
      <c r="E82"/>
      <c r="F82"/>
      <c r="G82"/>
      <c r="H82"/>
      <c r="I82"/>
      <c r="J82"/>
      <c r="K82"/>
      <c r="L82"/>
    </row>
    <row r="83" spans="1:12" ht="15.75" customHeight="1">
      <c r="A83"/>
      <c r="B83"/>
      <c r="C83"/>
      <c r="D83"/>
      <c r="E83"/>
      <c r="F83"/>
      <c r="G83"/>
      <c r="H83"/>
      <c r="I83"/>
      <c r="J83"/>
      <c r="K83"/>
      <c r="L83"/>
    </row>
    <row r="84" spans="1:12" ht="15.75" customHeight="1">
      <c r="A84"/>
      <c r="B84"/>
      <c r="C84"/>
      <c r="D84"/>
      <c r="E84"/>
      <c r="F84"/>
      <c r="G84"/>
      <c r="H84"/>
      <c r="I84"/>
      <c r="J84"/>
      <c r="K84"/>
      <c r="L84"/>
    </row>
    <row r="85" spans="1:12" ht="15.75" customHeight="1">
      <c r="A85"/>
      <c r="B85"/>
      <c r="C85"/>
      <c r="D85"/>
      <c r="E85"/>
      <c r="F85"/>
      <c r="G85"/>
      <c r="H85"/>
      <c r="I85"/>
      <c r="J85"/>
      <c r="K85"/>
      <c r="L85"/>
    </row>
    <row r="86" spans="1:12" ht="15.75" customHeight="1">
      <c r="A86"/>
      <c r="B86"/>
      <c r="C86"/>
      <c r="D86"/>
      <c r="E86"/>
      <c r="F86"/>
      <c r="G86"/>
      <c r="H86"/>
      <c r="I86"/>
      <c r="J86"/>
      <c r="K86"/>
      <c r="L86"/>
    </row>
    <row r="87" spans="1:12" ht="15.75" customHeight="1">
      <c r="A87"/>
      <c r="B87"/>
      <c r="C87"/>
      <c r="D87"/>
      <c r="E87"/>
      <c r="F87"/>
      <c r="G87"/>
      <c r="H87"/>
      <c r="I87"/>
      <c r="J87"/>
      <c r="K87"/>
      <c r="L87"/>
    </row>
    <row r="88" spans="1:12" ht="15.75" customHeight="1">
      <c r="A88"/>
      <c r="B88"/>
      <c r="C88"/>
      <c r="D88"/>
      <c r="E88"/>
      <c r="F88"/>
      <c r="G88"/>
      <c r="H88"/>
      <c r="I88"/>
      <c r="J88"/>
      <c r="K88"/>
      <c r="L88"/>
    </row>
    <row r="89" spans="1:12" ht="15.75" customHeight="1">
      <c r="A89"/>
      <c r="B89"/>
      <c r="C89"/>
      <c r="D89"/>
      <c r="E89"/>
      <c r="F89"/>
      <c r="G89"/>
      <c r="H89"/>
      <c r="I89"/>
      <c r="J89"/>
      <c r="K89"/>
      <c r="L89"/>
    </row>
    <row r="90" spans="1:12" ht="15.75" customHeight="1">
      <c r="A90"/>
      <c r="B90"/>
      <c r="C90"/>
      <c r="D90"/>
      <c r="E90"/>
      <c r="F90"/>
      <c r="G90"/>
      <c r="H90"/>
      <c r="I90"/>
      <c r="J90"/>
      <c r="K90"/>
      <c r="L90"/>
    </row>
    <row r="91" spans="1:12" ht="15.75" customHeight="1">
      <c r="A91"/>
      <c r="B91"/>
      <c r="C91"/>
      <c r="D91"/>
      <c r="E91"/>
      <c r="F91"/>
      <c r="G91"/>
      <c r="H91"/>
      <c r="I91"/>
      <c r="J91"/>
      <c r="K91"/>
      <c r="L91"/>
    </row>
    <row r="92" spans="1:12" ht="15.75" customHeight="1">
      <c r="A92"/>
      <c r="B92"/>
      <c r="C92"/>
      <c r="D92"/>
      <c r="E92"/>
      <c r="F92"/>
      <c r="G92"/>
      <c r="H92"/>
      <c r="I92"/>
      <c r="J92"/>
      <c r="K92"/>
      <c r="L92"/>
    </row>
    <row r="93" spans="4:8" ht="15.75" customHeight="1">
      <c r="D93" s="6"/>
      <c r="F93" s="11"/>
      <c r="H93" s="12"/>
    </row>
    <row r="94" spans="1:4" ht="15.75" customHeight="1">
      <c r="A94" s="4"/>
      <c r="D94" s="8"/>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3.xml><?xml version="1.0" encoding="utf-8"?>
<worksheet xmlns="http://schemas.openxmlformats.org/spreadsheetml/2006/main" xmlns:r="http://schemas.openxmlformats.org/officeDocument/2006/relationships">
  <sheetPr codeName="Sheet31" transitionEvaluation="1"/>
  <dimension ref="A1:S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InputC!$A$1</f>
        <v>Group Name:</v>
      </c>
      <c r="B1" s="137" t="str">
        <f>InputC!$C$1</f>
        <v>enter group name here</v>
      </c>
      <c r="C1" s="136"/>
      <c r="D1"/>
      <c r="E1"/>
      <c r="F1"/>
      <c r="G1"/>
      <c r="H1"/>
      <c r="I1"/>
      <c r="J1"/>
      <c r="L1" s="139" t="s">
        <v>393</v>
      </c>
    </row>
    <row r="2" spans="1:12" ht="15.75" customHeight="1">
      <c r="A2" s="140" t="str">
        <f>InputC!$A$2</f>
        <v>Group NAIC #:</v>
      </c>
      <c r="B2" s="137" t="str">
        <f>InputC!$C$2</f>
        <v>enter group # here</v>
      </c>
      <c r="C2" s="136"/>
      <c r="D2"/>
      <c r="E2"/>
      <c r="F2"/>
      <c r="G2"/>
      <c r="H2"/>
      <c r="I2"/>
      <c r="J2"/>
      <c r="L2" s="139" t="s">
        <v>364</v>
      </c>
    </row>
    <row r="3" spans="1:11" ht="15.75" customHeight="1">
      <c r="A3" s="136" t="str">
        <f>InputC!$A$3</f>
        <v>Year Filed:</v>
      </c>
      <c r="B3" s="141">
        <f>InputC!$C$3</f>
        <v>2024</v>
      </c>
      <c r="C3" s="136"/>
      <c r="D3"/>
      <c r="E3"/>
      <c r="F3"/>
      <c r="G3"/>
      <c r="H3"/>
      <c r="I3"/>
      <c r="J3"/>
      <c r="K3" s="136"/>
    </row>
    <row r="4" ht="15.75" customHeight="1" thickBot="1"/>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2015</v>
      </c>
      <c r="C8" s="177">
        <f t="shared" si="0"/>
        <v>2016</v>
      </c>
      <c r="D8" s="177">
        <f t="shared" si="0"/>
        <v>2017</v>
      </c>
      <c r="E8" s="177">
        <f t="shared" si="0"/>
        <v>2018</v>
      </c>
      <c r="F8" s="177">
        <f t="shared" si="0"/>
        <v>2019</v>
      </c>
      <c r="G8" s="177">
        <f t="shared" si="0"/>
        <v>2020</v>
      </c>
      <c r="H8" s="177">
        <f t="shared" si="0"/>
        <v>2021</v>
      </c>
      <c r="I8" s="177">
        <f t="shared" si="0"/>
        <v>2022</v>
      </c>
      <c r="J8" s="178">
        <f>ReportYear-1</f>
        <v>2023</v>
      </c>
      <c r="K8" s="179"/>
      <c r="L8" s="104"/>
    </row>
    <row r="9" spans="1:12" ht="15.75" customHeight="1">
      <c r="A9" s="172" t="s">
        <v>34</v>
      </c>
      <c r="B9" s="41">
        <f>InputC!E46</f>
        <v>0</v>
      </c>
      <c r="C9" s="41">
        <f>InputC!F46</f>
        <v>0</v>
      </c>
      <c r="D9" s="35">
        <f>InputC!G46</f>
        <v>0</v>
      </c>
      <c r="E9" s="35">
        <f>InputC!H46</f>
        <v>0</v>
      </c>
      <c r="F9" s="35">
        <f>InputC!I46</f>
        <v>0</v>
      </c>
      <c r="G9" s="35">
        <f>InputC!J46</f>
        <v>0</v>
      </c>
      <c r="H9" s="35">
        <f>InputC!K46</f>
        <v>0</v>
      </c>
      <c r="I9" s="35">
        <f>InputC!L46</f>
        <v>0</v>
      </c>
      <c r="J9" s="80">
        <f>InputC!M46</f>
        <v>0</v>
      </c>
      <c r="K9" s="41"/>
      <c r="L9" s="104"/>
    </row>
    <row r="10" spans="1:12" ht="15.75" customHeight="1">
      <c r="A10" s="176" t="s">
        <v>35</v>
      </c>
      <c r="B10" s="41">
        <f>InputC!E47</f>
        <v>0</v>
      </c>
      <c r="C10" s="35">
        <f>InputC!F47</f>
        <v>0</v>
      </c>
      <c r="D10" s="35">
        <f>InputC!G47</f>
        <v>0</v>
      </c>
      <c r="E10" s="35">
        <f>InputC!H47</f>
        <v>0</v>
      </c>
      <c r="F10" s="35">
        <f>InputC!I47</f>
        <v>0</v>
      </c>
      <c r="G10" s="35">
        <f>InputC!J47</f>
        <v>0</v>
      </c>
      <c r="H10" s="35">
        <f>InputC!K47</f>
        <v>0</v>
      </c>
      <c r="I10" s="35">
        <f>InputC!L47</f>
        <v>0</v>
      </c>
      <c r="J10" s="93"/>
      <c r="K10" s="35"/>
      <c r="L10" s="104"/>
    </row>
    <row r="11" spans="1:12" ht="15.75" customHeight="1">
      <c r="A11" s="176" t="s">
        <v>36</v>
      </c>
      <c r="B11" s="35">
        <f>InputC!E48</f>
        <v>0</v>
      </c>
      <c r="C11" s="35">
        <f>InputC!F48</f>
        <v>0</v>
      </c>
      <c r="D11" s="35">
        <f>InputC!G48</f>
        <v>0</v>
      </c>
      <c r="E11" s="35">
        <f>InputC!H48</f>
        <v>0</v>
      </c>
      <c r="F11" s="35">
        <f>InputC!I48</f>
        <v>0</v>
      </c>
      <c r="G11" s="35">
        <f>InputC!J48</f>
        <v>0</v>
      </c>
      <c r="H11" s="35">
        <f>InputC!K48</f>
        <v>0</v>
      </c>
      <c r="I11" s="35"/>
      <c r="J11" s="93"/>
      <c r="K11" s="35"/>
      <c r="L11" s="104"/>
    </row>
    <row r="12" spans="1:15" ht="15.75" customHeight="1">
      <c r="A12" s="176" t="s">
        <v>37</v>
      </c>
      <c r="B12" s="35">
        <f>InputC!E49</f>
        <v>0</v>
      </c>
      <c r="C12" s="35">
        <f>InputC!F49</f>
        <v>0</v>
      </c>
      <c r="D12" s="35">
        <f>InputC!G49</f>
        <v>0</v>
      </c>
      <c r="E12" s="35">
        <f>InputC!H49</f>
        <v>0</v>
      </c>
      <c r="F12" s="35">
        <f>InputC!I49</f>
        <v>0</v>
      </c>
      <c r="G12" s="35">
        <f>InputC!J49</f>
        <v>0</v>
      </c>
      <c r="H12" s="35"/>
      <c r="I12" s="35"/>
      <c r="J12" s="93"/>
      <c r="K12" s="35"/>
      <c r="L12" s="104"/>
      <c r="N12" s="35"/>
      <c r="O12" s="104"/>
    </row>
    <row r="13" spans="1:14" ht="15.75" customHeight="1">
      <c r="A13" s="426"/>
      <c r="B13" s="427"/>
      <c r="C13" s="427"/>
      <c r="D13" s="427"/>
      <c r="E13" s="427"/>
      <c r="F13" s="427"/>
      <c r="G13" s="427"/>
      <c r="H13" s="427"/>
      <c r="I13" s="427"/>
      <c r="J13" s="428"/>
      <c r="K13" s="35"/>
      <c r="L13" s="104"/>
      <c r="M13" s="104"/>
      <c r="N13" s="104"/>
    </row>
    <row r="14" spans="1:14" ht="15.75" customHeight="1">
      <c r="A14" s="176"/>
      <c r="B14" s="35"/>
      <c r="C14" s="35"/>
      <c r="D14" s="35"/>
      <c r="E14" s="35"/>
      <c r="F14" s="35"/>
      <c r="G14" s="35"/>
      <c r="H14" s="35"/>
      <c r="I14" s="35"/>
      <c r="J14" s="93"/>
      <c r="K14" s="35"/>
      <c r="L14" s="104"/>
      <c r="M14" s="104"/>
      <c r="N14" s="104"/>
    </row>
    <row r="15" spans="1:14" ht="15.75" customHeight="1" thickBot="1">
      <c r="A15" s="181"/>
      <c r="B15" s="36"/>
      <c r="C15" s="36"/>
      <c r="D15" s="36"/>
      <c r="E15" s="185"/>
      <c r="F15" s="36"/>
      <c r="G15" s="36"/>
      <c r="H15" s="36"/>
      <c r="I15" s="36"/>
      <c r="J15" s="96"/>
      <c r="K15" s="35"/>
      <c r="L15" s="104"/>
      <c r="M15" s="104"/>
      <c r="N15" s="104"/>
    </row>
    <row r="16" spans="1:14" ht="15.75" customHeight="1">
      <c r="A16" s="182"/>
      <c r="B16" s="35"/>
      <c r="C16" s="35"/>
      <c r="D16" s="35"/>
      <c r="E16" s="183"/>
      <c r="F16" s="35"/>
      <c r="G16" s="35"/>
      <c r="H16" s="35"/>
      <c r="I16" s="35"/>
      <c r="J16" s="35"/>
      <c r="K16" s="35"/>
      <c r="L16" s="104"/>
      <c r="M16" s="104"/>
      <c r="N16" s="104"/>
    </row>
    <row r="17" spans="1:14" ht="15.75" customHeight="1" thickBot="1">
      <c r="A17" s="104"/>
      <c r="B17" s="104"/>
      <c r="C17" s="104"/>
      <c r="D17" s="104"/>
      <c r="E17" s="104"/>
      <c r="F17" s="104"/>
      <c r="G17" s="104"/>
      <c r="H17" s="104"/>
      <c r="I17" s="104"/>
      <c r="J17" s="104"/>
      <c r="K17" s="104"/>
      <c r="L17" s="104"/>
      <c r="M17" s="104"/>
      <c r="N17" s="104"/>
    </row>
    <row r="18" spans="1:12" ht="15.75" customHeight="1">
      <c r="A18" s="167" t="s">
        <v>53</v>
      </c>
      <c r="B18" s="401"/>
      <c r="C18" s="168"/>
      <c r="D18" s="168"/>
      <c r="E18" s="168"/>
      <c r="F18" s="168"/>
      <c r="G18" s="168"/>
      <c r="H18" s="168"/>
      <c r="I18" s="168"/>
      <c r="J18" s="148" t="s">
        <v>140</v>
      </c>
      <c r="K18" s="148" t="s">
        <v>59</v>
      </c>
      <c r="L18" s="149" t="s">
        <v>141</v>
      </c>
    </row>
    <row r="19" spans="1:12" ht="15.75" customHeight="1">
      <c r="A19" s="187" t="s">
        <v>19</v>
      </c>
      <c r="B19" s="174" t="str">
        <f>B7</f>
        <v>Accident Year</v>
      </c>
      <c r="C19" s="174"/>
      <c r="D19" s="174"/>
      <c r="E19" s="174"/>
      <c r="F19" s="174"/>
      <c r="G19" s="174"/>
      <c r="H19" s="174"/>
      <c r="I19" s="174"/>
      <c r="J19" s="150" t="s">
        <v>98</v>
      </c>
      <c r="K19" s="151" t="str">
        <f>A19</f>
        <v>Development </v>
      </c>
      <c r="L19" s="188" t="s">
        <v>99</v>
      </c>
    </row>
    <row r="20" spans="1:12" ht="15.75" customHeight="1">
      <c r="A20" s="144" t="s">
        <v>20</v>
      </c>
      <c r="B20" s="177">
        <f>B8</f>
        <v>2015</v>
      </c>
      <c r="C20" s="177">
        <f aca="true" t="shared" si="1" ref="C20:I20">C8</f>
        <v>2016</v>
      </c>
      <c r="D20" s="177">
        <f t="shared" si="1"/>
        <v>2017</v>
      </c>
      <c r="E20" s="177">
        <f t="shared" si="1"/>
        <v>2018</v>
      </c>
      <c r="F20" s="177">
        <f t="shared" si="1"/>
        <v>2019</v>
      </c>
      <c r="G20" s="177">
        <f t="shared" si="1"/>
        <v>2020</v>
      </c>
      <c r="H20" s="177">
        <f t="shared" si="1"/>
        <v>2021</v>
      </c>
      <c r="I20" s="177">
        <f t="shared" si="1"/>
        <v>2022</v>
      </c>
      <c r="J20" s="189" t="s">
        <v>22</v>
      </c>
      <c r="K20" s="152" t="str">
        <f>A20</f>
        <v>Factors</v>
      </c>
      <c r="L20" s="153" t="str">
        <f>J20</f>
        <v>LDF</v>
      </c>
    </row>
    <row r="21" spans="1:12" ht="15.75" customHeight="1">
      <c r="A21" s="176" t="s">
        <v>41</v>
      </c>
      <c r="B21" s="195" t="str">
        <f aca="true" t="shared" si="2" ref="B21:I21">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IF(COUNT(B21:I21)=0,1,IF(COUNT(B21:I21)&lt;=4,AVERAGE(B21:I21),(SUM(B21:I21)-MAX(B21:I21)-MIN(B21:I21))/(COUNT(B21:I21)-2)))</f>
        <v>1</v>
      </c>
      <c r="K21" s="402" t="s">
        <v>168</v>
      </c>
      <c r="L21" s="81">
        <f>L22*J21</f>
        <v>1</v>
      </c>
    </row>
    <row r="22" spans="1:12" ht="15.75" customHeight="1">
      <c r="A22" s="176" t="s">
        <v>42</v>
      </c>
      <c r="B22" s="195" t="str">
        <f aca="true" t="shared" si="3" ref="B22:H22">IF(B10&gt;0,B11/B10,"-----")</f>
        <v>-----</v>
      </c>
      <c r="C22" s="195" t="str">
        <f t="shared" si="3"/>
        <v>-----</v>
      </c>
      <c r="D22" s="195" t="str">
        <f t="shared" si="3"/>
        <v>-----</v>
      </c>
      <c r="E22" s="195" t="str">
        <f t="shared" si="3"/>
        <v>-----</v>
      </c>
      <c r="F22" s="195" t="str">
        <f t="shared" si="3"/>
        <v>-----</v>
      </c>
      <c r="G22" s="195" t="str">
        <f t="shared" si="3"/>
        <v>-----</v>
      </c>
      <c r="H22" s="195" t="str">
        <f t="shared" si="3"/>
        <v>-----</v>
      </c>
      <c r="I22" s="195"/>
      <c r="J22" s="468">
        <f>IF(COUNT(B22:I22)=0,1,IF(COUNT(B22:I22)&lt;=4,AVERAGE(B22:I22),(SUM(B22:I22)-MAX(B22:I22)-MIN(B22:I22))/(COUNT(B22:I22)-2)))</f>
        <v>1</v>
      </c>
      <c r="K22" s="402" t="s">
        <v>169</v>
      </c>
      <c r="L22" s="81">
        <f>L23*J22</f>
        <v>1</v>
      </c>
    </row>
    <row r="23" spans="1:12" ht="15.75" customHeight="1" thickBot="1">
      <c r="A23" s="181" t="s">
        <v>43</v>
      </c>
      <c r="B23" s="383" t="str">
        <f aca="true" t="shared" si="4" ref="B23:G23">IF(B11&gt;0,B12/B11,"-----")</f>
        <v>-----</v>
      </c>
      <c r="C23" s="383" t="str">
        <f t="shared" si="4"/>
        <v>-----</v>
      </c>
      <c r="D23" s="383" t="str">
        <f t="shared" si="4"/>
        <v>-----</v>
      </c>
      <c r="E23" s="383" t="str">
        <f t="shared" si="4"/>
        <v>-----</v>
      </c>
      <c r="F23" s="383" t="str">
        <f t="shared" si="4"/>
        <v>-----</v>
      </c>
      <c r="G23" s="383" t="str">
        <f t="shared" si="4"/>
        <v>-----</v>
      </c>
      <c r="H23" s="383"/>
      <c r="I23" s="383"/>
      <c r="J23" s="469">
        <f>IF(COUNT(B23:I23)=0,1,IF(COUNT(B23:I23)&lt;=4,AVERAGE(B23:I23),(SUM(B23:I23)-MAX(B23:I23)-MIN(B23:I23))/(COUNT(B23:I23)-2)))</f>
        <v>1</v>
      </c>
      <c r="K23" s="403" t="s">
        <v>172</v>
      </c>
      <c r="L23" s="83">
        <f>J23</f>
        <v>1</v>
      </c>
    </row>
    <row r="24" spans="2:13" ht="15.75" customHeight="1">
      <c r="B24" s="109"/>
      <c r="C24" s="86" t="s">
        <v>59</v>
      </c>
      <c r="D24" s="86"/>
      <c r="E24" s="86"/>
      <c r="F24" s="104"/>
      <c r="G24" s="104"/>
      <c r="H24" s="104"/>
      <c r="I24" s="104"/>
      <c r="J24" s="86"/>
      <c r="K24" s="86"/>
      <c r="L24" s="86"/>
      <c r="M24" s="86"/>
    </row>
    <row r="25" spans="2:13" ht="15.75" customHeight="1">
      <c r="B25" s="109"/>
      <c r="C25" s="86" t="s">
        <v>59</v>
      </c>
      <c r="D25" s="86"/>
      <c r="E25" s="104"/>
      <c r="F25" s="104"/>
      <c r="G25" s="104"/>
      <c r="H25" s="104"/>
      <c r="I25" s="104"/>
      <c r="J25" s="86"/>
      <c r="K25" s="86"/>
      <c r="L25" s="86"/>
      <c r="M25" s="86"/>
    </row>
    <row r="26" spans="2:13" ht="15.75" customHeight="1">
      <c r="B26" s="109"/>
      <c r="C26" s="86" t="s">
        <v>59</v>
      </c>
      <c r="D26" s="104"/>
      <c r="E26" s="104"/>
      <c r="F26" s="104"/>
      <c r="G26" s="104"/>
      <c r="H26" s="104"/>
      <c r="I26" s="104"/>
      <c r="J26" s="86"/>
      <c r="K26" s="86"/>
      <c r="L26" s="86"/>
      <c r="M26" s="86"/>
    </row>
    <row r="27" spans="2:13" ht="15.75" customHeight="1">
      <c r="B27" s="109"/>
      <c r="C27" s="104" t="s">
        <v>59</v>
      </c>
      <c r="D27" s="104"/>
      <c r="E27" s="104"/>
      <c r="F27" s="104"/>
      <c r="G27" s="104"/>
      <c r="H27" s="104"/>
      <c r="I27" s="104"/>
      <c r="J27" s="86"/>
      <c r="K27" s="86"/>
      <c r="L27" s="86"/>
      <c r="M27" s="86"/>
    </row>
    <row r="28" spans="2:13" ht="15.75" customHeight="1">
      <c r="B28" s="109"/>
      <c r="C28" s="104"/>
      <c r="D28" s="104"/>
      <c r="E28" s="104"/>
      <c r="F28" s="104"/>
      <c r="G28" s="104"/>
      <c r="H28" s="104"/>
      <c r="I28" s="104"/>
      <c r="J28" s="86"/>
      <c r="K28" s="86"/>
      <c r="L28" s="86"/>
      <c r="M28" s="86"/>
    </row>
    <row r="29" spans="1:12" ht="15.75" customHeight="1" thickBot="1">
      <c r="A29" s="104"/>
      <c r="B29" s="104"/>
      <c r="C29" s="104"/>
      <c r="D29" s="104"/>
      <c r="E29" s="104"/>
      <c r="F29" s="104"/>
      <c r="G29" s="104"/>
      <c r="H29" s="104"/>
      <c r="I29" s="86"/>
      <c r="J29" s="86"/>
      <c r="K29" s="86"/>
      <c r="L29" s="104"/>
    </row>
    <row r="30" spans="1:12" ht="15.75" customHeight="1">
      <c r="A30" s="156" t="s">
        <v>56</v>
      </c>
      <c r="B30" s="687" t="s">
        <v>118</v>
      </c>
      <c r="C30" s="687" t="s">
        <v>119</v>
      </c>
      <c r="D30" s="687" t="s">
        <v>120</v>
      </c>
      <c r="E30" s="687" t="s">
        <v>121</v>
      </c>
      <c r="F30" s="688" t="s">
        <v>122</v>
      </c>
      <c r="G30" s="504"/>
      <c r="H30" s="655" t="s">
        <v>57</v>
      </c>
      <c r="I30" s="656" t="s">
        <v>118</v>
      </c>
      <c r="J30" s="656" t="s">
        <v>119</v>
      </c>
      <c r="K30" s="656" t="s">
        <v>120</v>
      </c>
      <c r="L30" s="657" t="s">
        <v>121</v>
      </c>
    </row>
    <row r="31" spans="1:12" ht="15.75" customHeight="1">
      <c r="A31" s="544"/>
      <c r="B31" s="659" t="s">
        <v>101</v>
      </c>
      <c r="C31" s="659" t="s">
        <v>101</v>
      </c>
      <c r="D31" s="659" t="s">
        <v>101</v>
      </c>
      <c r="E31" s="659" t="s">
        <v>101</v>
      </c>
      <c r="F31" s="660" t="s">
        <v>316</v>
      </c>
      <c r="G31" s="504"/>
      <c r="H31" s="661" t="s">
        <v>59</v>
      </c>
      <c r="I31" s="659" t="s">
        <v>313</v>
      </c>
      <c r="J31" s="659" t="s">
        <v>314</v>
      </c>
      <c r="K31" s="662" t="s">
        <v>316</v>
      </c>
      <c r="L31" s="663" t="s">
        <v>312</v>
      </c>
    </row>
    <row r="32" spans="1:12" ht="15.75" customHeight="1">
      <c r="A32" s="158" t="s">
        <v>17</v>
      </c>
      <c r="B32" s="689" t="s">
        <v>317</v>
      </c>
      <c r="C32" s="689" t="s">
        <v>318</v>
      </c>
      <c r="D32" s="690" t="s">
        <v>319</v>
      </c>
      <c r="E32" s="689" t="s">
        <v>316</v>
      </c>
      <c r="F32" s="691" t="s">
        <v>320</v>
      </c>
      <c r="G32" s="504"/>
      <c r="H32" s="668" t="s">
        <v>33</v>
      </c>
      <c r="I32" s="669" t="str">
        <f>"@ 3/31/"&amp;TEXT(MOD(ReportYear,100),"00")</f>
        <v>@ 3/31/24</v>
      </c>
      <c r="J32" s="670" t="s">
        <v>315</v>
      </c>
      <c r="K32" s="671" t="s">
        <v>21</v>
      </c>
      <c r="L32" s="672" t="str">
        <f>I32</f>
        <v>@ 3/31/24</v>
      </c>
    </row>
    <row r="33" spans="1:12" ht="15.75" customHeight="1">
      <c r="A33" s="159">
        <f>$B$3-1</f>
        <v>2023</v>
      </c>
      <c r="B33" s="674">
        <f>InputC!$E$72</f>
        <v>0</v>
      </c>
      <c r="C33" s="674">
        <f>InputC!$E$73</f>
        <v>0</v>
      </c>
      <c r="D33" s="674">
        <f aca="true" t="shared" si="5" ref="D33:D41">B33+C33</f>
        <v>0</v>
      </c>
      <c r="E33" s="674">
        <f>InputC!$E$74</f>
        <v>0</v>
      </c>
      <c r="F33" s="675">
        <f aca="true" t="shared" si="6" ref="F33:F41">IF(D33=0,0,E33/D33)</f>
        <v>0</v>
      </c>
      <c r="G33" s="504"/>
      <c r="H33" s="676">
        <f>ReportYear-1</f>
        <v>2023</v>
      </c>
      <c r="I33" s="500">
        <f>J9</f>
        <v>0</v>
      </c>
      <c r="J33" s="468">
        <f>L21</f>
        <v>1</v>
      </c>
      <c r="K33" s="677">
        <f>MIN(MAX(AVERAGE(F33:F35)+1,1.05),1.3)</f>
        <v>1.05</v>
      </c>
      <c r="L33" s="616">
        <f>J33*I33*K33</f>
        <v>0</v>
      </c>
    </row>
    <row r="34" spans="1:12" ht="15.75" customHeight="1">
      <c r="A34" s="159">
        <f aca="true" t="shared" si="7" ref="A34:A41">A33-1</f>
        <v>2022</v>
      </c>
      <c r="B34" s="674">
        <f>InputC!$F$72</f>
        <v>0</v>
      </c>
      <c r="C34" s="674">
        <f>InputC!$F$73</f>
        <v>0</v>
      </c>
      <c r="D34" s="674">
        <f t="shared" si="5"/>
        <v>0</v>
      </c>
      <c r="E34" s="674">
        <f>InputC!$F$74</f>
        <v>0</v>
      </c>
      <c r="F34" s="675">
        <f t="shared" si="6"/>
        <v>0</v>
      </c>
      <c r="G34" s="504"/>
      <c r="H34" s="676">
        <f aca="true" t="shared" si="8" ref="H34:H39">H33-1</f>
        <v>2022</v>
      </c>
      <c r="I34" s="500">
        <f>I10</f>
        <v>0</v>
      </c>
      <c r="J34" s="468">
        <f>L22</f>
        <v>1</v>
      </c>
      <c r="K34" s="677">
        <f aca="true" t="shared" si="9" ref="K34:K39">MIN(MAX(AVERAGE(F34:F36)+1,1.05),1.3)</f>
        <v>1.05</v>
      </c>
      <c r="L34" s="616">
        <f aca="true" t="shared" si="10" ref="L34:L39">J34*I34*K34</f>
        <v>0</v>
      </c>
    </row>
    <row r="35" spans="1:12" ht="15.75" customHeight="1">
      <c r="A35" s="159">
        <f t="shared" si="7"/>
        <v>2021</v>
      </c>
      <c r="B35" s="674">
        <f>InputC!$G$72</f>
        <v>0</v>
      </c>
      <c r="C35" s="674">
        <f>InputC!$G$73</f>
        <v>0</v>
      </c>
      <c r="D35" s="674">
        <f t="shared" si="5"/>
        <v>0</v>
      </c>
      <c r="E35" s="674">
        <f>InputC!$G$74</f>
        <v>0</v>
      </c>
      <c r="F35" s="675">
        <f t="shared" si="6"/>
        <v>0</v>
      </c>
      <c r="G35" s="504"/>
      <c r="H35" s="676">
        <f t="shared" si="8"/>
        <v>2021</v>
      </c>
      <c r="I35" s="500">
        <f>H11</f>
        <v>0</v>
      </c>
      <c r="J35" s="468">
        <f>L23</f>
        <v>1</v>
      </c>
      <c r="K35" s="677">
        <f t="shared" si="9"/>
        <v>1.05</v>
      </c>
      <c r="L35" s="616">
        <f t="shared" si="10"/>
        <v>0</v>
      </c>
    </row>
    <row r="36" spans="1:12" ht="15.75" customHeight="1">
      <c r="A36" s="159">
        <f t="shared" si="7"/>
        <v>2020</v>
      </c>
      <c r="B36" s="674">
        <f>InputC!$H$72</f>
        <v>0</v>
      </c>
      <c r="C36" s="674">
        <f>InputC!$H$73</f>
        <v>0</v>
      </c>
      <c r="D36" s="674">
        <f t="shared" si="5"/>
        <v>0</v>
      </c>
      <c r="E36" s="674">
        <f>InputC!$H$74</f>
        <v>0</v>
      </c>
      <c r="F36" s="675">
        <f t="shared" si="6"/>
        <v>0</v>
      </c>
      <c r="G36" s="504"/>
      <c r="H36" s="676">
        <f t="shared" si="8"/>
        <v>2020</v>
      </c>
      <c r="I36" s="500">
        <f>G12</f>
        <v>0</v>
      </c>
      <c r="J36" s="468">
        <v>1</v>
      </c>
      <c r="K36" s="677">
        <f t="shared" si="9"/>
        <v>1.05</v>
      </c>
      <c r="L36" s="616">
        <f t="shared" si="10"/>
        <v>0</v>
      </c>
    </row>
    <row r="37" spans="1:12" ht="15.75" customHeight="1">
      <c r="A37" s="159">
        <f t="shared" si="7"/>
        <v>2019</v>
      </c>
      <c r="B37" s="674">
        <f>InputC!$I$72</f>
        <v>0</v>
      </c>
      <c r="C37" s="674">
        <f>InputC!$I$73</f>
        <v>0</v>
      </c>
      <c r="D37" s="674">
        <f t="shared" si="5"/>
        <v>0</v>
      </c>
      <c r="E37" s="674">
        <f>InputC!$I$74</f>
        <v>0</v>
      </c>
      <c r="F37" s="675">
        <f t="shared" si="6"/>
        <v>0</v>
      </c>
      <c r="G37" s="504"/>
      <c r="H37" s="676">
        <f t="shared" si="8"/>
        <v>2019</v>
      </c>
      <c r="I37" s="500">
        <f>F12</f>
        <v>0</v>
      </c>
      <c r="J37" s="468">
        <v>1</v>
      </c>
      <c r="K37" s="677">
        <f t="shared" si="9"/>
        <v>1.05</v>
      </c>
      <c r="L37" s="616">
        <f t="shared" si="10"/>
        <v>0</v>
      </c>
    </row>
    <row r="38" spans="1:12" ht="15.75" customHeight="1">
      <c r="A38" s="159">
        <f t="shared" si="7"/>
        <v>2018</v>
      </c>
      <c r="B38" s="674">
        <f>InputC!$J$72</f>
        <v>0</v>
      </c>
      <c r="C38" s="674">
        <f>InputC!$J$73</f>
        <v>0</v>
      </c>
      <c r="D38" s="674">
        <f t="shared" si="5"/>
        <v>0</v>
      </c>
      <c r="E38" s="674">
        <f>InputC!$J$74</f>
        <v>0</v>
      </c>
      <c r="F38" s="675">
        <f t="shared" si="6"/>
        <v>0</v>
      </c>
      <c r="G38" s="504"/>
      <c r="H38" s="676">
        <f t="shared" si="8"/>
        <v>2018</v>
      </c>
      <c r="I38" s="500">
        <f>E12</f>
        <v>0</v>
      </c>
      <c r="J38" s="468">
        <v>1</v>
      </c>
      <c r="K38" s="677">
        <f t="shared" si="9"/>
        <v>1.05</v>
      </c>
      <c r="L38" s="616">
        <f t="shared" si="10"/>
        <v>0</v>
      </c>
    </row>
    <row r="39" spans="1:12" ht="15.75" customHeight="1" thickBot="1">
      <c r="A39" s="159">
        <f t="shared" si="7"/>
        <v>2017</v>
      </c>
      <c r="B39" s="674">
        <f>InputC!$K$72</f>
        <v>0</v>
      </c>
      <c r="C39" s="674">
        <f>InputC!$K$73</f>
        <v>0</v>
      </c>
      <c r="D39" s="674">
        <f t="shared" si="5"/>
        <v>0</v>
      </c>
      <c r="E39" s="674">
        <f>InputC!$K$74</f>
        <v>0</v>
      </c>
      <c r="F39" s="675">
        <f t="shared" si="6"/>
        <v>0</v>
      </c>
      <c r="G39" s="504"/>
      <c r="H39" s="678">
        <f t="shared" si="8"/>
        <v>2017</v>
      </c>
      <c r="I39" s="679">
        <f>D12</f>
        <v>0</v>
      </c>
      <c r="J39" s="469">
        <v>1</v>
      </c>
      <c r="K39" s="680">
        <f t="shared" si="9"/>
        <v>1.05</v>
      </c>
      <c r="L39" s="681">
        <f t="shared" si="10"/>
        <v>0</v>
      </c>
    </row>
    <row r="40" spans="1:12" ht="15.75" customHeight="1">
      <c r="A40" s="159">
        <f t="shared" si="7"/>
        <v>2016</v>
      </c>
      <c r="B40" s="674">
        <f>InputC!$L$72</f>
        <v>0</v>
      </c>
      <c r="C40" s="674">
        <f>InputC!$L$73</f>
        <v>0</v>
      </c>
      <c r="D40" s="674">
        <f t="shared" si="5"/>
        <v>0</v>
      </c>
      <c r="E40" s="674">
        <f>InputC!$L$74</f>
        <v>0</v>
      </c>
      <c r="F40" s="675">
        <f t="shared" si="6"/>
        <v>0</v>
      </c>
      <c r="G40" s="504"/>
      <c r="H40" s="682"/>
      <c r="I40" s="500"/>
      <c r="J40" s="468"/>
      <c r="K40" s="683"/>
      <c r="L40" s="500"/>
    </row>
    <row r="41" spans="1:12" ht="15.75" customHeight="1" thickBot="1">
      <c r="A41" s="546">
        <f t="shared" si="7"/>
        <v>2015</v>
      </c>
      <c r="B41" s="685">
        <f>InputC!$M$72</f>
        <v>0</v>
      </c>
      <c r="C41" s="685">
        <f>InputC!$M$73</f>
        <v>0</v>
      </c>
      <c r="D41" s="685">
        <f t="shared" si="5"/>
        <v>0</v>
      </c>
      <c r="E41" s="685">
        <f>InputC!$M$74</f>
        <v>0</v>
      </c>
      <c r="F41" s="686">
        <f t="shared" si="6"/>
        <v>0</v>
      </c>
      <c r="G41" s="504"/>
      <c r="H41" s="682"/>
      <c r="I41" s="500"/>
      <c r="J41" s="468"/>
      <c r="K41" s="683"/>
      <c r="L41" s="500"/>
    </row>
    <row r="42" spans="1:17" ht="15.75" customHeight="1">
      <c r="A42"/>
      <c r="B42"/>
      <c r="C42"/>
      <c r="D42"/>
      <c r="E42"/>
      <c r="F42"/>
      <c r="G42"/>
      <c r="H42"/>
      <c r="I42"/>
      <c r="J42"/>
      <c r="K42"/>
      <c r="L42"/>
      <c r="M42"/>
      <c r="N42"/>
      <c r="O42"/>
      <c r="P42"/>
      <c r="Q42"/>
    </row>
    <row r="43" spans="1:17" ht="15.75" customHeight="1">
      <c r="A43"/>
      <c r="B43"/>
      <c r="C43"/>
      <c r="D43"/>
      <c r="E43"/>
      <c r="F43"/>
      <c r="G43"/>
      <c r="H43"/>
      <c r="I43"/>
      <c r="J43"/>
      <c r="K43"/>
      <c r="L43"/>
      <c r="M43"/>
      <c r="N43"/>
      <c r="O43"/>
      <c r="P43"/>
      <c r="Q43"/>
    </row>
    <row r="44" spans="1:17" ht="15.75" customHeight="1">
      <c r="A44"/>
      <c r="B44"/>
      <c r="C44"/>
      <c r="D44"/>
      <c r="E44"/>
      <c r="F44"/>
      <c r="G44"/>
      <c r="H44"/>
      <c r="I44"/>
      <c r="J44"/>
      <c r="K44"/>
      <c r="L44"/>
      <c r="M44"/>
      <c r="N44"/>
      <c r="O44"/>
      <c r="P44"/>
      <c r="Q44"/>
    </row>
    <row r="45" spans="1:17" ht="15.75" customHeight="1">
      <c r="A45"/>
      <c r="B45"/>
      <c r="C45"/>
      <c r="D45"/>
      <c r="E45"/>
      <c r="F45"/>
      <c r="G45"/>
      <c r="H45"/>
      <c r="I45"/>
      <c r="J45"/>
      <c r="K45"/>
      <c r="L45"/>
      <c r="M45"/>
      <c r="N45"/>
      <c r="O45"/>
      <c r="P45"/>
      <c r="Q45"/>
    </row>
    <row r="46" spans="1:17" ht="15.75" customHeight="1">
      <c r="A46"/>
      <c r="B46"/>
      <c r="C46"/>
      <c r="D46"/>
      <c r="E46"/>
      <c r="F46"/>
      <c r="G46"/>
      <c r="H46"/>
      <c r="I46"/>
      <c r="J46"/>
      <c r="K46"/>
      <c r="L46"/>
      <c r="M46"/>
      <c r="N46"/>
      <c r="O46"/>
      <c r="P46"/>
      <c r="Q46"/>
    </row>
    <row r="47" spans="1:17" ht="15.75" customHeight="1">
      <c r="A47"/>
      <c r="B47"/>
      <c r="C47"/>
      <c r="D47"/>
      <c r="E47"/>
      <c r="F47"/>
      <c r="G47"/>
      <c r="H47"/>
      <c r="I47"/>
      <c r="J47"/>
      <c r="K47"/>
      <c r="L47"/>
      <c r="M47"/>
      <c r="N47"/>
      <c r="O47"/>
      <c r="P47"/>
      <c r="Q47"/>
    </row>
    <row r="48" spans="1:17" ht="15.75" customHeight="1">
      <c r="A48"/>
      <c r="B48"/>
      <c r="C48"/>
      <c r="D48"/>
      <c r="E48"/>
      <c r="F48"/>
      <c r="G48"/>
      <c r="H48"/>
      <c r="I48"/>
      <c r="J48"/>
      <c r="K48"/>
      <c r="L48"/>
      <c r="M48"/>
      <c r="N48"/>
      <c r="O48"/>
      <c r="P48"/>
      <c r="Q48"/>
    </row>
    <row r="49" spans="1:19" ht="15.75" customHeight="1">
      <c r="A49"/>
      <c r="B49"/>
      <c r="C49"/>
      <c r="D49"/>
      <c r="E49"/>
      <c r="F49"/>
      <c r="G49"/>
      <c r="H49"/>
      <c r="I49"/>
      <c r="J49"/>
      <c r="K49"/>
      <c r="L49"/>
      <c r="M49"/>
      <c r="N49"/>
      <c r="O49"/>
      <c r="P49"/>
      <c r="Q49"/>
      <c r="R49" s="104"/>
      <c r="S49" s="104"/>
    </row>
    <row r="50" spans="1:19" ht="15.75" customHeight="1">
      <c r="A50"/>
      <c r="B50"/>
      <c r="C50"/>
      <c r="D50"/>
      <c r="E50"/>
      <c r="F50"/>
      <c r="G50"/>
      <c r="H50"/>
      <c r="I50"/>
      <c r="J50"/>
      <c r="K50"/>
      <c r="L50"/>
      <c r="M50"/>
      <c r="N50"/>
      <c r="O50"/>
      <c r="P50"/>
      <c r="Q50"/>
      <c r="R50" s="104"/>
      <c r="S50" s="104"/>
    </row>
    <row r="51" spans="1:19" ht="15.75" customHeight="1">
      <c r="A51"/>
      <c r="B51"/>
      <c r="C51"/>
      <c r="D51"/>
      <c r="E51"/>
      <c r="F51"/>
      <c r="G51"/>
      <c r="H51"/>
      <c r="I51"/>
      <c r="J51"/>
      <c r="K51"/>
      <c r="L51"/>
      <c r="M51"/>
      <c r="N51"/>
      <c r="O51"/>
      <c r="P51"/>
      <c r="Q51"/>
      <c r="R51" s="104"/>
      <c r="S51" s="104"/>
    </row>
    <row r="52" spans="1:19" ht="15.75" customHeight="1">
      <c r="A52"/>
      <c r="B52"/>
      <c r="C52"/>
      <c r="D52"/>
      <c r="E52"/>
      <c r="F52"/>
      <c r="G52"/>
      <c r="H52"/>
      <c r="I52"/>
      <c r="J52"/>
      <c r="K52"/>
      <c r="L52"/>
      <c r="M52"/>
      <c r="N52"/>
      <c r="O52"/>
      <c r="P52"/>
      <c r="Q52"/>
      <c r="R52" s="104"/>
      <c r="S52" s="104"/>
    </row>
    <row r="53" spans="1:19" ht="15.75" customHeight="1">
      <c r="A53"/>
      <c r="B53"/>
      <c r="C53"/>
      <c r="D53"/>
      <c r="E53"/>
      <c r="F53"/>
      <c r="G53"/>
      <c r="H53"/>
      <c r="I53"/>
      <c r="J53"/>
      <c r="K53"/>
      <c r="L53"/>
      <c r="M53"/>
      <c r="N53"/>
      <c r="O53"/>
      <c r="P53"/>
      <c r="Q53"/>
      <c r="R53" s="104"/>
      <c r="S53" s="104"/>
    </row>
    <row r="54" spans="1:19" ht="15.75" customHeight="1">
      <c r="A54"/>
      <c r="B54"/>
      <c r="C54"/>
      <c r="D54"/>
      <c r="E54"/>
      <c r="F54"/>
      <c r="G54"/>
      <c r="H54"/>
      <c r="I54"/>
      <c r="J54"/>
      <c r="K54"/>
      <c r="L54"/>
      <c r="M54"/>
      <c r="N54"/>
      <c r="O54"/>
      <c r="P54"/>
      <c r="Q54"/>
      <c r="R54" s="104"/>
      <c r="S54" s="104"/>
    </row>
    <row r="55" spans="1:19" ht="15.75" customHeight="1">
      <c r="A55"/>
      <c r="B55"/>
      <c r="C55"/>
      <c r="D55"/>
      <c r="E55"/>
      <c r="F55"/>
      <c r="G55"/>
      <c r="H55"/>
      <c r="I55"/>
      <c r="J55"/>
      <c r="K55"/>
      <c r="L55"/>
      <c r="M55"/>
      <c r="N55"/>
      <c r="O55"/>
      <c r="P55"/>
      <c r="Q55"/>
      <c r="R55" s="104"/>
      <c r="S55" s="104"/>
    </row>
    <row r="56" spans="1:19" ht="15.75" customHeight="1">
      <c r="A56"/>
      <c r="B56"/>
      <c r="C56"/>
      <c r="D56"/>
      <c r="E56"/>
      <c r="F56"/>
      <c r="G56"/>
      <c r="H56"/>
      <c r="I56"/>
      <c r="J56"/>
      <c r="K56"/>
      <c r="L56"/>
      <c r="M56"/>
      <c r="N56"/>
      <c r="O56"/>
      <c r="P56"/>
      <c r="Q56"/>
      <c r="R56" s="104"/>
      <c r="S56" s="104"/>
    </row>
    <row r="57" spans="1:19" ht="15.75" customHeight="1">
      <c r="A57"/>
      <c r="B57"/>
      <c r="C57"/>
      <c r="D57"/>
      <c r="E57"/>
      <c r="F57"/>
      <c r="G57"/>
      <c r="H57"/>
      <c r="I57"/>
      <c r="J57"/>
      <c r="K57"/>
      <c r="L57"/>
      <c r="M57"/>
      <c r="N57"/>
      <c r="O57"/>
      <c r="P57"/>
      <c r="Q57"/>
      <c r="R57" s="104"/>
      <c r="S57" s="104"/>
    </row>
    <row r="58" spans="1:18" ht="15.75" customHeight="1">
      <c r="A58"/>
      <c r="B58"/>
      <c r="C58"/>
      <c r="D58"/>
      <c r="E58"/>
      <c r="F58"/>
      <c r="G58"/>
      <c r="H58"/>
      <c r="I58"/>
      <c r="J58"/>
      <c r="K58"/>
      <c r="L58"/>
      <c r="M58"/>
      <c r="N58"/>
      <c r="O58"/>
      <c r="P58"/>
      <c r="Q58"/>
      <c r="R58" s="104"/>
    </row>
    <row r="59" spans="1:18" ht="15.75" customHeight="1">
      <c r="A59"/>
      <c r="B59"/>
      <c r="C59"/>
      <c r="D59"/>
      <c r="E59"/>
      <c r="F59"/>
      <c r="G59"/>
      <c r="H59"/>
      <c r="I59"/>
      <c r="J59"/>
      <c r="K59"/>
      <c r="L59"/>
      <c r="M59"/>
      <c r="N59"/>
      <c r="O59"/>
      <c r="P59"/>
      <c r="Q59"/>
      <c r="R59" s="104"/>
    </row>
    <row r="60" spans="1:18" ht="15.75" customHeight="1">
      <c r="A60"/>
      <c r="B60"/>
      <c r="C60"/>
      <c r="D60"/>
      <c r="E60"/>
      <c r="F60"/>
      <c r="G60"/>
      <c r="H60"/>
      <c r="I60"/>
      <c r="J60"/>
      <c r="K60"/>
      <c r="L60"/>
      <c r="M60"/>
      <c r="N60"/>
      <c r="O60"/>
      <c r="P60"/>
      <c r="Q60"/>
      <c r="R60" s="104"/>
    </row>
    <row r="61" spans="1:18" ht="15.75" customHeight="1">
      <c r="A61"/>
      <c r="B61"/>
      <c r="C61"/>
      <c r="D61"/>
      <c r="E61"/>
      <c r="F61"/>
      <c r="G61"/>
      <c r="H61"/>
      <c r="I61"/>
      <c r="J61"/>
      <c r="K61"/>
      <c r="L61"/>
      <c r="M61"/>
      <c r="N61"/>
      <c r="O61"/>
      <c r="P61"/>
      <c r="Q61"/>
      <c r="R61" s="104"/>
    </row>
    <row r="62" spans="1:17" ht="15.75" customHeight="1">
      <c r="A62"/>
      <c r="B62"/>
      <c r="C62"/>
      <c r="D62"/>
      <c r="E62"/>
      <c r="F62"/>
      <c r="G62"/>
      <c r="H62"/>
      <c r="I62"/>
      <c r="J62"/>
      <c r="K62"/>
      <c r="L62"/>
      <c r="M62"/>
      <c r="N62"/>
      <c r="O62"/>
      <c r="P62"/>
      <c r="Q62"/>
    </row>
    <row r="63" spans="1:17" ht="15.75" customHeight="1">
      <c r="A63"/>
      <c r="B63"/>
      <c r="C63"/>
      <c r="D63"/>
      <c r="E63"/>
      <c r="F63"/>
      <c r="G63"/>
      <c r="H63"/>
      <c r="I63"/>
      <c r="J63"/>
      <c r="K63"/>
      <c r="L63"/>
      <c r="M63"/>
      <c r="N63"/>
      <c r="O63"/>
      <c r="P63"/>
      <c r="Q63"/>
    </row>
    <row r="64" spans="1:17" ht="15.75" customHeight="1">
      <c r="A64"/>
      <c r="B64"/>
      <c r="C64"/>
      <c r="D64"/>
      <c r="E64"/>
      <c r="F64"/>
      <c r="G64"/>
      <c r="H64"/>
      <c r="I64"/>
      <c r="J64"/>
      <c r="K64"/>
      <c r="L64"/>
      <c r="M64"/>
      <c r="N64"/>
      <c r="O64"/>
      <c r="P64"/>
      <c r="Q64"/>
    </row>
    <row r="65" spans="1:17" ht="15.75" customHeight="1">
      <c r="A65"/>
      <c r="B65"/>
      <c r="C65"/>
      <c r="D65"/>
      <c r="E65"/>
      <c r="F65"/>
      <c r="G65"/>
      <c r="H65"/>
      <c r="I65"/>
      <c r="J65"/>
      <c r="K65"/>
      <c r="L65"/>
      <c r="M65"/>
      <c r="N65"/>
      <c r="O65"/>
      <c r="P65"/>
      <c r="Q65"/>
    </row>
    <row r="66" spans="1:17" ht="15.75" customHeight="1">
      <c r="A66"/>
      <c r="B66"/>
      <c r="C66"/>
      <c r="D66"/>
      <c r="E66"/>
      <c r="F66"/>
      <c r="G66"/>
      <c r="H66"/>
      <c r="I66"/>
      <c r="J66"/>
      <c r="K66"/>
      <c r="L66"/>
      <c r="M66"/>
      <c r="N66"/>
      <c r="O66"/>
      <c r="P66"/>
      <c r="Q66"/>
    </row>
    <row r="67" spans="1:17" ht="15.75" customHeight="1">
      <c r="A67"/>
      <c r="B67"/>
      <c r="C67"/>
      <c r="D67"/>
      <c r="E67"/>
      <c r="F67"/>
      <c r="G67"/>
      <c r="H67"/>
      <c r="I67"/>
      <c r="J67"/>
      <c r="K67"/>
      <c r="L67"/>
      <c r="M67"/>
      <c r="N67"/>
      <c r="O67"/>
      <c r="P67"/>
      <c r="Q67"/>
    </row>
    <row r="68" spans="1:17" ht="15.75" customHeight="1">
      <c r="A68"/>
      <c r="B68"/>
      <c r="C68"/>
      <c r="D68"/>
      <c r="E68"/>
      <c r="F68"/>
      <c r="G68"/>
      <c r="H68"/>
      <c r="I68"/>
      <c r="J68"/>
      <c r="K68"/>
      <c r="L68"/>
      <c r="M68"/>
      <c r="N68"/>
      <c r="O68"/>
      <c r="P68"/>
      <c r="Q68"/>
    </row>
    <row r="69" spans="1:17" ht="15.75" customHeight="1">
      <c r="A69"/>
      <c r="B69"/>
      <c r="C69"/>
      <c r="D69"/>
      <c r="E69"/>
      <c r="F69"/>
      <c r="G69"/>
      <c r="H69"/>
      <c r="I69"/>
      <c r="J69"/>
      <c r="K69"/>
      <c r="L69"/>
      <c r="M69"/>
      <c r="N69"/>
      <c r="O69"/>
      <c r="P69"/>
      <c r="Q69"/>
    </row>
    <row r="70" spans="1:17" ht="15.75" customHeight="1">
      <c r="A70"/>
      <c r="B70"/>
      <c r="C70"/>
      <c r="D70"/>
      <c r="E70"/>
      <c r="F70"/>
      <c r="G70"/>
      <c r="H70"/>
      <c r="I70"/>
      <c r="J70"/>
      <c r="K70"/>
      <c r="L70"/>
      <c r="M70"/>
      <c r="N70"/>
      <c r="O70"/>
      <c r="P70"/>
      <c r="Q70"/>
    </row>
    <row r="71" spans="1:17" ht="15.75" customHeight="1">
      <c r="A71"/>
      <c r="B71"/>
      <c r="C71"/>
      <c r="D71"/>
      <c r="E71"/>
      <c r="F71"/>
      <c r="G71"/>
      <c r="H71"/>
      <c r="I71"/>
      <c r="J71"/>
      <c r="K71"/>
      <c r="L71"/>
      <c r="M71"/>
      <c r="N71"/>
      <c r="O71"/>
      <c r="P71"/>
      <c r="Q71"/>
    </row>
    <row r="72" spans="1:17" ht="15.75" customHeight="1">
      <c r="A72"/>
      <c r="B72"/>
      <c r="C72"/>
      <c r="D72"/>
      <c r="E72"/>
      <c r="F72"/>
      <c r="G72"/>
      <c r="H72"/>
      <c r="I72"/>
      <c r="J72"/>
      <c r="K72"/>
      <c r="L72"/>
      <c r="M72"/>
      <c r="N72"/>
      <c r="O72"/>
      <c r="P72"/>
      <c r="Q72"/>
    </row>
    <row r="73" spans="1:17" ht="15.75" customHeight="1">
      <c r="A73"/>
      <c r="B73"/>
      <c r="C73"/>
      <c r="D73"/>
      <c r="E73"/>
      <c r="F73"/>
      <c r="G73"/>
      <c r="H73"/>
      <c r="I73"/>
      <c r="J73"/>
      <c r="K73"/>
      <c r="L73"/>
      <c r="M73"/>
      <c r="N73"/>
      <c r="O73"/>
      <c r="P73"/>
      <c r="Q73"/>
    </row>
    <row r="74" spans="1:17" ht="15.75" customHeight="1">
      <c r="A74"/>
      <c r="B74"/>
      <c r="C74"/>
      <c r="D74"/>
      <c r="E74"/>
      <c r="F74"/>
      <c r="G74"/>
      <c r="H74"/>
      <c r="I74"/>
      <c r="J74"/>
      <c r="K74"/>
      <c r="L74"/>
      <c r="M74"/>
      <c r="N74"/>
      <c r="O74"/>
      <c r="P74"/>
      <c r="Q74"/>
    </row>
    <row r="75" spans="1:17" ht="15.75" customHeight="1">
      <c r="A75"/>
      <c r="B75"/>
      <c r="C75"/>
      <c r="D75"/>
      <c r="E75"/>
      <c r="F75"/>
      <c r="G75"/>
      <c r="H75"/>
      <c r="I75"/>
      <c r="J75"/>
      <c r="K75"/>
      <c r="L75"/>
      <c r="M75"/>
      <c r="N75"/>
      <c r="O75"/>
      <c r="P75"/>
      <c r="Q75"/>
    </row>
    <row r="76" spans="1:17" ht="15.75" customHeight="1">
      <c r="A76"/>
      <c r="B76"/>
      <c r="C76"/>
      <c r="D76"/>
      <c r="E76"/>
      <c r="F76"/>
      <c r="G76"/>
      <c r="H76"/>
      <c r="I76"/>
      <c r="J76"/>
      <c r="K76"/>
      <c r="L76"/>
      <c r="M76"/>
      <c r="N76"/>
      <c r="O76"/>
      <c r="P76"/>
      <c r="Q76"/>
    </row>
    <row r="77" spans="1:17" ht="15.75" customHeight="1">
      <c r="A77"/>
      <c r="B77"/>
      <c r="C77"/>
      <c r="D77"/>
      <c r="E77"/>
      <c r="F77"/>
      <c r="G77"/>
      <c r="H77"/>
      <c r="I77"/>
      <c r="J77"/>
      <c r="K77"/>
      <c r="L77"/>
      <c r="M77"/>
      <c r="N77"/>
      <c r="O77"/>
      <c r="P77"/>
      <c r="Q77"/>
    </row>
    <row r="78" spans="1:17" ht="15.75" customHeight="1">
      <c r="A78"/>
      <c r="B78"/>
      <c r="C78"/>
      <c r="D78"/>
      <c r="E78"/>
      <c r="F78"/>
      <c r="G78"/>
      <c r="H78"/>
      <c r="I78"/>
      <c r="J78"/>
      <c r="K78"/>
      <c r="L78"/>
      <c r="M78"/>
      <c r="N78"/>
      <c r="O78"/>
      <c r="P78"/>
      <c r="Q78"/>
    </row>
    <row r="79" spans="1:17" ht="15.75" customHeight="1">
      <c r="A79"/>
      <c r="B79"/>
      <c r="C79"/>
      <c r="D79"/>
      <c r="E79"/>
      <c r="F79"/>
      <c r="G79"/>
      <c r="H79"/>
      <c r="I79"/>
      <c r="J79"/>
      <c r="K79"/>
      <c r="L79"/>
      <c r="M79"/>
      <c r="N79"/>
      <c r="O79"/>
      <c r="P79"/>
      <c r="Q79"/>
    </row>
    <row r="80" spans="1:17" ht="15.75" customHeight="1">
      <c r="A80"/>
      <c r="B80"/>
      <c r="C80"/>
      <c r="D80"/>
      <c r="E80"/>
      <c r="F80"/>
      <c r="G80"/>
      <c r="H80"/>
      <c r="I80"/>
      <c r="J80"/>
      <c r="K80"/>
      <c r="L80"/>
      <c r="M80"/>
      <c r="N80"/>
      <c r="O80"/>
      <c r="P80"/>
      <c r="Q80"/>
    </row>
    <row r="81" spans="1:17" ht="15.75" customHeight="1">
      <c r="A81"/>
      <c r="B81"/>
      <c r="C81"/>
      <c r="D81"/>
      <c r="E81"/>
      <c r="F81"/>
      <c r="G81"/>
      <c r="H81"/>
      <c r="I81"/>
      <c r="J81"/>
      <c r="K81"/>
      <c r="L81"/>
      <c r="M81"/>
      <c r="N81"/>
      <c r="O81"/>
      <c r="P81"/>
      <c r="Q81"/>
    </row>
    <row r="82" spans="1:17" ht="15.75" customHeight="1">
      <c r="A82"/>
      <c r="B82"/>
      <c r="C82"/>
      <c r="D82"/>
      <c r="E82"/>
      <c r="F82"/>
      <c r="G82"/>
      <c r="H82"/>
      <c r="I82"/>
      <c r="J82"/>
      <c r="K82"/>
      <c r="L82"/>
      <c r="M82"/>
      <c r="N82"/>
      <c r="O82"/>
      <c r="P82"/>
      <c r="Q82"/>
    </row>
    <row r="83" spans="1:17" ht="15.75" customHeight="1">
      <c r="A83"/>
      <c r="B83"/>
      <c r="C83"/>
      <c r="D83"/>
      <c r="E83"/>
      <c r="F83"/>
      <c r="G83"/>
      <c r="H83"/>
      <c r="I83"/>
      <c r="J83"/>
      <c r="K83"/>
      <c r="L83"/>
      <c r="M83"/>
      <c r="N83"/>
      <c r="O83"/>
      <c r="P83"/>
      <c r="Q83"/>
    </row>
    <row r="84" spans="1:17" ht="15.75" customHeight="1">
      <c r="A84"/>
      <c r="B84"/>
      <c r="C84"/>
      <c r="D84"/>
      <c r="E84"/>
      <c r="F84"/>
      <c r="G84"/>
      <c r="H84"/>
      <c r="I84"/>
      <c r="J84"/>
      <c r="K84"/>
      <c r="L84"/>
      <c r="M84"/>
      <c r="N84"/>
      <c r="O84"/>
      <c r="P84"/>
      <c r="Q84"/>
    </row>
    <row r="85" spans="1:17" ht="15.75" customHeight="1">
      <c r="A85"/>
      <c r="B85"/>
      <c r="C85"/>
      <c r="D85"/>
      <c r="E85"/>
      <c r="F85"/>
      <c r="G85"/>
      <c r="H85"/>
      <c r="I85"/>
      <c r="J85"/>
      <c r="K85"/>
      <c r="L85"/>
      <c r="M85"/>
      <c r="N85"/>
      <c r="O85"/>
      <c r="P85"/>
      <c r="Q85"/>
    </row>
    <row r="86" spans="1:17" ht="15.75" customHeight="1">
      <c r="A86"/>
      <c r="B86"/>
      <c r="C86"/>
      <c r="D86"/>
      <c r="E86"/>
      <c r="F86"/>
      <c r="G86"/>
      <c r="H86"/>
      <c r="I86"/>
      <c r="J86"/>
      <c r="K86"/>
      <c r="L86"/>
      <c r="M86"/>
      <c r="N86"/>
      <c r="O86"/>
      <c r="P86"/>
      <c r="Q86"/>
    </row>
    <row r="87" spans="1:17" ht="15.75" customHeight="1">
      <c r="A87"/>
      <c r="B87"/>
      <c r="C87"/>
      <c r="D87"/>
      <c r="E87"/>
      <c r="F87"/>
      <c r="G87"/>
      <c r="H87"/>
      <c r="I87"/>
      <c r="J87"/>
      <c r="K87"/>
      <c r="L87"/>
      <c r="M87"/>
      <c r="N87"/>
      <c r="O87"/>
      <c r="P87"/>
      <c r="Q87"/>
    </row>
    <row r="88" spans="1:17" ht="15.75" customHeight="1">
      <c r="A88"/>
      <c r="B88"/>
      <c r="C88"/>
      <c r="D88"/>
      <c r="E88"/>
      <c r="F88"/>
      <c r="G88"/>
      <c r="H88"/>
      <c r="I88"/>
      <c r="J88"/>
      <c r="K88"/>
      <c r="L88"/>
      <c r="M88"/>
      <c r="N88"/>
      <c r="O88"/>
      <c r="P88"/>
      <c r="Q88"/>
    </row>
    <row r="89" spans="1:17" ht="15.75" customHeight="1">
      <c r="A89"/>
      <c r="B89"/>
      <c r="C89"/>
      <c r="D89"/>
      <c r="E89"/>
      <c r="F89"/>
      <c r="G89"/>
      <c r="H89"/>
      <c r="I89"/>
      <c r="J89"/>
      <c r="K89"/>
      <c r="L89"/>
      <c r="M89"/>
      <c r="N89"/>
      <c r="O89"/>
      <c r="P89"/>
      <c r="Q89"/>
    </row>
    <row r="90" spans="1:17" ht="15.75" customHeight="1">
      <c r="A90"/>
      <c r="B90"/>
      <c r="C90"/>
      <c r="D90"/>
      <c r="E90"/>
      <c r="F90"/>
      <c r="G90"/>
      <c r="H90"/>
      <c r="I90"/>
      <c r="J90"/>
      <c r="K90"/>
      <c r="L90"/>
      <c r="M90"/>
      <c r="N90"/>
      <c r="O90"/>
      <c r="P90"/>
      <c r="Q90"/>
    </row>
    <row r="91" spans="1:17" ht="15.75" customHeight="1">
      <c r="A91"/>
      <c r="B91"/>
      <c r="C91"/>
      <c r="D91"/>
      <c r="E91"/>
      <c r="F91"/>
      <c r="G91"/>
      <c r="H91"/>
      <c r="I91"/>
      <c r="J91"/>
      <c r="K91"/>
      <c r="L91"/>
      <c r="M91"/>
      <c r="N91"/>
      <c r="O91"/>
      <c r="P91"/>
      <c r="Q91"/>
    </row>
    <row r="92" spans="1:17" ht="15.75" customHeight="1">
      <c r="A92"/>
      <c r="B92"/>
      <c r="C92"/>
      <c r="D92"/>
      <c r="E92"/>
      <c r="F92"/>
      <c r="G92"/>
      <c r="H92"/>
      <c r="I92"/>
      <c r="J92"/>
      <c r="K92"/>
      <c r="L92"/>
      <c r="M92"/>
      <c r="N92"/>
      <c r="O92"/>
      <c r="P92"/>
      <c r="Q92"/>
    </row>
    <row r="93" spans="4:8" ht="15.75" customHeight="1">
      <c r="D93" s="6"/>
      <c r="F93" s="11"/>
      <c r="H93" s="12"/>
    </row>
    <row r="94" spans="1:4" ht="15.75" customHeight="1">
      <c r="A94" s="4"/>
      <c r="D94" s="8"/>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4.xml><?xml version="1.0" encoding="utf-8"?>
<worksheet xmlns="http://schemas.openxmlformats.org/spreadsheetml/2006/main" xmlns:r="http://schemas.openxmlformats.org/officeDocument/2006/relationships">
  <sheetPr codeName="Sheet37" transitionEvaluation="1"/>
  <dimension ref="A1:S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InputC!$A$1</f>
        <v>Group Name:</v>
      </c>
      <c r="B1" s="137" t="str">
        <f>InputC!$C$1</f>
        <v>enter group name here</v>
      </c>
      <c r="C1" s="136"/>
      <c r="D1"/>
      <c r="E1"/>
      <c r="F1"/>
      <c r="G1"/>
      <c r="H1"/>
      <c r="I1"/>
      <c r="J1"/>
      <c r="L1" s="139" t="s">
        <v>336</v>
      </c>
    </row>
    <row r="2" spans="1:12" ht="15.75" customHeight="1">
      <c r="A2" s="140" t="str">
        <f>InputC!$A$2</f>
        <v>Group NAIC #:</v>
      </c>
      <c r="B2" s="137" t="str">
        <f>InputC!$C$2</f>
        <v>enter group # here</v>
      </c>
      <c r="C2" s="136"/>
      <c r="D2"/>
      <c r="E2"/>
      <c r="F2"/>
      <c r="G2"/>
      <c r="H2"/>
      <c r="I2"/>
      <c r="J2"/>
      <c r="L2" s="139" t="s">
        <v>384</v>
      </c>
    </row>
    <row r="3" spans="1:11" ht="15.75" customHeight="1">
      <c r="A3" s="136" t="str">
        <f>InputC!$A$3</f>
        <v>Year Filed:</v>
      </c>
      <c r="B3" s="141">
        <f>InputC!$C$3</f>
        <v>2024</v>
      </c>
      <c r="C3" s="136"/>
      <c r="D3"/>
      <c r="E3"/>
      <c r="F3"/>
      <c r="G3"/>
      <c r="H3"/>
      <c r="I3"/>
      <c r="J3"/>
      <c r="K3" s="136"/>
    </row>
    <row r="4" ht="15.75" customHeight="1" thickBot="1"/>
    <row r="5" spans="1:12" ht="15.75" customHeight="1">
      <c r="A5" s="167" t="s">
        <v>52</v>
      </c>
      <c r="B5" s="169"/>
      <c r="C5" s="169"/>
      <c r="D5" s="113"/>
      <c r="E5" s="113"/>
      <c r="F5" s="113"/>
      <c r="G5" s="113"/>
      <c r="H5" s="113"/>
      <c r="I5" s="113"/>
      <c r="J5" s="170"/>
      <c r="K5" s="143"/>
      <c r="L5" s="104"/>
    </row>
    <row r="6" spans="1:12" ht="15.75" customHeight="1">
      <c r="A6" s="172"/>
      <c r="B6" s="322"/>
      <c r="C6" s="117"/>
      <c r="D6" s="117"/>
      <c r="E6" s="127"/>
      <c r="F6" s="117"/>
      <c r="G6" s="117"/>
      <c r="H6" s="117"/>
      <c r="I6" s="117"/>
      <c r="J6" s="173"/>
      <c r="K6" s="143"/>
      <c r="L6" s="103"/>
    </row>
    <row r="7" spans="1:12" ht="15.75" customHeight="1">
      <c r="A7" s="176"/>
      <c r="B7" s="174"/>
      <c r="C7" s="174"/>
      <c r="D7" s="174"/>
      <c r="E7" s="174"/>
      <c r="F7" s="174"/>
      <c r="G7" s="174"/>
      <c r="H7" s="174"/>
      <c r="I7" s="174"/>
      <c r="J7" s="175"/>
      <c r="K7" s="143"/>
      <c r="L7" s="104"/>
    </row>
    <row r="8" spans="1:12" ht="15.75" customHeight="1">
      <c r="A8" s="180"/>
      <c r="B8" s="177"/>
      <c r="C8" s="177"/>
      <c r="D8" s="177"/>
      <c r="E8" s="177"/>
      <c r="F8" s="177"/>
      <c r="G8" s="177"/>
      <c r="H8" s="177"/>
      <c r="I8" s="177"/>
      <c r="J8" s="178"/>
      <c r="K8" s="179"/>
      <c r="L8" s="104"/>
    </row>
    <row r="9" spans="1:12" ht="15.75" customHeight="1">
      <c r="A9" s="172"/>
      <c r="B9" s="41"/>
      <c r="C9" s="41"/>
      <c r="D9" s="35"/>
      <c r="E9" s="35"/>
      <c r="F9" s="35"/>
      <c r="G9" s="35"/>
      <c r="H9" s="35"/>
      <c r="I9" s="35"/>
      <c r="J9" s="80"/>
      <c r="K9" s="41"/>
      <c r="L9" s="104"/>
    </row>
    <row r="10" spans="1:12" ht="15.75" customHeight="1">
      <c r="A10" s="176"/>
      <c r="B10" s="41"/>
      <c r="C10" s="35"/>
      <c r="D10" s="35"/>
      <c r="E10" s="35"/>
      <c r="F10" s="35"/>
      <c r="G10" s="35"/>
      <c r="H10" s="35"/>
      <c r="I10" s="35"/>
      <c r="J10" s="93"/>
      <c r="K10" s="35"/>
      <c r="L10" s="104"/>
    </row>
    <row r="11" spans="1:12" ht="15.75" customHeight="1">
      <c r="A11" s="176"/>
      <c r="B11" s="35"/>
      <c r="C11" s="35"/>
      <c r="D11" s="35"/>
      <c r="E11" s="35"/>
      <c r="F11" s="35"/>
      <c r="G11" s="35"/>
      <c r="H11" s="35"/>
      <c r="I11" s="35"/>
      <c r="J11" s="93"/>
      <c r="K11" s="35"/>
      <c r="L11" s="104"/>
    </row>
    <row r="12" spans="1:15" ht="15.75" customHeight="1">
      <c r="A12" s="176"/>
      <c r="B12" s="35"/>
      <c r="C12" s="35"/>
      <c r="D12" s="35"/>
      <c r="E12" s="35"/>
      <c r="F12" s="35"/>
      <c r="G12" s="35"/>
      <c r="H12" s="35"/>
      <c r="I12" s="35"/>
      <c r="J12" s="93"/>
      <c r="K12" s="35"/>
      <c r="L12" s="104"/>
      <c r="N12" s="35"/>
      <c r="O12" s="104"/>
    </row>
    <row r="13" spans="1:14" ht="15.75" customHeight="1">
      <c r="A13" s="426"/>
      <c r="B13" s="427"/>
      <c r="C13" s="427"/>
      <c r="D13" s="427"/>
      <c r="E13" s="427"/>
      <c r="F13" s="427"/>
      <c r="G13" s="427"/>
      <c r="H13" s="427"/>
      <c r="I13" s="427"/>
      <c r="J13" s="428"/>
      <c r="K13" s="35"/>
      <c r="L13" s="104"/>
      <c r="M13" s="104"/>
      <c r="N13" s="104"/>
    </row>
    <row r="14" spans="1:14" ht="15.75" customHeight="1">
      <c r="A14" s="176"/>
      <c r="B14" s="35"/>
      <c r="C14" s="35"/>
      <c r="D14" s="35"/>
      <c r="E14" s="35"/>
      <c r="F14" s="35"/>
      <c r="G14" s="35"/>
      <c r="H14" s="35"/>
      <c r="I14" s="35"/>
      <c r="J14" s="93"/>
      <c r="K14" s="35"/>
      <c r="L14" s="104"/>
      <c r="M14" s="104"/>
      <c r="N14" s="104"/>
    </row>
    <row r="15" spans="1:14" ht="15.75" customHeight="1" thickBot="1">
      <c r="A15" s="181"/>
      <c r="B15" s="36"/>
      <c r="C15" s="36"/>
      <c r="D15" s="36"/>
      <c r="E15" s="185"/>
      <c r="F15" s="36"/>
      <c r="G15" s="36"/>
      <c r="H15" s="36"/>
      <c r="I15" s="36"/>
      <c r="J15" s="96"/>
      <c r="K15" s="35"/>
      <c r="L15" s="104"/>
      <c r="M15" s="104"/>
      <c r="N15" s="104"/>
    </row>
    <row r="16" spans="1:14" ht="15.75" customHeight="1">
      <c r="A16" s="182"/>
      <c r="B16" s="35"/>
      <c r="C16" s="35"/>
      <c r="D16" s="35"/>
      <c r="E16" s="183"/>
      <c r="F16" s="35"/>
      <c r="G16" s="35"/>
      <c r="H16" s="35"/>
      <c r="I16" s="35"/>
      <c r="J16" s="35"/>
      <c r="K16" s="35"/>
      <c r="L16" s="104"/>
      <c r="M16" s="104"/>
      <c r="N16" s="104"/>
    </row>
    <row r="17" spans="1:14" ht="15.75" customHeight="1" thickBot="1">
      <c r="A17" s="104"/>
      <c r="B17" s="104"/>
      <c r="C17" s="104"/>
      <c r="D17" s="104"/>
      <c r="E17" s="104"/>
      <c r="F17" s="104"/>
      <c r="G17" s="104"/>
      <c r="H17" s="104"/>
      <c r="I17" s="104"/>
      <c r="J17" s="104"/>
      <c r="K17" s="104"/>
      <c r="L17" s="104"/>
      <c r="M17" s="104"/>
      <c r="N17" s="104"/>
    </row>
    <row r="18" spans="1:12" ht="15.75" customHeight="1">
      <c r="A18" s="167" t="s">
        <v>53</v>
      </c>
      <c r="B18" s="401"/>
      <c r="C18" s="168"/>
      <c r="D18" s="168"/>
      <c r="E18" s="168"/>
      <c r="F18" s="168"/>
      <c r="G18" s="168"/>
      <c r="H18" s="168"/>
      <c r="I18" s="168"/>
      <c r="J18" s="148"/>
      <c r="K18" s="148"/>
      <c r="L18" s="149"/>
    </row>
    <row r="19" spans="1:12" ht="15.75" customHeight="1">
      <c r="A19" s="187"/>
      <c r="B19" s="174"/>
      <c r="C19" s="174"/>
      <c r="D19" s="174"/>
      <c r="E19" s="174"/>
      <c r="F19" s="174"/>
      <c r="G19" s="174"/>
      <c r="H19" s="174"/>
      <c r="I19" s="174"/>
      <c r="J19" s="150"/>
      <c r="K19" s="151"/>
      <c r="L19" s="188"/>
    </row>
    <row r="20" spans="1:12" ht="15.75" customHeight="1">
      <c r="A20" s="144"/>
      <c r="B20" s="177"/>
      <c r="C20" s="177"/>
      <c r="D20" s="177"/>
      <c r="E20" s="177"/>
      <c r="F20" s="177"/>
      <c r="G20" s="177"/>
      <c r="H20" s="177"/>
      <c r="I20" s="177"/>
      <c r="J20" s="189"/>
      <c r="K20" s="152"/>
      <c r="L20" s="153"/>
    </row>
    <row r="21" spans="1:12" ht="15.75" customHeight="1">
      <c r="A21" s="172"/>
      <c r="B21" s="195"/>
      <c r="C21" s="195"/>
      <c r="D21" s="195"/>
      <c r="E21" s="195"/>
      <c r="F21" s="195"/>
      <c r="G21" s="195"/>
      <c r="H21" s="195"/>
      <c r="I21" s="195"/>
      <c r="J21" s="468"/>
      <c r="K21" s="119"/>
      <c r="L21" s="81"/>
    </row>
    <row r="22" spans="1:12" ht="15.75" customHeight="1">
      <c r="A22" s="172"/>
      <c r="B22" s="195"/>
      <c r="C22" s="195"/>
      <c r="D22" s="195"/>
      <c r="E22" s="195"/>
      <c r="F22" s="195"/>
      <c r="G22" s="195"/>
      <c r="H22" s="195"/>
      <c r="I22" s="195"/>
      <c r="J22" s="468"/>
      <c r="K22" s="119"/>
      <c r="L22" s="81"/>
    </row>
    <row r="23" spans="1:12" ht="15.75" customHeight="1">
      <c r="A23" s="172"/>
      <c r="B23" s="195"/>
      <c r="C23" s="195"/>
      <c r="D23" s="195"/>
      <c r="E23" s="195"/>
      <c r="F23" s="195"/>
      <c r="G23" s="195"/>
      <c r="H23" s="195"/>
      <c r="I23" s="195"/>
      <c r="J23" s="468"/>
      <c r="K23" s="119"/>
      <c r="L23" s="81"/>
    </row>
    <row r="24" spans="1:13" ht="15.75" customHeight="1">
      <c r="A24" s="172"/>
      <c r="B24" s="195"/>
      <c r="C24" s="195"/>
      <c r="D24" s="195"/>
      <c r="E24" s="195"/>
      <c r="F24" s="195"/>
      <c r="G24" s="195"/>
      <c r="H24" s="195"/>
      <c r="I24" s="195"/>
      <c r="J24" s="468"/>
      <c r="K24" s="119"/>
      <c r="L24" s="81"/>
      <c r="M24" s="86"/>
    </row>
    <row r="25" spans="1:13" ht="15.75" customHeight="1">
      <c r="A25" s="172"/>
      <c r="B25" s="195"/>
      <c r="C25" s="195"/>
      <c r="D25" s="195"/>
      <c r="E25" s="195"/>
      <c r="F25" s="195"/>
      <c r="G25" s="195"/>
      <c r="H25" s="195"/>
      <c r="I25" s="195"/>
      <c r="J25" s="468"/>
      <c r="K25" s="119"/>
      <c r="L25" s="81"/>
      <c r="M25" s="86"/>
    </row>
    <row r="26" spans="1:13" ht="15.75" customHeight="1">
      <c r="A26" s="172"/>
      <c r="B26" s="195"/>
      <c r="C26" s="195"/>
      <c r="D26" s="195"/>
      <c r="E26" s="192"/>
      <c r="F26" s="192"/>
      <c r="G26" s="192"/>
      <c r="H26" s="192"/>
      <c r="I26" s="192"/>
      <c r="J26" s="468"/>
      <c r="K26" s="119"/>
      <c r="L26" s="81"/>
      <c r="M26" s="86"/>
    </row>
    <row r="27" spans="1:13" ht="15.75" customHeight="1">
      <c r="A27" s="172"/>
      <c r="B27" s="195"/>
      <c r="C27" s="195"/>
      <c r="D27" s="192"/>
      <c r="E27" s="192"/>
      <c r="F27" s="192"/>
      <c r="G27" s="192"/>
      <c r="H27" s="192"/>
      <c r="I27" s="192"/>
      <c r="J27" s="468"/>
      <c r="K27" s="119"/>
      <c r="L27" s="81"/>
      <c r="M27" s="86"/>
    </row>
    <row r="28" spans="1:13" ht="15.75" customHeight="1" thickBot="1">
      <c r="A28" s="191"/>
      <c r="B28" s="129"/>
      <c r="C28" s="129"/>
      <c r="D28" s="129"/>
      <c r="E28" s="129"/>
      <c r="F28" s="129"/>
      <c r="G28" s="129"/>
      <c r="H28" s="129"/>
      <c r="I28" s="190"/>
      <c r="J28" s="82"/>
      <c r="K28" s="190"/>
      <c r="L28" s="83"/>
      <c r="M28" s="86"/>
    </row>
    <row r="29" spans="1:12" ht="15.75" customHeight="1" thickBot="1">
      <c r="A29" s="104"/>
      <c r="B29" s="104"/>
      <c r="C29" s="104"/>
      <c r="D29" s="104"/>
      <c r="E29" s="104"/>
      <c r="F29" s="104"/>
      <c r="G29" s="104"/>
      <c r="H29" s="104"/>
      <c r="I29" s="86"/>
      <c r="J29" s="86"/>
      <c r="K29" s="86"/>
      <c r="L29" s="104"/>
    </row>
    <row r="30" spans="1:12" ht="15.75" customHeight="1">
      <c r="A30" s="692" t="s">
        <v>56</v>
      </c>
      <c r="B30" s="687"/>
      <c r="C30" s="687"/>
      <c r="D30" s="687"/>
      <c r="E30" s="687"/>
      <c r="F30" s="688"/>
      <c r="G30" s="504"/>
      <c r="H30" s="655" t="s">
        <v>57</v>
      </c>
      <c r="I30" s="656"/>
      <c r="J30" s="656"/>
      <c r="K30" s="656"/>
      <c r="L30" s="657" t="s">
        <v>121</v>
      </c>
    </row>
    <row r="31" spans="1:12" ht="15.75" customHeight="1">
      <c r="A31" s="658"/>
      <c r="B31" s="659"/>
      <c r="C31" s="659"/>
      <c r="D31" s="659"/>
      <c r="E31" s="659"/>
      <c r="F31" s="660"/>
      <c r="G31" s="504"/>
      <c r="H31" s="661" t="s">
        <v>59</v>
      </c>
      <c r="I31" s="659"/>
      <c r="J31" s="659"/>
      <c r="K31" s="662"/>
      <c r="L31" s="663" t="s">
        <v>312</v>
      </c>
    </row>
    <row r="32" spans="1:12" ht="15.75" customHeight="1">
      <c r="A32" s="664"/>
      <c r="B32" s="689"/>
      <c r="C32" s="689"/>
      <c r="D32" s="690"/>
      <c r="E32" s="689"/>
      <c r="F32" s="691"/>
      <c r="G32" s="504"/>
      <c r="H32" s="668" t="s">
        <v>33</v>
      </c>
      <c r="I32" s="669"/>
      <c r="J32" s="670"/>
      <c r="K32" s="671"/>
      <c r="L32" s="672" t="str">
        <f>"@ 3/31/"&amp;TEXT(MOD(ReportYear,100),"00")</f>
        <v>@ 3/31/24</v>
      </c>
    </row>
    <row r="33" spans="1:12" ht="15.75" customHeight="1">
      <c r="A33" s="693"/>
      <c r="B33" s="674"/>
      <c r="C33" s="674"/>
      <c r="D33" s="674"/>
      <c r="E33" s="674"/>
      <c r="F33" s="675"/>
      <c r="G33" s="504"/>
      <c r="H33" s="676">
        <f>ReportYear-1</f>
        <v>2023</v>
      </c>
      <c r="I33" s="500"/>
      <c r="J33" s="468"/>
      <c r="K33" s="677"/>
      <c r="L33" s="616">
        <f>SUM(Exh2A!L33,Exh2B1!L33,Exh2B2!L33,Exh2C!L33)</f>
        <v>0</v>
      </c>
    </row>
    <row r="34" spans="1:12" ht="15.75" customHeight="1">
      <c r="A34" s="693"/>
      <c r="B34" s="674"/>
      <c r="C34" s="674"/>
      <c r="D34" s="674"/>
      <c r="E34" s="674"/>
      <c r="F34" s="675"/>
      <c r="G34" s="504"/>
      <c r="H34" s="676">
        <f aca="true" t="shared" si="0" ref="H34:H39">H33-1</f>
        <v>2022</v>
      </c>
      <c r="I34" s="500"/>
      <c r="J34" s="468"/>
      <c r="K34" s="677"/>
      <c r="L34" s="616">
        <f>SUM(Exh2A!L34,Exh2B1!L34,Exh2B2!L34,Exh2C!L34)</f>
        <v>0</v>
      </c>
    </row>
    <row r="35" spans="1:12" ht="15.75" customHeight="1">
      <c r="A35" s="693"/>
      <c r="B35" s="674"/>
      <c r="C35" s="674"/>
      <c r="D35" s="674"/>
      <c r="E35" s="674"/>
      <c r="F35" s="675"/>
      <c r="G35" s="504"/>
      <c r="H35" s="676">
        <f t="shared" si="0"/>
        <v>2021</v>
      </c>
      <c r="I35" s="500"/>
      <c r="J35" s="468"/>
      <c r="K35" s="677"/>
      <c r="L35" s="616">
        <f>SUM(Exh2A!L35,Exh2B1!L35,Exh2B2!L35,Exh2C!L35)</f>
        <v>0</v>
      </c>
    </row>
    <row r="36" spans="1:12" ht="15.75" customHeight="1">
      <c r="A36" s="693"/>
      <c r="B36" s="674"/>
      <c r="C36" s="674"/>
      <c r="D36" s="674"/>
      <c r="E36" s="674"/>
      <c r="F36" s="675"/>
      <c r="G36" s="504"/>
      <c r="H36" s="676">
        <f t="shared" si="0"/>
        <v>2020</v>
      </c>
      <c r="I36" s="500"/>
      <c r="J36" s="468"/>
      <c r="K36" s="677"/>
      <c r="L36" s="616">
        <f>SUM(Exh2A!L36,Exh2B1!L36,Exh2B2!L36,Exh2C!L36)</f>
        <v>0</v>
      </c>
    </row>
    <row r="37" spans="1:12" ht="15.75" customHeight="1">
      <c r="A37" s="693"/>
      <c r="B37" s="674"/>
      <c r="C37" s="674"/>
      <c r="D37" s="674"/>
      <c r="E37" s="674"/>
      <c r="F37" s="675"/>
      <c r="G37" s="504"/>
      <c r="H37" s="676">
        <f t="shared" si="0"/>
        <v>2019</v>
      </c>
      <c r="I37" s="500"/>
      <c r="J37" s="468"/>
      <c r="K37" s="677"/>
      <c r="L37" s="616">
        <f>SUM(Exh2A!L37,Exh2B1!L37,Exh2B2!L37,Exh2C!L37)</f>
        <v>0</v>
      </c>
    </row>
    <row r="38" spans="1:12" ht="15.75" customHeight="1">
      <c r="A38" s="693"/>
      <c r="B38" s="674"/>
      <c r="C38" s="674"/>
      <c r="D38" s="674"/>
      <c r="E38" s="674"/>
      <c r="F38" s="675"/>
      <c r="G38" s="504"/>
      <c r="H38" s="676">
        <f t="shared" si="0"/>
        <v>2018</v>
      </c>
      <c r="I38" s="500"/>
      <c r="J38" s="468"/>
      <c r="K38" s="677"/>
      <c r="L38" s="616">
        <f>SUM(Exh2A!L38,Exh2B1!L38,Exh2B2!L38,Exh2C!L38)</f>
        <v>0</v>
      </c>
    </row>
    <row r="39" spans="1:12" ht="15.75" customHeight="1" thickBot="1">
      <c r="A39" s="693"/>
      <c r="B39" s="674"/>
      <c r="C39" s="674"/>
      <c r="D39" s="674"/>
      <c r="E39" s="674"/>
      <c r="F39" s="675"/>
      <c r="G39" s="504"/>
      <c r="H39" s="678">
        <f t="shared" si="0"/>
        <v>2017</v>
      </c>
      <c r="I39" s="679"/>
      <c r="J39" s="469"/>
      <c r="K39" s="680"/>
      <c r="L39" s="681">
        <f>SUM(Exh2A!L39,Exh2B1!L39,Exh2B2!L39,Exh2C!L39)</f>
        <v>0</v>
      </c>
    </row>
    <row r="40" spans="1:12" ht="15.75" customHeight="1">
      <c r="A40" s="693"/>
      <c r="B40" s="674"/>
      <c r="C40" s="674"/>
      <c r="D40" s="674"/>
      <c r="E40" s="674"/>
      <c r="F40" s="675"/>
      <c r="G40" s="504"/>
      <c r="H40" s="682"/>
      <c r="I40" s="500"/>
      <c r="J40" s="468"/>
      <c r="K40" s="683"/>
      <c r="L40" s="500"/>
    </row>
    <row r="41" spans="1:12" ht="15.75" customHeight="1" thickBot="1">
      <c r="A41" s="694"/>
      <c r="B41" s="685"/>
      <c r="C41" s="685"/>
      <c r="D41" s="685"/>
      <c r="E41" s="685"/>
      <c r="F41" s="686"/>
      <c r="G41" s="504"/>
      <c r="H41" s="682"/>
      <c r="I41" s="500"/>
      <c r="J41" s="468"/>
      <c r="K41" s="683"/>
      <c r="L41" s="500"/>
    </row>
    <row r="42" spans="1:17" ht="15.75" customHeight="1">
      <c r="A42"/>
      <c r="B42"/>
      <c r="C42"/>
      <c r="D42"/>
      <c r="E42"/>
      <c r="F42"/>
      <c r="G42"/>
      <c r="H42"/>
      <c r="I42"/>
      <c r="J42"/>
      <c r="K42"/>
      <c r="L42"/>
      <c r="M42"/>
      <c r="N42"/>
      <c r="O42"/>
      <c r="P42"/>
      <c r="Q42"/>
    </row>
    <row r="43" spans="1:17" ht="15.75" customHeight="1">
      <c r="A43"/>
      <c r="B43"/>
      <c r="C43"/>
      <c r="D43"/>
      <c r="E43"/>
      <c r="F43"/>
      <c r="G43"/>
      <c r="H43"/>
      <c r="I43"/>
      <c r="J43"/>
      <c r="K43"/>
      <c r="L43"/>
      <c r="M43"/>
      <c r="N43"/>
      <c r="O43"/>
      <c r="P43"/>
      <c r="Q43"/>
    </row>
    <row r="44" spans="1:17" ht="15.75" customHeight="1">
      <c r="A44"/>
      <c r="B44"/>
      <c r="C44"/>
      <c r="D44"/>
      <c r="E44"/>
      <c r="F44"/>
      <c r="G44"/>
      <c r="H44"/>
      <c r="I44"/>
      <c r="J44"/>
      <c r="K44"/>
      <c r="L44"/>
      <c r="M44"/>
      <c r="N44"/>
      <c r="O44"/>
      <c r="P44"/>
      <c r="Q44"/>
    </row>
    <row r="45" spans="1:17" ht="15.75" customHeight="1">
      <c r="A45"/>
      <c r="B45"/>
      <c r="C45"/>
      <c r="D45"/>
      <c r="E45"/>
      <c r="F45"/>
      <c r="G45"/>
      <c r="H45"/>
      <c r="I45"/>
      <c r="J45"/>
      <c r="K45"/>
      <c r="L45"/>
      <c r="M45"/>
      <c r="N45"/>
      <c r="O45"/>
      <c r="P45"/>
      <c r="Q45"/>
    </row>
    <row r="46" spans="1:17" ht="15.75" customHeight="1">
      <c r="A46"/>
      <c r="B46"/>
      <c r="C46"/>
      <c r="D46"/>
      <c r="E46"/>
      <c r="F46"/>
      <c r="G46"/>
      <c r="H46"/>
      <c r="I46"/>
      <c r="J46"/>
      <c r="K46"/>
      <c r="L46"/>
      <c r="M46"/>
      <c r="N46"/>
      <c r="O46"/>
      <c r="P46"/>
      <c r="Q46"/>
    </row>
    <row r="47" spans="1:17" ht="15.75" customHeight="1">
      <c r="A47"/>
      <c r="B47"/>
      <c r="C47"/>
      <c r="D47"/>
      <c r="E47"/>
      <c r="F47"/>
      <c r="G47"/>
      <c r="H47"/>
      <c r="I47"/>
      <c r="J47"/>
      <c r="K47"/>
      <c r="L47"/>
      <c r="M47"/>
      <c r="N47"/>
      <c r="O47"/>
      <c r="P47"/>
      <c r="Q47"/>
    </row>
    <row r="48" spans="1:17" ht="15.75" customHeight="1">
      <c r="A48"/>
      <c r="B48"/>
      <c r="C48"/>
      <c r="D48"/>
      <c r="E48"/>
      <c r="F48"/>
      <c r="G48"/>
      <c r="H48"/>
      <c r="I48"/>
      <c r="J48"/>
      <c r="K48"/>
      <c r="L48"/>
      <c r="M48"/>
      <c r="N48"/>
      <c r="O48"/>
      <c r="P48"/>
      <c r="Q48"/>
    </row>
    <row r="49" spans="1:19" ht="15.75" customHeight="1">
      <c r="A49"/>
      <c r="B49"/>
      <c r="C49"/>
      <c r="D49"/>
      <c r="E49"/>
      <c r="F49"/>
      <c r="G49"/>
      <c r="H49"/>
      <c r="I49"/>
      <c r="J49"/>
      <c r="K49"/>
      <c r="L49"/>
      <c r="M49"/>
      <c r="N49"/>
      <c r="O49"/>
      <c r="P49"/>
      <c r="Q49"/>
      <c r="R49" s="104"/>
      <c r="S49" s="104"/>
    </row>
    <row r="50" spans="1:19" ht="15.75" customHeight="1">
      <c r="A50"/>
      <c r="B50"/>
      <c r="C50"/>
      <c r="D50"/>
      <c r="E50"/>
      <c r="F50"/>
      <c r="G50"/>
      <c r="H50"/>
      <c r="I50"/>
      <c r="J50"/>
      <c r="K50"/>
      <c r="L50"/>
      <c r="M50"/>
      <c r="N50"/>
      <c r="O50"/>
      <c r="P50"/>
      <c r="Q50"/>
      <c r="R50" s="104"/>
      <c r="S50" s="104"/>
    </row>
    <row r="51" spans="1:19" ht="15.75" customHeight="1">
      <c r="A51"/>
      <c r="B51"/>
      <c r="C51"/>
      <c r="D51"/>
      <c r="E51"/>
      <c r="F51"/>
      <c r="G51"/>
      <c r="H51"/>
      <c r="I51"/>
      <c r="J51"/>
      <c r="K51"/>
      <c r="L51"/>
      <c r="M51"/>
      <c r="N51"/>
      <c r="O51"/>
      <c r="P51"/>
      <c r="Q51"/>
      <c r="R51" s="104"/>
      <c r="S51" s="104"/>
    </row>
    <row r="52" spans="1:19" ht="15.75" customHeight="1">
      <c r="A52"/>
      <c r="B52"/>
      <c r="C52"/>
      <c r="D52"/>
      <c r="E52"/>
      <c r="F52"/>
      <c r="G52"/>
      <c r="H52"/>
      <c r="I52"/>
      <c r="J52"/>
      <c r="K52"/>
      <c r="L52"/>
      <c r="M52"/>
      <c r="N52"/>
      <c r="O52"/>
      <c r="P52"/>
      <c r="Q52"/>
      <c r="R52" s="104"/>
      <c r="S52" s="104"/>
    </row>
    <row r="53" spans="1:19" ht="15.75" customHeight="1">
      <c r="A53"/>
      <c r="B53"/>
      <c r="C53"/>
      <c r="D53"/>
      <c r="E53"/>
      <c r="F53"/>
      <c r="G53"/>
      <c r="H53"/>
      <c r="I53"/>
      <c r="J53"/>
      <c r="K53"/>
      <c r="L53"/>
      <c r="M53"/>
      <c r="N53"/>
      <c r="O53"/>
      <c r="P53"/>
      <c r="Q53"/>
      <c r="R53" s="104"/>
      <c r="S53" s="104"/>
    </row>
    <row r="54" spans="1:19" ht="15.75" customHeight="1">
      <c r="A54"/>
      <c r="B54"/>
      <c r="C54"/>
      <c r="D54"/>
      <c r="E54"/>
      <c r="F54"/>
      <c r="G54"/>
      <c r="H54"/>
      <c r="I54"/>
      <c r="J54"/>
      <c r="K54"/>
      <c r="L54"/>
      <c r="M54"/>
      <c r="N54"/>
      <c r="O54"/>
      <c r="P54"/>
      <c r="Q54"/>
      <c r="R54" s="104"/>
      <c r="S54" s="104"/>
    </row>
    <row r="55" spans="1:19" ht="15.75" customHeight="1">
      <c r="A55"/>
      <c r="B55"/>
      <c r="C55"/>
      <c r="D55"/>
      <c r="E55"/>
      <c r="F55"/>
      <c r="G55"/>
      <c r="H55"/>
      <c r="I55"/>
      <c r="J55"/>
      <c r="K55"/>
      <c r="L55"/>
      <c r="M55"/>
      <c r="N55"/>
      <c r="O55"/>
      <c r="P55"/>
      <c r="Q55"/>
      <c r="R55" s="104"/>
      <c r="S55" s="104"/>
    </row>
    <row r="56" spans="1:19" ht="15.75" customHeight="1">
      <c r="A56"/>
      <c r="B56"/>
      <c r="C56"/>
      <c r="D56"/>
      <c r="E56"/>
      <c r="F56"/>
      <c r="G56"/>
      <c r="H56"/>
      <c r="I56"/>
      <c r="J56"/>
      <c r="K56"/>
      <c r="L56"/>
      <c r="M56"/>
      <c r="N56"/>
      <c r="O56"/>
      <c r="P56"/>
      <c r="Q56"/>
      <c r="R56" s="104"/>
      <c r="S56" s="104"/>
    </row>
    <row r="57" spans="1:19" ht="15.75" customHeight="1">
      <c r="A57"/>
      <c r="B57"/>
      <c r="C57"/>
      <c r="D57"/>
      <c r="E57"/>
      <c r="F57"/>
      <c r="G57"/>
      <c r="H57"/>
      <c r="I57"/>
      <c r="J57"/>
      <c r="K57"/>
      <c r="L57"/>
      <c r="M57"/>
      <c r="N57"/>
      <c r="O57"/>
      <c r="P57"/>
      <c r="Q57"/>
      <c r="R57" s="104"/>
      <c r="S57" s="104"/>
    </row>
    <row r="58" spans="1:18" ht="15.75" customHeight="1">
      <c r="A58"/>
      <c r="B58"/>
      <c r="C58"/>
      <c r="D58"/>
      <c r="E58"/>
      <c r="F58"/>
      <c r="G58"/>
      <c r="H58"/>
      <c r="I58"/>
      <c r="J58"/>
      <c r="K58"/>
      <c r="L58"/>
      <c r="M58"/>
      <c r="N58"/>
      <c r="O58"/>
      <c r="P58"/>
      <c r="Q58"/>
      <c r="R58" s="104"/>
    </row>
    <row r="59" spans="1:18" ht="15.75" customHeight="1">
      <c r="A59"/>
      <c r="B59"/>
      <c r="C59"/>
      <c r="D59"/>
      <c r="E59"/>
      <c r="F59"/>
      <c r="G59"/>
      <c r="H59"/>
      <c r="I59"/>
      <c r="J59"/>
      <c r="K59"/>
      <c r="L59"/>
      <c r="M59"/>
      <c r="N59"/>
      <c r="O59"/>
      <c r="P59"/>
      <c r="Q59"/>
      <c r="R59" s="104"/>
    </row>
    <row r="60" spans="1:18" ht="15.75" customHeight="1">
      <c r="A60"/>
      <c r="B60"/>
      <c r="C60"/>
      <c r="D60"/>
      <c r="E60"/>
      <c r="F60"/>
      <c r="G60"/>
      <c r="H60"/>
      <c r="I60"/>
      <c r="J60"/>
      <c r="K60"/>
      <c r="L60"/>
      <c r="M60"/>
      <c r="N60"/>
      <c r="O60"/>
      <c r="P60"/>
      <c r="Q60"/>
      <c r="R60" s="104"/>
    </row>
    <row r="61" spans="1:18" ht="15.75" customHeight="1">
      <c r="A61"/>
      <c r="B61"/>
      <c r="C61"/>
      <c r="D61"/>
      <c r="E61"/>
      <c r="F61"/>
      <c r="G61"/>
      <c r="H61"/>
      <c r="I61"/>
      <c r="J61"/>
      <c r="K61"/>
      <c r="L61"/>
      <c r="M61"/>
      <c r="N61"/>
      <c r="O61"/>
      <c r="P61"/>
      <c r="Q61"/>
      <c r="R61" s="104"/>
    </row>
    <row r="62" spans="1:17" ht="15.75" customHeight="1">
      <c r="A62"/>
      <c r="B62"/>
      <c r="C62"/>
      <c r="D62"/>
      <c r="E62"/>
      <c r="F62"/>
      <c r="G62"/>
      <c r="H62"/>
      <c r="I62"/>
      <c r="J62"/>
      <c r="K62"/>
      <c r="L62"/>
      <c r="M62"/>
      <c r="N62"/>
      <c r="O62"/>
      <c r="P62"/>
      <c r="Q62"/>
    </row>
    <row r="63" spans="1:17" ht="15.75" customHeight="1">
      <c r="A63"/>
      <c r="B63"/>
      <c r="C63"/>
      <c r="D63"/>
      <c r="E63"/>
      <c r="F63"/>
      <c r="G63"/>
      <c r="H63"/>
      <c r="I63"/>
      <c r="J63"/>
      <c r="K63"/>
      <c r="L63"/>
      <c r="M63"/>
      <c r="N63"/>
      <c r="O63"/>
      <c r="P63"/>
      <c r="Q63"/>
    </row>
    <row r="64" spans="1:17" ht="15.75" customHeight="1">
      <c r="A64"/>
      <c r="B64"/>
      <c r="C64"/>
      <c r="D64"/>
      <c r="E64"/>
      <c r="F64"/>
      <c r="G64"/>
      <c r="H64"/>
      <c r="I64"/>
      <c r="J64"/>
      <c r="K64"/>
      <c r="L64"/>
      <c r="M64"/>
      <c r="N64"/>
      <c r="O64"/>
      <c r="P64"/>
      <c r="Q64"/>
    </row>
    <row r="65" spans="1:17" ht="15.75" customHeight="1">
      <c r="A65"/>
      <c r="B65"/>
      <c r="C65"/>
      <c r="D65"/>
      <c r="E65"/>
      <c r="F65"/>
      <c r="G65"/>
      <c r="H65"/>
      <c r="I65"/>
      <c r="J65"/>
      <c r="K65"/>
      <c r="L65"/>
      <c r="M65"/>
      <c r="N65"/>
      <c r="O65"/>
      <c r="P65"/>
      <c r="Q65"/>
    </row>
    <row r="66" spans="1:17" ht="15.75" customHeight="1">
      <c r="A66"/>
      <c r="B66"/>
      <c r="C66"/>
      <c r="D66"/>
      <c r="E66"/>
      <c r="F66"/>
      <c r="G66"/>
      <c r="H66"/>
      <c r="I66"/>
      <c r="J66"/>
      <c r="K66"/>
      <c r="L66"/>
      <c r="M66"/>
      <c r="N66"/>
      <c r="O66"/>
      <c r="P66"/>
      <c r="Q66"/>
    </row>
    <row r="67" spans="1:17" ht="15.75" customHeight="1">
      <c r="A67"/>
      <c r="B67"/>
      <c r="C67"/>
      <c r="D67"/>
      <c r="E67"/>
      <c r="F67"/>
      <c r="G67"/>
      <c r="H67"/>
      <c r="I67"/>
      <c r="J67"/>
      <c r="K67"/>
      <c r="L67"/>
      <c r="M67"/>
      <c r="N67"/>
      <c r="O67"/>
      <c r="P67"/>
      <c r="Q67"/>
    </row>
    <row r="68" spans="1:17" ht="15.75" customHeight="1">
      <c r="A68"/>
      <c r="B68"/>
      <c r="C68"/>
      <c r="D68"/>
      <c r="E68"/>
      <c r="F68"/>
      <c r="G68"/>
      <c r="H68"/>
      <c r="I68"/>
      <c r="J68"/>
      <c r="K68"/>
      <c r="L68"/>
      <c r="M68"/>
      <c r="N68"/>
      <c r="O68"/>
      <c r="P68"/>
      <c r="Q68"/>
    </row>
    <row r="69" spans="1:17" ht="15.75" customHeight="1">
      <c r="A69"/>
      <c r="B69"/>
      <c r="C69"/>
      <c r="D69"/>
      <c r="E69"/>
      <c r="F69"/>
      <c r="G69"/>
      <c r="H69"/>
      <c r="I69"/>
      <c r="J69"/>
      <c r="K69"/>
      <c r="L69"/>
      <c r="M69"/>
      <c r="N69"/>
      <c r="O69"/>
      <c r="P69"/>
      <c r="Q69"/>
    </row>
    <row r="70" spans="1:17" ht="15.75" customHeight="1">
      <c r="A70"/>
      <c r="B70"/>
      <c r="C70"/>
      <c r="D70"/>
      <c r="E70"/>
      <c r="F70"/>
      <c r="G70"/>
      <c r="H70"/>
      <c r="I70"/>
      <c r="J70"/>
      <c r="K70"/>
      <c r="L70"/>
      <c r="M70"/>
      <c r="N70"/>
      <c r="O70"/>
      <c r="P70"/>
      <c r="Q70"/>
    </row>
    <row r="71" spans="1:17" ht="15.75" customHeight="1">
      <c r="A71"/>
      <c r="B71"/>
      <c r="C71"/>
      <c r="D71"/>
      <c r="E71"/>
      <c r="F71"/>
      <c r="G71"/>
      <c r="H71"/>
      <c r="I71"/>
      <c r="J71"/>
      <c r="K71"/>
      <c r="L71"/>
      <c r="M71"/>
      <c r="N71"/>
      <c r="O71"/>
      <c r="P71"/>
      <c r="Q71"/>
    </row>
    <row r="72" spans="1:17" ht="15.75" customHeight="1">
      <c r="A72"/>
      <c r="B72"/>
      <c r="C72"/>
      <c r="D72"/>
      <c r="E72"/>
      <c r="F72"/>
      <c r="G72"/>
      <c r="H72"/>
      <c r="I72"/>
      <c r="J72"/>
      <c r="K72"/>
      <c r="L72"/>
      <c r="M72"/>
      <c r="N72"/>
      <c r="O72"/>
      <c r="P72"/>
      <c r="Q72"/>
    </row>
    <row r="73" spans="1:17" ht="15.75" customHeight="1">
      <c r="A73"/>
      <c r="B73"/>
      <c r="C73"/>
      <c r="D73"/>
      <c r="E73"/>
      <c r="F73"/>
      <c r="G73"/>
      <c r="H73"/>
      <c r="I73"/>
      <c r="J73"/>
      <c r="K73"/>
      <c r="L73"/>
      <c r="M73"/>
      <c r="N73"/>
      <c r="O73"/>
      <c r="P73"/>
      <c r="Q73"/>
    </row>
    <row r="74" spans="1:17" ht="15.75" customHeight="1">
      <c r="A74"/>
      <c r="B74"/>
      <c r="C74"/>
      <c r="D74"/>
      <c r="E74"/>
      <c r="F74"/>
      <c r="G74"/>
      <c r="H74"/>
      <c r="I74"/>
      <c r="J74"/>
      <c r="K74"/>
      <c r="L74"/>
      <c r="M74"/>
      <c r="N74"/>
      <c r="O74"/>
      <c r="P74"/>
      <c r="Q74"/>
    </row>
    <row r="75" spans="1:17" ht="15.75" customHeight="1">
      <c r="A75"/>
      <c r="B75"/>
      <c r="C75"/>
      <c r="D75"/>
      <c r="E75"/>
      <c r="F75"/>
      <c r="G75"/>
      <c r="H75"/>
      <c r="I75"/>
      <c r="J75"/>
      <c r="K75"/>
      <c r="L75"/>
      <c r="M75"/>
      <c r="N75"/>
      <c r="O75"/>
      <c r="P75"/>
      <c r="Q75"/>
    </row>
    <row r="76" spans="1:17" ht="15.75" customHeight="1">
      <c r="A76"/>
      <c r="B76"/>
      <c r="C76"/>
      <c r="D76"/>
      <c r="E76"/>
      <c r="F76"/>
      <c r="G76"/>
      <c r="H76"/>
      <c r="I76"/>
      <c r="J76"/>
      <c r="K76"/>
      <c r="L76"/>
      <c r="M76"/>
      <c r="N76"/>
      <c r="O76"/>
      <c r="P76"/>
      <c r="Q76"/>
    </row>
    <row r="77" spans="1:17" ht="15.75" customHeight="1">
      <c r="A77"/>
      <c r="B77"/>
      <c r="C77"/>
      <c r="D77"/>
      <c r="E77"/>
      <c r="F77"/>
      <c r="G77"/>
      <c r="H77"/>
      <c r="I77"/>
      <c r="J77"/>
      <c r="K77"/>
      <c r="L77"/>
      <c r="M77"/>
      <c r="N77"/>
      <c r="O77"/>
      <c r="P77"/>
      <c r="Q77"/>
    </row>
    <row r="78" spans="1:17" ht="15.75" customHeight="1">
      <c r="A78"/>
      <c r="B78"/>
      <c r="C78"/>
      <c r="D78"/>
      <c r="E78"/>
      <c r="F78"/>
      <c r="G78"/>
      <c r="H78"/>
      <c r="I78"/>
      <c r="J78"/>
      <c r="K78"/>
      <c r="L78"/>
      <c r="M78"/>
      <c r="N78"/>
      <c r="O78"/>
      <c r="P78"/>
      <c r="Q78"/>
    </row>
    <row r="79" spans="1:17" ht="15.75" customHeight="1">
      <c r="A79"/>
      <c r="B79"/>
      <c r="C79"/>
      <c r="D79"/>
      <c r="E79"/>
      <c r="F79"/>
      <c r="G79"/>
      <c r="H79"/>
      <c r="I79"/>
      <c r="J79"/>
      <c r="K79"/>
      <c r="L79"/>
      <c r="M79"/>
      <c r="N79"/>
      <c r="O79"/>
      <c r="P79"/>
      <c r="Q79"/>
    </row>
    <row r="80" spans="1:17" ht="15.75" customHeight="1">
      <c r="A80"/>
      <c r="B80"/>
      <c r="C80"/>
      <c r="D80"/>
      <c r="E80"/>
      <c r="F80"/>
      <c r="G80"/>
      <c r="H80"/>
      <c r="I80"/>
      <c r="J80"/>
      <c r="K80"/>
      <c r="L80"/>
      <c r="M80"/>
      <c r="N80"/>
      <c r="O80"/>
      <c r="P80"/>
      <c r="Q80"/>
    </row>
    <row r="81" spans="1:17" ht="15.75" customHeight="1">
      <c r="A81"/>
      <c r="B81"/>
      <c r="C81"/>
      <c r="D81"/>
      <c r="E81"/>
      <c r="F81"/>
      <c r="G81"/>
      <c r="H81"/>
      <c r="I81"/>
      <c r="J81"/>
      <c r="K81"/>
      <c r="L81"/>
      <c r="M81"/>
      <c r="N81"/>
      <c r="O81"/>
      <c r="P81"/>
      <c r="Q81"/>
    </row>
    <row r="82" spans="1:17" ht="15.75" customHeight="1">
      <c r="A82"/>
      <c r="B82"/>
      <c r="C82"/>
      <c r="D82"/>
      <c r="E82"/>
      <c r="F82"/>
      <c r="G82"/>
      <c r="H82"/>
      <c r="I82"/>
      <c r="J82"/>
      <c r="K82"/>
      <c r="L82"/>
      <c r="M82"/>
      <c r="N82"/>
      <c r="O82"/>
      <c r="P82"/>
      <c r="Q82"/>
    </row>
    <row r="83" spans="1:17" ht="15.75" customHeight="1">
      <c r="A83"/>
      <c r="B83"/>
      <c r="C83"/>
      <c r="D83"/>
      <c r="E83"/>
      <c r="F83"/>
      <c r="G83"/>
      <c r="H83"/>
      <c r="I83"/>
      <c r="J83"/>
      <c r="K83"/>
      <c r="L83"/>
      <c r="M83"/>
      <c r="N83"/>
      <c r="O83"/>
      <c r="P83"/>
      <c r="Q83"/>
    </row>
    <row r="84" spans="1:17" ht="15.75" customHeight="1">
      <c r="A84"/>
      <c r="B84"/>
      <c r="C84"/>
      <c r="D84"/>
      <c r="E84"/>
      <c r="F84"/>
      <c r="G84"/>
      <c r="H84"/>
      <c r="I84"/>
      <c r="J84"/>
      <c r="K84"/>
      <c r="L84"/>
      <c r="M84"/>
      <c r="N84"/>
      <c r="O84"/>
      <c r="P84"/>
      <c r="Q84"/>
    </row>
    <row r="85" spans="1:17" ht="15.75" customHeight="1">
      <c r="A85"/>
      <c r="B85"/>
      <c r="C85"/>
      <c r="D85"/>
      <c r="E85"/>
      <c r="F85"/>
      <c r="G85"/>
      <c r="H85"/>
      <c r="I85"/>
      <c r="J85"/>
      <c r="K85"/>
      <c r="L85"/>
      <c r="M85"/>
      <c r="N85"/>
      <c r="O85"/>
      <c r="P85"/>
      <c r="Q85"/>
    </row>
    <row r="86" spans="1:17" ht="15.75" customHeight="1">
      <c r="A86"/>
      <c r="B86"/>
      <c r="C86"/>
      <c r="D86"/>
      <c r="E86"/>
      <c r="F86"/>
      <c r="G86"/>
      <c r="H86"/>
      <c r="I86"/>
      <c r="J86"/>
      <c r="K86"/>
      <c r="L86"/>
      <c r="M86"/>
      <c r="N86"/>
      <c r="O86"/>
      <c r="P86"/>
      <c r="Q86"/>
    </row>
    <row r="87" spans="1:17" ht="15.75" customHeight="1">
      <c r="A87"/>
      <c r="B87"/>
      <c r="C87"/>
      <c r="D87"/>
      <c r="E87"/>
      <c r="F87"/>
      <c r="G87"/>
      <c r="H87"/>
      <c r="I87"/>
      <c r="J87"/>
      <c r="K87"/>
      <c r="L87"/>
      <c r="M87"/>
      <c r="N87"/>
      <c r="O87"/>
      <c r="P87"/>
      <c r="Q87"/>
    </row>
    <row r="88" spans="1:17" ht="15.75" customHeight="1">
      <c r="A88"/>
      <c r="B88"/>
      <c r="C88"/>
      <c r="D88"/>
      <c r="E88"/>
      <c r="F88"/>
      <c r="G88"/>
      <c r="H88"/>
      <c r="I88"/>
      <c r="J88"/>
      <c r="K88"/>
      <c r="L88"/>
      <c r="M88"/>
      <c r="N88"/>
      <c r="O88"/>
      <c r="P88"/>
      <c r="Q88"/>
    </row>
    <row r="89" spans="1:17" ht="15.75" customHeight="1">
      <c r="A89"/>
      <c r="B89"/>
      <c r="C89"/>
      <c r="D89"/>
      <c r="E89"/>
      <c r="F89"/>
      <c r="G89"/>
      <c r="H89"/>
      <c r="I89"/>
      <c r="J89"/>
      <c r="K89"/>
      <c r="L89"/>
      <c r="M89"/>
      <c r="N89"/>
      <c r="O89"/>
      <c r="P89"/>
      <c r="Q89"/>
    </row>
    <row r="90" spans="1:17" ht="15.75" customHeight="1">
      <c r="A90"/>
      <c r="B90"/>
      <c r="C90"/>
      <c r="D90"/>
      <c r="E90"/>
      <c r="F90"/>
      <c r="G90"/>
      <c r="H90"/>
      <c r="I90"/>
      <c r="J90"/>
      <c r="K90"/>
      <c r="L90"/>
      <c r="M90"/>
      <c r="N90"/>
      <c r="O90"/>
      <c r="P90"/>
      <c r="Q90"/>
    </row>
    <row r="91" spans="1:17" ht="15.75" customHeight="1">
      <c r="A91"/>
      <c r="B91"/>
      <c r="C91"/>
      <c r="D91"/>
      <c r="E91"/>
      <c r="F91"/>
      <c r="G91"/>
      <c r="H91"/>
      <c r="I91"/>
      <c r="J91"/>
      <c r="K91"/>
      <c r="L91"/>
      <c r="M91"/>
      <c r="N91"/>
      <c r="O91"/>
      <c r="P91"/>
      <c r="Q91"/>
    </row>
    <row r="92" spans="1:17" ht="15.75" customHeight="1">
      <c r="A92"/>
      <c r="B92"/>
      <c r="C92"/>
      <c r="D92"/>
      <c r="E92"/>
      <c r="F92"/>
      <c r="G92"/>
      <c r="H92"/>
      <c r="I92"/>
      <c r="J92"/>
      <c r="K92"/>
      <c r="L92"/>
      <c r="M92"/>
      <c r="N92"/>
      <c r="O92"/>
      <c r="P92"/>
      <c r="Q92"/>
    </row>
    <row r="93" spans="4:8" ht="15.75" customHeight="1">
      <c r="D93" s="6"/>
      <c r="F93" s="11"/>
      <c r="H93" s="12"/>
    </row>
    <row r="94" spans="1:4" ht="15.75" customHeight="1">
      <c r="A94" s="4"/>
      <c r="D94" s="8"/>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5.xml><?xml version="1.0" encoding="utf-8"?>
<worksheet xmlns="http://schemas.openxmlformats.org/spreadsheetml/2006/main" xmlns:r="http://schemas.openxmlformats.org/officeDocument/2006/relationships">
  <sheetPr codeName="Sheet24" transitionEvaluation="1"/>
  <dimension ref="A1:G108"/>
  <sheetViews>
    <sheetView view="pageBreakPreview" zoomScale="85" zoomScaleNormal="85" zoomScaleSheetLayoutView="85" zoomScalePageLayoutView="0" workbookViewId="0" topLeftCell="A1">
      <selection activeCell="F103" sqref="F103"/>
    </sheetView>
  </sheetViews>
  <sheetFormatPr defaultColWidth="11.7109375" defaultRowHeight="15.75" customHeight="1"/>
  <cols>
    <col min="1" max="1" width="20.7109375" style="3" customWidth="1"/>
    <col min="2" max="2" width="44.8515625" style="3" customWidth="1"/>
    <col min="3" max="3" width="18.7109375" style="3" customWidth="1"/>
    <col min="4" max="4" width="18.574218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373</v>
      </c>
    </row>
    <row r="2" spans="1:7" ht="15.75" customHeight="1">
      <c r="A2" s="140" t="str">
        <f>InputB!$A$2</f>
        <v>Group NAIC #:</v>
      </c>
      <c r="B2" s="137" t="str">
        <f>InputB!$C$2</f>
        <v>enter group # here</v>
      </c>
      <c r="C2"/>
      <c r="D2"/>
      <c r="E2"/>
      <c r="F2"/>
      <c r="G2" s="139" t="s">
        <v>363</v>
      </c>
    </row>
    <row r="3" spans="1:6" ht="15.75" customHeight="1">
      <c r="A3" s="197" t="str">
        <f>InputB!$A$3</f>
        <v>Year Filed:</v>
      </c>
      <c r="B3" s="141">
        <f>InputB!$C$3</f>
        <v>2024</v>
      </c>
      <c r="C3"/>
      <c r="D3"/>
      <c r="E3"/>
      <c r="F3"/>
    </row>
    <row r="4" ht="15.75" customHeight="1" thickBot="1"/>
    <row r="5" spans="1:7" ht="15.75" customHeight="1">
      <c r="A5" s="198"/>
      <c r="B5" s="199"/>
      <c r="C5" s="384" t="str">
        <f>Exh3B!$C5</f>
        <v>Part 1  -  Countrywide</v>
      </c>
      <c r="D5" s="200"/>
      <c r="E5" s="199"/>
      <c r="F5" s="384" t="str">
        <f>Exh3B!$F5</f>
        <v>Part 2  -  New Jersey</v>
      </c>
      <c r="G5" s="201"/>
    </row>
    <row r="6" spans="1:7" ht="15.75" customHeight="1">
      <c r="A6" s="206"/>
      <c r="B6" s="209" t="str">
        <f>Exh3B!$B6</f>
        <v>Calendar Year 2023</v>
      </c>
      <c r="C6" s="189" t="str">
        <f>Exh3B!$C6</f>
        <v>Col (1)</v>
      </c>
      <c r="D6" s="189" t="str">
        <f>Exh3B!$D6</f>
        <v>Col (2)</v>
      </c>
      <c r="E6" s="204"/>
      <c r="F6" s="189" t="str">
        <f>Exh3B!$F6</f>
        <v>Col (3)</v>
      </c>
      <c r="G6" s="207" t="str">
        <f>Exh3B!$G6</f>
        <v>Col (4)</v>
      </c>
    </row>
    <row r="7" spans="1:7" ht="15.75" customHeight="1">
      <c r="A7" s="187" t="str">
        <f>Exh3B!$A7</f>
        <v>Item 1</v>
      </c>
      <c r="B7" s="204" t="str">
        <f>Exh3B!$B7</f>
        <v>Direct Written Premium</v>
      </c>
      <c r="C7" s="90">
        <f>Exh3B!$C7</f>
        <v>0</v>
      </c>
      <c r="D7" s="71" t="s">
        <v>59</v>
      </c>
      <c r="E7" s="65"/>
      <c r="F7" s="90">
        <f>Exh1A!$D$11-Exh1A!$D$12</f>
        <v>0</v>
      </c>
      <c r="G7" s="73">
        <f>Exh3B!$G7</f>
      </c>
    </row>
    <row r="8" spans="1:7" ht="15.75" customHeight="1">
      <c r="A8" s="187" t="str">
        <f>Exh3B!$A8</f>
        <v>Item 2</v>
      </c>
      <c r="B8" s="204" t="str">
        <f>Exh3B!$B8</f>
        <v>Direct Earned Premium</v>
      </c>
      <c r="C8" s="62">
        <f>Exh3B!$C8</f>
        <v>0</v>
      </c>
      <c r="D8" s="58">
        <f>Exh3B!$D8</f>
      </c>
      <c r="E8" s="47"/>
      <c r="F8" s="69">
        <f>Exh1A!$E$11-Exh1A!$E$12</f>
        <v>0</v>
      </c>
      <c r="G8" s="59">
        <f>Exh3B!$G8</f>
      </c>
    </row>
    <row r="9" spans="1:7" ht="15.75" customHeight="1">
      <c r="A9" s="187" t="str">
        <f>Exh3B!$A9</f>
        <v>Item 3</v>
      </c>
      <c r="B9" s="204" t="str">
        <f>Exh3B!$B9</f>
        <v>Direct Other Acquisition Expense</v>
      </c>
      <c r="C9" s="62">
        <f>Exh3B!$C9</f>
        <v>0</v>
      </c>
      <c r="D9" s="55">
        <f>IF(C8=0,0,C9/C8)</f>
        <v>0</v>
      </c>
      <c r="E9" s="65"/>
      <c r="F9" s="69">
        <f>F8*G9</f>
        <v>0</v>
      </c>
      <c r="G9" s="74">
        <f>D9</f>
        <v>0</v>
      </c>
    </row>
    <row r="10" spans="1:7" ht="15.75" customHeight="1">
      <c r="A10" s="187" t="str">
        <f>Exh3B!$A10</f>
        <v>Item 4</v>
      </c>
      <c r="B10" s="204" t="str">
        <f>Exh3B!$B10</f>
        <v>Direct General Expense</v>
      </c>
      <c r="C10" s="62">
        <f>Exh3B!$C10</f>
        <v>0</v>
      </c>
      <c r="D10" s="55">
        <f>IF(C8=0,0,C10/C8)</f>
        <v>0</v>
      </c>
      <c r="E10" s="65"/>
      <c r="F10" s="69">
        <f>F8*G10</f>
        <v>0</v>
      </c>
      <c r="G10" s="74">
        <f>D10</f>
        <v>0</v>
      </c>
    </row>
    <row r="11" spans="1:7" ht="15.75" customHeight="1">
      <c r="A11" s="187" t="str">
        <f>Exh3B!$A11</f>
        <v>Item 5</v>
      </c>
      <c r="B11" s="204" t="str">
        <f>Exh3B!$B11</f>
        <v>Direct Commission &amp; Brokerage</v>
      </c>
      <c r="C11" s="62">
        <f>Exh3B!$C11</f>
        <v>0</v>
      </c>
      <c r="D11" s="55">
        <f>IF(C7=0,0,C11/C7)</f>
        <v>0</v>
      </c>
      <c r="E11" s="47"/>
      <c r="F11" s="62">
        <f>InputA!$E$89</f>
        <v>0</v>
      </c>
      <c r="G11" s="74">
        <f>IF(F7=0,0,F11/F7)</f>
        <v>0</v>
      </c>
    </row>
    <row r="12" spans="1:7" ht="15.75" customHeight="1">
      <c r="A12" s="187" t="str">
        <f>Exh3B!$A12</f>
        <v>Item 6a</v>
      </c>
      <c r="B12" s="204" t="str">
        <f>Exh3B!$B12</f>
        <v>Expenses subject to Capping (Items 3-5)</v>
      </c>
      <c r="C12" s="154" t="s">
        <v>70</v>
      </c>
      <c r="D12" s="385" t="s">
        <v>70</v>
      </c>
      <c r="E12" s="65"/>
      <c r="F12" s="69">
        <f>SUM(F9:F11)</f>
        <v>0</v>
      </c>
      <c r="G12" s="74">
        <f>SUM(G9:G11)</f>
        <v>0</v>
      </c>
    </row>
    <row r="13" spans="1:7" ht="15.75" customHeight="1">
      <c r="A13" s="187" t="str">
        <f>Exh3B!$A13</f>
        <v>Item 6b</v>
      </c>
      <c r="B13" s="204" t="str">
        <f>Exh3B!$B13</f>
        <v>Allowable Capped Expense</v>
      </c>
      <c r="C13" s="154" t="s">
        <v>70</v>
      </c>
      <c r="D13" s="385" t="s">
        <v>70</v>
      </c>
      <c r="E13" s="65"/>
      <c r="F13" s="69">
        <f>IF(G12=0,0,(G13/G12)*F12)</f>
        <v>0</v>
      </c>
      <c r="G13" s="74">
        <f>IF(InsMarketMethod="D",InputTOTAL!$F$11,IF(InsMarketMethod="C",InputTOTAL!$G$11,InputTOTAL!$H$11))</f>
        <v>0.272</v>
      </c>
    </row>
    <row r="14" spans="1:7" ht="15.75" customHeight="1">
      <c r="A14" s="187" t="str">
        <f>Exh3B!$A14</f>
        <v>Item 6</v>
      </c>
      <c r="B14" s="204" t="str">
        <f>Exh3B!$B14</f>
        <v>Additional Allowable Efficiency Expense</v>
      </c>
      <c r="C14" s="154" t="s">
        <v>70</v>
      </c>
      <c r="D14" s="385" t="s">
        <v>70</v>
      </c>
      <c r="E14" s="65"/>
      <c r="F14" s="69">
        <f>MAX(F13-F12,0)</f>
        <v>0</v>
      </c>
      <c r="G14" s="74">
        <f>MAX(G13-G12,0)</f>
        <v>0.272</v>
      </c>
    </row>
    <row r="15" spans="1:7" ht="15.75" customHeight="1">
      <c r="A15" s="187" t="str">
        <f>Exh3B!$A15</f>
        <v>Item 7</v>
      </c>
      <c r="B15" s="204" t="str">
        <f>Exh3B!$B15</f>
        <v>Direct Taxes, Licenses &amp; Fees</v>
      </c>
      <c r="C15" s="62">
        <f>Exh3B!$C15</f>
        <v>0</v>
      </c>
      <c r="D15" s="55">
        <f>IF(C7=0,0,C15/C7)</f>
        <v>0</v>
      </c>
      <c r="E15" s="47"/>
      <c r="F15" s="62">
        <f>InputA!$E$90</f>
        <v>0</v>
      </c>
      <c r="G15" s="74">
        <f>IF(F7=0,0,F15/F7)</f>
        <v>0</v>
      </c>
    </row>
    <row r="16" spans="1:7" ht="15.75" customHeight="1">
      <c r="A16" s="187" t="str">
        <f>Exh3B!$A16</f>
        <v>Item 8</v>
      </c>
      <c r="B16" s="204" t="str">
        <f>Exh3B!$B16</f>
        <v>Direct Prepaid Expenses</v>
      </c>
      <c r="C16" s="418">
        <f>IF(SUM(C9:C11)=0,0,0.5*(C9+C10)+C14*(C9+C10)/(C9+C10+C11)+C11+C15)</f>
        <v>0</v>
      </c>
      <c r="D16" s="55">
        <f>IF(C8=0,0,C16/C8)</f>
        <v>0</v>
      </c>
      <c r="E16" s="65"/>
      <c r="F16" s="418">
        <f>IF(SUM(F9:F11)=0,0,0.5*(F9+F10)+F14*(F9+F10)/(F9+F10+F11)+F11+F15)</f>
        <v>0</v>
      </c>
      <c r="G16" s="74">
        <f>IF(F8=0,0,F16/F8)</f>
        <v>0</v>
      </c>
    </row>
    <row r="17" spans="1:7" ht="15.75" customHeight="1">
      <c r="A17" s="187" t="str">
        <f>Exh3B!$A17</f>
        <v>Item 9</v>
      </c>
      <c r="B17" s="204" t="str">
        <f>Exh3B!$B17</f>
        <v>Net Catastrophe Reinsurance</v>
      </c>
      <c r="C17" s="62">
        <f>Exh3B!$C17</f>
        <v>0</v>
      </c>
      <c r="D17" s="55">
        <f>IF(C7=0,0,C17/C7)</f>
        <v>0</v>
      </c>
      <c r="E17" s="65"/>
      <c r="F17" s="418">
        <f>G17*F7</f>
        <v>0</v>
      </c>
      <c r="G17" s="74">
        <f>D17</f>
        <v>0</v>
      </c>
    </row>
    <row r="18" spans="1:7" ht="15.75" customHeight="1">
      <c r="A18" s="187" t="str">
        <f>Exh3B!$A18</f>
        <v>Item 10</v>
      </c>
      <c r="B18" s="204" t="str">
        <f>Exh3B!$B18</f>
        <v>LAD Fees Paid</v>
      </c>
      <c r="C18" s="69" t="s">
        <v>70</v>
      </c>
      <c r="D18" s="385" t="s">
        <v>70</v>
      </c>
      <c r="E18" s="47"/>
      <c r="F18" s="62">
        <f>InputA!$E$92</f>
        <v>0</v>
      </c>
      <c r="G18" s="74">
        <f>IF(F7=0,0,F18/F7)</f>
        <v>0</v>
      </c>
    </row>
    <row r="19" spans="1:7" ht="15.75" customHeight="1">
      <c r="A19" s="206"/>
      <c r="B19" s="204"/>
      <c r="C19" s="204"/>
      <c r="D19" s="204"/>
      <c r="E19" s="204"/>
      <c r="F19" s="204"/>
      <c r="G19" s="210"/>
    </row>
    <row r="20" spans="1:7" ht="15.75" customHeight="1">
      <c r="A20" s="202"/>
      <c r="B20" s="204"/>
      <c r="C20" s="390" t="str">
        <f>Exh3B!$C20</f>
        <v>Part 1  -  Countrywide</v>
      </c>
      <c r="D20" s="203"/>
      <c r="E20" s="204"/>
      <c r="F20" s="390" t="str">
        <f>Exh3B!$F20</f>
        <v>Part 2  -  New Jersey</v>
      </c>
      <c r="G20" s="205"/>
    </row>
    <row r="21" spans="1:7" ht="15.75" customHeight="1">
      <c r="A21" s="206"/>
      <c r="B21" s="209" t="str">
        <f>Exh3B!$B21</f>
        <v>Calendar Year 2022</v>
      </c>
      <c r="C21" s="189" t="str">
        <f>Exh3B!$C21</f>
        <v>Col (1)</v>
      </c>
      <c r="D21" s="189" t="str">
        <f>Exh3B!$D21</f>
        <v>Col (2)</v>
      </c>
      <c r="E21" s="204"/>
      <c r="F21" s="189" t="str">
        <f>Exh3B!$F21</f>
        <v>Col (3)</v>
      </c>
      <c r="G21" s="207" t="str">
        <f>Exh3B!$G21</f>
        <v>Col (4)</v>
      </c>
    </row>
    <row r="22" spans="1:7" ht="15.75" customHeight="1">
      <c r="A22" s="187" t="str">
        <f>Exh3B!$A22</f>
        <v>Item 1</v>
      </c>
      <c r="B22" s="204" t="str">
        <f>Exh3B!$B22</f>
        <v>Direct Written Premium</v>
      </c>
      <c r="C22" s="90">
        <f>Exh3B!$C22</f>
        <v>0</v>
      </c>
      <c r="D22" s="71" t="s">
        <v>59</v>
      </c>
      <c r="E22" s="65"/>
      <c r="F22" s="90">
        <f>Exh1A!$D$23-Exh1A!$D$24</f>
        <v>0</v>
      </c>
      <c r="G22" s="73" t="s">
        <v>59</v>
      </c>
    </row>
    <row r="23" spans="1:7" ht="15.75" customHeight="1">
      <c r="A23" s="187" t="str">
        <f>Exh3B!$A23</f>
        <v>Item 2</v>
      </c>
      <c r="B23" s="204" t="str">
        <f>Exh3B!$B23</f>
        <v>Direct Earned Premium</v>
      </c>
      <c r="C23" s="62">
        <f>Exh3B!$C23</f>
        <v>0</v>
      </c>
      <c r="D23" s="58">
        <f>Exh3B!$D23</f>
      </c>
      <c r="E23" s="204"/>
      <c r="F23" s="69">
        <f>Exh1A!$E$23-Exh1A!$E$24</f>
        <v>0</v>
      </c>
      <c r="G23" s="59">
        <f>Exh3B!$G23</f>
      </c>
    </row>
    <row r="24" spans="1:7" ht="15.75" customHeight="1">
      <c r="A24" s="187" t="str">
        <f>Exh3B!$A24</f>
        <v>Item 3</v>
      </c>
      <c r="B24" s="204" t="str">
        <f>Exh3B!$B24</f>
        <v>Direct Other Acquisition Expense</v>
      </c>
      <c r="C24" s="62">
        <f>Exh3B!$C24</f>
        <v>0</v>
      </c>
      <c r="D24" s="55">
        <f>IF(C23=0,0,C24/C23)</f>
        <v>0</v>
      </c>
      <c r="E24" s="65"/>
      <c r="F24" s="69">
        <f>F23*G24</f>
        <v>0</v>
      </c>
      <c r="G24" s="74">
        <f>D24</f>
        <v>0</v>
      </c>
    </row>
    <row r="25" spans="1:7" ht="15.75" customHeight="1">
      <c r="A25" s="187" t="str">
        <f>Exh3B!$A25</f>
        <v>Item 4</v>
      </c>
      <c r="B25" s="204" t="str">
        <f>Exh3B!$B25</f>
        <v>Direct General Expense</v>
      </c>
      <c r="C25" s="62">
        <f>Exh3B!$C25</f>
        <v>0</v>
      </c>
      <c r="D25" s="55">
        <f>IF(C23=0,0,C25/C23)</f>
        <v>0</v>
      </c>
      <c r="E25" s="65"/>
      <c r="F25" s="69">
        <f>F23*G25</f>
        <v>0</v>
      </c>
      <c r="G25" s="74">
        <f>D25</f>
        <v>0</v>
      </c>
    </row>
    <row r="26" spans="1:7" ht="15.75" customHeight="1">
      <c r="A26" s="187" t="str">
        <f>Exh3B!$A26</f>
        <v>Item 5</v>
      </c>
      <c r="B26" s="204" t="str">
        <f>Exh3B!$B26</f>
        <v>Direct Commission &amp; Brokerage</v>
      </c>
      <c r="C26" s="62">
        <f>Exh3B!$C26</f>
        <v>0</v>
      </c>
      <c r="D26" s="55">
        <f>IF(C22=0,0,C26/C22)</f>
        <v>0</v>
      </c>
      <c r="E26" s="204"/>
      <c r="F26" s="62">
        <f>InputA!$F$89</f>
        <v>0</v>
      </c>
      <c r="G26" s="74">
        <f>IF(F22=0,0,F26/F22)</f>
        <v>0</v>
      </c>
    </row>
    <row r="27" spans="1:7" ht="15.75" customHeight="1">
      <c r="A27" s="187" t="str">
        <f>Exh3B!$A27</f>
        <v>Item 6a</v>
      </c>
      <c r="B27" s="204" t="str">
        <f>Exh3B!$B27</f>
        <v>Expenses subject to Capping (Items 3-5)</v>
      </c>
      <c r="C27" s="154" t="s">
        <v>70</v>
      </c>
      <c r="D27" s="385" t="s">
        <v>70</v>
      </c>
      <c r="E27" s="65"/>
      <c r="F27" s="69">
        <f>SUM(F24:F26)</f>
        <v>0</v>
      </c>
      <c r="G27" s="74">
        <f>SUM(G24:G26)</f>
        <v>0</v>
      </c>
    </row>
    <row r="28" spans="1:7" ht="15.75" customHeight="1">
      <c r="A28" s="187" t="str">
        <f>Exh3B!$A28</f>
        <v>Item 6b</v>
      </c>
      <c r="B28" s="204" t="str">
        <f>Exh3B!$B28</f>
        <v>Allowable Capped Expense</v>
      </c>
      <c r="C28" s="154" t="s">
        <v>70</v>
      </c>
      <c r="D28" s="385" t="s">
        <v>70</v>
      </c>
      <c r="E28" s="65"/>
      <c r="F28" s="69">
        <f>IF(G27=0,0,(G28/G27)*F27)</f>
        <v>0</v>
      </c>
      <c r="G28" s="74">
        <f>IF(InsMarketMethod="D",InputTOTAL!$F$11,IF(InsMarketMethod="C",InputTOTAL!$G$11,InputTOTAL!$H$11))</f>
        <v>0.272</v>
      </c>
    </row>
    <row r="29" spans="1:7" ht="15.75" customHeight="1">
      <c r="A29" s="187" t="str">
        <f>Exh3B!$A29</f>
        <v>Item 6</v>
      </c>
      <c r="B29" s="204" t="str">
        <f>Exh3B!$B29</f>
        <v>Additional Allowable Efficiency Expense</v>
      </c>
      <c r="C29" s="154" t="s">
        <v>70</v>
      </c>
      <c r="D29" s="385" t="s">
        <v>70</v>
      </c>
      <c r="E29" s="65"/>
      <c r="F29" s="69">
        <f>MAX(F28-F27,0)</f>
        <v>0</v>
      </c>
      <c r="G29" s="74">
        <f>MAX(G28-G27,0)</f>
        <v>0.272</v>
      </c>
    </row>
    <row r="30" spans="1:7" ht="15.75" customHeight="1">
      <c r="A30" s="187" t="str">
        <f>Exh3B!$A30</f>
        <v>Item 7</v>
      </c>
      <c r="B30" s="204" t="str">
        <f>Exh3B!$B30</f>
        <v>Direct Taxes, Licenses &amp; Fees</v>
      </c>
      <c r="C30" s="62">
        <f>Exh3B!$C30</f>
        <v>0</v>
      </c>
      <c r="D30" s="55">
        <f>IF(C22=0,0,C30/C22)</f>
        <v>0</v>
      </c>
      <c r="E30" s="204"/>
      <c r="F30" s="62">
        <f>InputA!$F$90</f>
        <v>0</v>
      </c>
      <c r="G30" s="74">
        <f>IF(F22=0,0,F30/F22)</f>
        <v>0</v>
      </c>
    </row>
    <row r="31" spans="1:7" ht="15.75" customHeight="1">
      <c r="A31" s="187" t="str">
        <f>Exh3B!$A31</f>
        <v>Item 8</v>
      </c>
      <c r="B31" s="204" t="str">
        <f>Exh3B!$B31</f>
        <v>Direct Prepaid Expenses</v>
      </c>
      <c r="C31" s="418">
        <f>IF(SUM(C24:C26)=0,0,0.5*(C24+C25)+C29*(C24+C25)/(C24+C25+C26)+C26+C30)</f>
        <v>0</v>
      </c>
      <c r="D31" s="55">
        <f>IF(C23=0,0,C31/C23)</f>
        <v>0</v>
      </c>
      <c r="E31" s="65"/>
      <c r="F31" s="418">
        <f>IF(SUM(F24:F26)=0,0,0.5*(F24+F25)+F29*(F24+F25)/(F24+F25+F26)+F26+F30)</f>
        <v>0</v>
      </c>
      <c r="G31" s="74">
        <f>IF(F23=0,0,F31/F23)</f>
        <v>0</v>
      </c>
    </row>
    <row r="32" spans="1:7" ht="15.75" customHeight="1">
      <c r="A32" s="187" t="str">
        <f>Exh3B!$A32</f>
        <v>Item 9</v>
      </c>
      <c r="B32" s="204" t="str">
        <f>Exh3B!$B32</f>
        <v>Net Catastrophe Reinsurance</v>
      </c>
      <c r="C32" s="62">
        <f>Exh3B!$C32</f>
        <v>0</v>
      </c>
      <c r="D32" s="55">
        <f>IF(C22=0,0,C32/C22)</f>
        <v>0</v>
      </c>
      <c r="E32" s="65"/>
      <c r="F32" s="418">
        <f>G32*F22</f>
        <v>0</v>
      </c>
      <c r="G32" s="74">
        <f>D32</f>
        <v>0</v>
      </c>
    </row>
    <row r="33" spans="1:7" ht="15.75" customHeight="1">
      <c r="A33" s="187" t="str">
        <f>Exh3B!$A33</f>
        <v>Item 10</v>
      </c>
      <c r="B33" s="204" t="str">
        <f>Exh3B!$B33</f>
        <v>LAD Fees Paid</v>
      </c>
      <c r="C33" s="69" t="s">
        <v>70</v>
      </c>
      <c r="D33" s="385" t="s">
        <v>70</v>
      </c>
      <c r="E33" s="204"/>
      <c r="F33" s="62">
        <f>InputA!$F$92</f>
        <v>0</v>
      </c>
      <c r="G33" s="74">
        <f>IF(F22=0,0,F33/F22)</f>
        <v>0</v>
      </c>
    </row>
    <row r="34" spans="1:7" ht="15.75" customHeight="1">
      <c r="A34" s="206"/>
      <c r="B34" s="204"/>
      <c r="C34" s="204"/>
      <c r="D34" s="204"/>
      <c r="E34" s="204"/>
      <c r="F34" s="204"/>
      <c r="G34" s="210"/>
    </row>
    <row r="35" spans="1:7" ht="15.75" customHeight="1">
      <c r="A35" s="202"/>
      <c r="B35" s="204"/>
      <c r="C35" s="390" t="str">
        <f>Exh3B!$C35</f>
        <v>Part 1  -  Countrywide</v>
      </c>
      <c r="D35" s="203"/>
      <c r="E35" s="204"/>
      <c r="F35" s="390" t="str">
        <f>Exh3B!$F35</f>
        <v>Part 2  -  New Jersey</v>
      </c>
      <c r="G35" s="205"/>
    </row>
    <row r="36" spans="1:7" ht="15.75" customHeight="1">
      <c r="A36" s="206"/>
      <c r="B36" s="209" t="str">
        <f>Exh3B!$B36</f>
        <v>Calendar Year 2021</v>
      </c>
      <c r="C36" s="189" t="str">
        <f>Exh3B!$C36</f>
        <v>Col (1)</v>
      </c>
      <c r="D36" s="189" t="str">
        <f>Exh3B!$D36</f>
        <v>Col (2)</v>
      </c>
      <c r="E36" s="204"/>
      <c r="F36" s="189" t="str">
        <f>Exh3B!$F36</f>
        <v>Col (3)</v>
      </c>
      <c r="G36" s="207" t="str">
        <f>Exh3B!$G36</f>
        <v>Col (4)</v>
      </c>
    </row>
    <row r="37" spans="1:7" ht="15.75" customHeight="1">
      <c r="A37" s="187" t="str">
        <f>Exh3B!$A37</f>
        <v>Item 1</v>
      </c>
      <c r="B37" s="204" t="str">
        <f>Exh3B!$B37</f>
        <v>Direct Written Premium</v>
      </c>
      <c r="C37" s="90">
        <f>Exh3B!$C37</f>
        <v>0</v>
      </c>
      <c r="D37" s="71" t="s">
        <v>59</v>
      </c>
      <c r="E37" s="65"/>
      <c r="F37" s="90">
        <f>Exh1A!$D$35-Exh1A!$D$36</f>
        <v>0</v>
      </c>
      <c r="G37" s="73">
        <f>Exh3B!$G37</f>
      </c>
    </row>
    <row r="38" spans="1:7" ht="15.75" customHeight="1">
      <c r="A38" s="187" t="str">
        <f>Exh3B!$A38</f>
        <v>Item 2</v>
      </c>
      <c r="B38" s="204" t="str">
        <f>Exh3B!$B38</f>
        <v>Direct Earned Premium</v>
      </c>
      <c r="C38" s="62">
        <f>Exh3B!$C38</f>
        <v>0</v>
      </c>
      <c r="D38" s="71" t="s">
        <v>59</v>
      </c>
      <c r="E38" s="204"/>
      <c r="F38" s="69">
        <f>Exh1A!$E$35-Exh1A!$E$36</f>
        <v>0</v>
      </c>
      <c r="G38" s="48">
        <f>Exh3B!$G38</f>
      </c>
    </row>
    <row r="39" spans="1:7" ht="15.75" customHeight="1">
      <c r="A39" s="187" t="str">
        <f>Exh3B!$A39</f>
        <v>Item 3</v>
      </c>
      <c r="B39" s="204" t="str">
        <f>Exh3B!$B39</f>
        <v>Direct Other Acquisition Expense</v>
      </c>
      <c r="C39" s="62">
        <f>Exh3B!$C39</f>
        <v>0</v>
      </c>
      <c r="D39" s="55">
        <f>IF(C38=0,0,C39/C38)</f>
        <v>0</v>
      </c>
      <c r="E39" s="65"/>
      <c r="F39" s="69">
        <f>F38*G39</f>
        <v>0</v>
      </c>
      <c r="G39" s="74">
        <f>D39</f>
        <v>0</v>
      </c>
    </row>
    <row r="40" spans="1:7" ht="15.75" customHeight="1">
      <c r="A40" s="187" t="str">
        <f>Exh3B!$A40</f>
        <v>Item 4</v>
      </c>
      <c r="B40" s="204" t="str">
        <f>Exh3B!$B40</f>
        <v>Direct General Expense</v>
      </c>
      <c r="C40" s="62">
        <f>Exh3B!$C40</f>
        <v>0</v>
      </c>
      <c r="D40" s="55">
        <f>IF(C38=0,0,C40/C38)</f>
        <v>0</v>
      </c>
      <c r="E40" s="65"/>
      <c r="F40" s="69">
        <f>F38*G40</f>
        <v>0</v>
      </c>
      <c r="G40" s="74">
        <f>D40</f>
        <v>0</v>
      </c>
    </row>
    <row r="41" spans="1:7" ht="15.75" customHeight="1">
      <c r="A41" s="187" t="str">
        <f>Exh3B!$A41</f>
        <v>Item 5</v>
      </c>
      <c r="B41" s="204" t="str">
        <f>Exh3B!$B41</f>
        <v>Direct Commission &amp; Brokerage</v>
      </c>
      <c r="C41" s="62">
        <f>Exh3B!$C41</f>
        <v>0</v>
      </c>
      <c r="D41" s="55">
        <f>IF(C37=0,0,C41/C37)</f>
        <v>0</v>
      </c>
      <c r="E41" s="204"/>
      <c r="F41" s="62">
        <f>InputA!$G$89</f>
        <v>0</v>
      </c>
      <c r="G41" s="74">
        <f>IF(F37=0,0,F41/F37)</f>
        <v>0</v>
      </c>
    </row>
    <row r="42" spans="1:7" ht="15.75" customHeight="1">
      <c r="A42" s="187" t="str">
        <f>Exh3B!$A42</f>
        <v>Item 6a</v>
      </c>
      <c r="B42" s="204" t="str">
        <f>Exh3B!$B42</f>
        <v>Expenses subject to Capping (Items 3-5)</v>
      </c>
      <c r="C42" s="154" t="s">
        <v>70</v>
      </c>
      <c r="D42" s="385" t="s">
        <v>70</v>
      </c>
      <c r="E42" s="65"/>
      <c r="F42" s="69">
        <f>SUM(F39:F41)</f>
        <v>0</v>
      </c>
      <c r="G42" s="74">
        <f>SUM(G39:G41)</f>
        <v>0</v>
      </c>
    </row>
    <row r="43" spans="1:7" ht="15.75" customHeight="1">
      <c r="A43" s="187" t="str">
        <f>Exh3B!$A43</f>
        <v>Item 6b</v>
      </c>
      <c r="B43" s="204" t="str">
        <f>Exh3B!$B43</f>
        <v>Allowable Capped Expense</v>
      </c>
      <c r="C43" s="154" t="s">
        <v>70</v>
      </c>
      <c r="D43" s="385" t="s">
        <v>70</v>
      </c>
      <c r="E43" s="65"/>
      <c r="F43" s="69">
        <f>IF(G42=0,0,(G43/G42)*F42)</f>
        <v>0</v>
      </c>
      <c r="G43" s="74">
        <f>IF(InsMarketMethod="D",InputTOTAL!$F$11,IF(InsMarketMethod="C",InputTOTAL!$G$11,InputTOTAL!$H$11))</f>
        <v>0.272</v>
      </c>
    </row>
    <row r="44" spans="1:7" ht="15.75" customHeight="1">
      <c r="A44" s="187" t="str">
        <f>Exh3B!$A44</f>
        <v>Item 6</v>
      </c>
      <c r="B44" s="204" t="str">
        <f>Exh3B!$B44</f>
        <v>Additional Allowable Efficiency Expense</v>
      </c>
      <c r="C44" s="154" t="s">
        <v>70</v>
      </c>
      <c r="D44" s="385" t="s">
        <v>70</v>
      </c>
      <c r="E44" s="65"/>
      <c r="F44" s="69">
        <f>MAX(F43-F42,0)</f>
        <v>0</v>
      </c>
      <c r="G44" s="74">
        <f>MAX(G43-G42,0)</f>
        <v>0.272</v>
      </c>
    </row>
    <row r="45" spans="1:7" ht="15.75" customHeight="1">
      <c r="A45" s="187" t="str">
        <f>Exh3B!$A45</f>
        <v>Item 7</v>
      </c>
      <c r="B45" s="204" t="str">
        <f>Exh3B!$B45</f>
        <v>Direct Taxes, Licenses &amp; Fees</v>
      </c>
      <c r="C45" s="62">
        <f>Exh3B!$C45</f>
        <v>0</v>
      </c>
      <c r="D45" s="55">
        <f>IF(C37=0,0,C45/C37)</f>
        <v>0</v>
      </c>
      <c r="E45" s="204"/>
      <c r="F45" s="62">
        <f>InputA!$G$90</f>
        <v>0</v>
      </c>
      <c r="G45" s="74">
        <f>IF(F37=0,0,F45/F37)</f>
        <v>0</v>
      </c>
    </row>
    <row r="46" spans="1:7" ht="15.75" customHeight="1">
      <c r="A46" s="187" t="str">
        <f>Exh3B!$A46</f>
        <v>Item 8</v>
      </c>
      <c r="B46" s="204" t="str">
        <f>Exh3B!$B46</f>
        <v>Direct Prepaid Expenses</v>
      </c>
      <c r="C46" s="418">
        <f>IF(SUM(C39:C41)=0,0,0.5*(C39+C40)+C44*(C39+C40)/(C39+C40+C41)+C41+C45)</f>
        <v>0</v>
      </c>
      <c r="D46" s="55">
        <f>IF(C38=0,0,C46/C38)</f>
        <v>0</v>
      </c>
      <c r="E46" s="65"/>
      <c r="F46" s="418">
        <f>IF(SUM(F39:F41)=0,0,0.5*(F39+F40)+F44*(F39+F40)/(F39+F40+F41)+F41+F45)</f>
        <v>0</v>
      </c>
      <c r="G46" s="74">
        <f>IF(F38=0,0,F46/F38)</f>
        <v>0</v>
      </c>
    </row>
    <row r="47" spans="1:7" ht="15.75" customHeight="1">
      <c r="A47" s="187" t="str">
        <f>Exh3B!$A47</f>
        <v>Item 9</v>
      </c>
      <c r="B47" s="204" t="str">
        <f>Exh3B!$B47</f>
        <v>Net Catastrophe Reinsurance</v>
      </c>
      <c r="C47" s="62">
        <f>Exh3B!$C47</f>
        <v>0</v>
      </c>
      <c r="D47" s="55">
        <f>IF(C37=0,0,C47/C37)</f>
        <v>0</v>
      </c>
      <c r="E47" s="65"/>
      <c r="F47" s="418">
        <f>G47*F37</f>
        <v>0</v>
      </c>
      <c r="G47" s="74">
        <f>D47</f>
        <v>0</v>
      </c>
    </row>
    <row r="48" spans="1:7" ht="15.75" customHeight="1">
      <c r="A48" s="187" t="str">
        <f>Exh3B!$A48</f>
        <v>Item 10</v>
      </c>
      <c r="B48" s="204" t="str">
        <f>Exh3B!$B48</f>
        <v>LAD Fees Paid</v>
      </c>
      <c r="C48" s="69" t="s">
        <v>70</v>
      </c>
      <c r="D48" s="385" t="s">
        <v>70</v>
      </c>
      <c r="E48" s="204"/>
      <c r="F48" s="62">
        <f>InputA!$G$92</f>
        <v>0</v>
      </c>
      <c r="G48" s="74">
        <f>IF(F37=0,0,F48/F37)</f>
        <v>0</v>
      </c>
    </row>
    <row r="49" spans="1:7" ht="15.75" customHeight="1">
      <c r="A49" s="206"/>
      <c r="B49" s="204"/>
      <c r="C49" s="204"/>
      <c r="D49" s="204"/>
      <c r="E49" s="204"/>
      <c r="F49" s="204"/>
      <c r="G49" s="210"/>
    </row>
    <row r="50" spans="1:7" ht="15.75" customHeight="1">
      <c r="A50" s="202"/>
      <c r="B50" s="204"/>
      <c r="C50" s="390" t="str">
        <f>Exh3B!$C50</f>
        <v>Part 1  -  Countrywide</v>
      </c>
      <c r="D50" s="203"/>
      <c r="E50" s="204"/>
      <c r="F50" s="390" t="str">
        <f>Exh3B!$F50</f>
        <v>Part 2  -  New Jersey</v>
      </c>
      <c r="G50" s="205"/>
    </row>
    <row r="51" spans="1:7" ht="15.75" customHeight="1">
      <c r="A51" s="206"/>
      <c r="B51" s="209" t="str">
        <f>Exh3B!$B51</f>
        <v>Calendar Year 2020</v>
      </c>
      <c r="C51" s="189" t="str">
        <f>Exh3B!$C51</f>
        <v>Col (1)</v>
      </c>
      <c r="D51" s="189" t="str">
        <f>Exh3B!$D51</f>
        <v>Col (2)</v>
      </c>
      <c r="E51" s="204"/>
      <c r="F51" s="189" t="str">
        <f>Exh3B!$F51</f>
        <v>Col (3)</v>
      </c>
      <c r="G51" s="207" t="str">
        <f>Exh3B!$G51</f>
        <v>Col (4)</v>
      </c>
    </row>
    <row r="52" spans="1:7" ht="15.75" customHeight="1">
      <c r="A52" s="187" t="str">
        <f>Exh3B!$A52</f>
        <v>Item 1</v>
      </c>
      <c r="B52" s="204" t="str">
        <f>Exh3B!$B52</f>
        <v>Direct Written Premium</v>
      </c>
      <c r="C52" s="90">
        <f>Exh3B!$C52</f>
        <v>0</v>
      </c>
      <c r="D52" s="71" t="s">
        <v>59</v>
      </c>
      <c r="E52" s="65"/>
      <c r="F52" s="90">
        <f>Exh1A!$D$52-Exh1A!$D$53</f>
        <v>0</v>
      </c>
      <c r="G52" s="73">
        <f>Exh3B!$G52</f>
      </c>
    </row>
    <row r="53" spans="1:7" ht="15.75" customHeight="1">
      <c r="A53" s="187" t="str">
        <f>Exh3B!$A53</f>
        <v>Item 2</v>
      </c>
      <c r="B53" s="204" t="str">
        <f>Exh3B!$B53</f>
        <v>Direct Earned Premium</v>
      </c>
      <c r="C53" s="62">
        <f>Exh3B!$C53</f>
        <v>0</v>
      </c>
      <c r="D53" s="71" t="s">
        <v>59</v>
      </c>
      <c r="E53" s="204"/>
      <c r="F53" s="69">
        <f>Exh1A!$E$52-Exh1A!$E$53</f>
        <v>0</v>
      </c>
      <c r="G53" s="48">
        <f>Exh3B!$G53</f>
      </c>
    </row>
    <row r="54" spans="1:7" ht="15.75" customHeight="1">
      <c r="A54" s="187" t="str">
        <f>Exh3B!$A54</f>
        <v>Item 3</v>
      </c>
      <c r="B54" s="204" t="str">
        <f>Exh3B!$B54</f>
        <v>Direct Other Acquisition Expense</v>
      </c>
      <c r="C54" s="62">
        <f>Exh3B!$C54</f>
        <v>0</v>
      </c>
      <c r="D54" s="55">
        <f>IF(C53=0,0,C54/C53)</f>
        <v>0</v>
      </c>
      <c r="E54" s="65"/>
      <c r="F54" s="69">
        <f>F53*G54</f>
        <v>0</v>
      </c>
      <c r="G54" s="74">
        <f>D54</f>
        <v>0</v>
      </c>
    </row>
    <row r="55" spans="1:7" ht="15.75" customHeight="1">
      <c r="A55" s="187" t="str">
        <f>Exh3B!$A55</f>
        <v>Item 4</v>
      </c>
      <c r="B55" s="204" t="str">
        <f>Exh3B!$B55</f>
        <v>Direct General Expense</v>
      </c>
      <c r="C55" s="62">
        <f>Exh3B!$C55</f>
        <v>0</v>
      </c>
      <c r="D55" s="55">
        <f>IF(C53=0,0,C55/C53)</f>
        <v>0</v>
      </c>
      <c r="E55" s="65"/>
      <c r="F55" s="69">
        <f>F53*G55</f>
        <v>0</v>
      </c>
      <c r="G55" s="74">
        <f>D55</f>
        <v>0</v>
      </c>
    </row>
    <row r="56" spans="1:7" ht="15.75" customHeight="1">
      <c r="A56" s="187" t="str">
        <f>Exh3B!$A56</f>
        <v>Item 5</v>
      </c>
      <c r="B56" s="204" t="str">
        <f>Exh3B!$B56</f>
        <v>Direct Commission &amp; Brokerage</v>
      </c>
      <c r="C56" s="62">
        <f>Exh3B!$C56</f>
        <v>0</v>
      </c>
      <c r="D56" s="55">
        <f>IF(C52=0,0,C56/C52)</f>
        <v>0</v>
      </c>
      <c r="E56" s="204"/>
      <c r="F56" s="62">
        <f>InputA!$H$89</f>
        <v>0</v>
      </c>
      <c r="G56" s="74">
        <f>IF(F52=0,0,F56/F52)</f>
        <v>0</v>
      </c>
    </row>
    <row r="57" spans="1:7" ht="15.75" customHeight="1">
      <c r="A57" s="187" t="str">
        <f>Exh3B!$A57</f>
        <v>Item 6a</v>
      </c>
      <c r="B57" s="204" t="str">
        <f>Exh3B!$B57</f>
        <v>Expenses subject to Capping (Items 3-5)</v>
      </c>
      <c r="C57" s="154" t="s">
        <v>70</v>
      </c>
      <c r="D57" s="385" t="s">
        <v>70</v>
      </c>
      <c r="E57" s="65"/>
      <c r="F57" s="69">
        <f>SUM(F54:F56)</f>
        <v>0</v>
      </c>
      <c r="G57" s="74">
        <f>SUM(G54:G56)</f>
        <v>0</v>
      </c>
    </row>
    <row r="58" spans="1:7" ht="15.75" customHeight="1">
      <c r="A58" s="187" t="str">
        <f>Exh3B!$A58</f>
        <v>Item 6b</v>
      </c>
      <c r="B58" s="204" t="str">
        <f>Exh3B!$B58</f>
        <v>Allowable Capped Expense</v>
      </c>
      <c r="C58" s="154" t="s">
        <v>70</v>
      </c>
      <c r="D58" s="385" t="s">
        <v>70</v>
      </c>
      <c r="E58" s="65"/>
      <c r="F58" s="69">
        <f>IF(G57=0,0,(G58/G57)*F57)</f>
        <v>0</v>
      </c>
      <c r="G58" s="74">
        <f>IF(InsMarketMethod="D",InputTOTAL!$F$11,IF(InsMarketMethod="C",InputTOTAL!$G$11,InputTOTAL!$H$11))</f>
        <v>0.272</v>
      </c>
    </row>
    <row r="59" spans="1:7" ht="15.75" customHeight="1">
      <c r="A59" s="187" t="str">
        <f>Exh3B!$A59</f>
        <v>Item 6</v>
      </c>
      <c r="B59" s="204" t="str">
        <f>Exh3B!$B59</f>
        <v>Additional Allowable Efficiency Expense</v>
      </c>
      <c r="C59" s="154" t="s">
        <v>70</v>
      </c>
      <c r="D59" s="385" t="s">
        <v>70</v>
      </c>
      <c r="E59" s="65"/>
      <c r="F59" s="69">
        <f>MAX(F58-F57,0)</f>
        <v>0</v>
      </c>
      <c r="G59" s="74">
        <f>MAX(G58-G57,0)</f>
        <v>0.272</v>
      </c>
    </row>
    <row r="60" spans="1:7" ht="15.75" customHeight="1">
      <c r="A60" s="187" t="str">
        <f>Exh3B!$A60</f>
        <v>Item 7</v>
      </c>
      <c r="B60" s="204" t="str">
        <f>Exh3B!$B60</f>
        <v>Direct Taxes, Licenses &amp; Fees</v>
      </c>
      <c r="C60" s="62">
        <f>Exh3B!$C60</f>
        <v>0</v>
      </c>
      <c r="D60" s="55">
        <f>IF(C52=0,0,C60/C52)</f>
        <v>0</v>
      </c>
      <c r="E60" s="204"/>
      <c r="F60" s="62">
        <f>InputA!$H$90</f>
        <v>0</v>
      </c>
      <c r="G60" s="74">
        <f>IF(F52=0,0,F60/F52)</f>
        <v>0</v>
      </c>
    </row>
    <row r="61" spans="1:7" ht="15.75" customHeight="1">
      <c r="A61" s="187" t="str">
        <f>Exh3B!$A61</f>
        <v>Item 8</v>
      </c>
      <c r="B61" s="204" t="str">
        <f>Exh3B!$B61</f>
        <v>Direct Prepaid Expenses</v>
      </c>
      <c r="C61" s="418">
        <f>IF(SUM(C54:C56)=0,0,0.5*(C54+C55)+C59*(C54+C55)/(C54+C55+C56)+C56+C60)</f>
        <v>0</v>
      </c>
      <c r="D61" s="55">
        <f>IF(C53=0,0,C61/C53)</f>
        <v>0</v>
      </c>
      <c r="E61" s="65"/>
      <c r="F61" s="418">
        <f>IF(SUM(F54:F56)=0,0,0.5*(F54+F55)+F59*(F54+F55)/(F54+F55+F56)+F56+F60)</f>
        <v>0</v>
      </c>
      <c r="G61" s="74">
        <f>IF(F53=0,0,F61/F53)</f>
        <v>0</v>
      </c>
    </row>
    <row r="62" spans="1:7" ht="15.75" customHeight="1">
      <c r="A62" s="187" t="str">
        <f>Exh3B!$A62</f>
        <v>Item 9</v>
      </c>
      <c r="B62" s="204" t="str">
        <f>Exh3B!$B62</f>
        <v>Net Catastrophe Reinsurance</v>
      </c>
      <c r="C62" s="62">
        <f>Exh3B!$C62</f>
        <v>0</v>
      </c>
      <c r="D62" s="55">
        <f>IF(C52=0,0,C62/C52)</f>
        <v>0</v>
      </c>
      <c r="E62" s="65"/>
      <c r="F62" s="418">
        <f>G62*F52</f>
        <v>0</v>
      </c>
      <c r="G62" s="74">
        <f>D62</f>
        <v>0</v>
      </c>
    </row>
    <row r="63" spans="1:7" ht="15.75" customHeight="1">
      <c r="A63" s="187" t="str">
        <f>Exh3B!$A63</f>
        <v>Item 10</v>
      </c>
      <c r="B63" s="204" t="str">
        <f>Exh3B!$B63</f>
        <v>LAD Fees Paid</v>
      </c>
      <c r="C63" s="69" t="s">
        <v>70</v>
      </c>
      <c r="D63" s="385" t="s">
        <v>70</v>
      </c>
      <c r="E63" s="204"/>
      <c r="F63" s="62">
        <f>InputA!$H$92</f>
        <v>0</v>
      </c>
      <c r="G63" s="74">
        <f>IF(F52=0,0,F63/F52)</f>
        <v>0</v>
      </c>
    </row>
    <row r="64" spans="1:7" ht="15.75" customHeight="1">
      <c r="A64" s="206"/>
      <c r="B64" s="204"/>
      <c r="C64" s="204"/>
      <c r="D64" s="204"/>
      <c r="E64" s="204"/>
      <c r="F64" s="204"/>
      <c r="G64" s="210"/>
    </row>
    <row r="65" spans="1:7" ht="15.75" customHeight="1">
      <c r="A65" s="202"/>
      <c r="B65" s="204"/>
      <c r="C65" s="390" t="str">
        <f>Exh3B!$C65</f>
        <v>Part 1  -  Countrywide</v>
      </c>
      <c r="D65" s="203"/>
      <c r="E65" s="204"/>
      <c r="F65" s="390" t="str">
        <f>Exh3B!$F65</f>
        <v>Part 2  -  New Jersey</v>
      </c>
      <c r="G65" s="205"/>
    </row>
    <row r="66" spans="1:7" ht="15.75" customHeight="1">
      <c r="A66" s="206"/>
      <c r="B66" s="209" t="str">
        <f>Exh3B!$B66</f>
        <v>Calendar Year 2019</v>
      </c>
      <c r="C66" s="189" t="str">
        <f>Exh3B!$C66</f>
        <v>Col (1)</v>
      </c>
      <c r="D66" s="189" t="str">
        <f>Exh3B!$D66</f>
        <v>Col (2)</v>
      </c>
      <c r="E66" s="204"/>
      <c r="F66" s="189" t="str">
        <f>Exh3B!$F66</f>
        <v>Col (3)</v>
      </c>
      <c r="G66" s="207" t="str">
        <f>Exh3B!$G66</f>
        <v>Col (4)</v>
      </c>
    </row>
    <row r="67" spans="1:7" ht="15.75" customHeight="1">
      <c r="A67" s="187" t="str">
        <f>Exh3B!$A67</f>
        <v>Item 1</v>
      </c>
      <c r="B67" s="204" t="str">
        <f>Exh3B!$B67</f>
        <v>Direct Written Premium</v>
      </c>
      <c r="C67" s="90">
        <f>Exh3B!$C67</f>
        <v>0</v>
      </c>
      <c r="D67" s="71" t="s">
        <v>59</v>
      </c>
      <c r="E67" s="65"/>
      <c r="F67" s="90">
        <f>Exh1A!$D$64-Exh1A!$D$65</f>
        <v>0</v>
      </c>
      <c r="G67" s="73">
        <f>Exh3B!$G67</f>
      </c>
    </row>
    <row r="68" spans="1:7" ht="15.75" customHeight="1">
      <c r="A68" s="187" t="str">
        <f>Exh3B!$A68</f>
        <v>Item 2</v>
      </c>
      <c r="B68" s="204" t="str">
        <f>Exh3B!$B68</f>
        <v>Direct Earned Premium</v>
      </c>
      <c r="C68" s="62">
        <f>Exh3B!$C68</f>
        <v>0</v>
      </c>
      <c r="D68" s="71" t="s">
        <v>59</v>
      </c>
      <c r="E68" s="204"/>
      <c r="F68" s="69">
        <f>Exh1A!$E$64-Exh1A!$E$65</f>
        <v>0</v>
      </c>
      <c r="G68" s="48">
        <f>Exh3B!$G68</f>
      </c>
    </row>
    <row r="69" spans="1:7" ht="15.75" customHeight="1">
      <c r="A69" s="187" t="str">
        <f>Exh3B!$A69</f>
        <v>Item 3</v>
      </c>
      <c r="B69" s="204" t="str">
        <f>Exh3B!$B69</f>
        <v>Direct Other Acquisition Expense</v>
      </c>
      <c r="C69" s="62">
        <f>Exh3B!$C69</f>
        <v>0</v>
      </c>
      <c r="D69" s="55">
        <f>IF(C68=0,0,C69/C68)</f>
        <v>0</v>
      </c>
      <c r="E69" s="65"/>
      <c r="F69" s="69">
        <f>F68*G69</f>
        <v>0</v>
      </c>
      <c r="G69" s="74">
        <f>D69</f>
        <v>0</v>
      </c>
    </row>
    <row r="70" spans="1:7" ht="15.75" customHeight="1">
      <c r="A70" s="187" t="str">
        <f>Exh3B!$A70</f>
        <v>Item 4</v>
      </c>
      <c r="B70" s="204" t="str">
        <f>Exh3B!$B70</f>
        <v>Direct General Expense</v>
      </c>
      <c r="C70" s="62">
        <f>Exh3B!$C70</f>
        <v>0</v>
      </c>
      <c r="D70" s="55">
        <f>IF(C68=0,0,C70/C68)</f>
        <v>0</v>
      </c>
      <c r="E70" s="65"/>
      <c r="F70" s="69">
        <f>F68*G70</f>
        <v>0</v>
      </c>
      <c r="G70" s="74">
        <f>D70</f>
        <v>0</v>
      </c>
    </row>
    <row r="71" spans="1:7" ht="15.75" customHeight="1">
      <c r="A71" s="187" t="str">
        <f>Exh3B!$A71</f>
        <v>Item 5</v>
      </c>
      <c r="B71" s="204" t="str">
        <f>Exh3B!$B71</f>
        <v>Direct Commission &amp; Brokerage</v>
      </c>
      <c r="C71" s="62">
        <f>Exh3B!$C71</f>
        <v>0</v>
      </c>
      <c r="D71" s="55">
        <f>IF(C67=0,0,C71/C67)</f>
        <v>0</v>
      </c>
      <c r="E71" s="204"/>
      <c r="F71" s="62">
        <f>InputA!$I$89</f>
        <v>0</v>
      </c>
      <c r="G71" s="74">
        <f>IF(F67=0,0,F71/F67)</f>
        <v>0</v>
      </c>
    </row>
    <row r="72" spans="1:7" ht="15.75" customHeight="1">
      <c r="A72" s="187" t="str">
        <f>Exh3B!$A72</f>
        <v>Item 6a</v>
      </c>
      <c r="B72" s="204" t="str">
        <f>Exh3B!$B72</f>
        <v>Expenses subject to Capping (Items 3-5)</v>
      </c>
      <c r="C72" s="154" t="s">
        <v>70</v>
      </c>
      <c r="D72" s="385" t="s">
        <v>70</v>
      </c>
      <c r="E72" s="65"/>
      <c r="F72" s="69">
        <f>SUM(F69:F71)</f>
        <v>0</v>
      </c>
      <c r="G72" s="74">
        <f>SUM(G69:G71)</f>
        <v>0</v>
      </c>
    </row>
    <row r="73" spans="1:7" ht="15.75" customHeight="1">
      <c r="A73" s="187" t="str">
        <f>Exh3B!$A73</f>
        <v>Item 6b</v>
      </c>
      <c r="B73" s="204" t="str">
        <f>Exh3B!$B73</f>
        <v>Allowable Capped Expense</v>
      </c>
      <c r="C73" s="154" t="s">
        <v>70</v>
      </c>
      <c r="D73" s="385" t="s">
        <v>70</v>
      </c>
      <c r="E73" s="65"/>
      <c r="F73" s="69">
        <f>IF(G72=0,0,(G73/G72)*F72)</f>
        <v>0</v>
      </c>
      <c r="G73" s="74">
        <f>IF(InsMarketMethod="D",InputTOTAL!$F$11,IF(InsMarketMethod="C",InputTOTAL!$G$11,InputTOTAL!$H$11))</f>
        <v>0.272</v>
      </c>
    </row>
    <row r="74" spans="1:7" ht="15.75" customHeight="1">
      <c r="A74" s="187" t="str">
        <f>Exh3B!$A74</f>
        <v>Item 6</v>
      </c>
      <c r="B74" s="204" t="str">
        <f>Exh3B!$B74</f>
        <v>Additional Allowable Efficiency Expense</v>
      </c>
      <c r="C74" s="154" t="s">
        <v>70</v>
      </c>
      <c r="D74" s="385" t="s">
        <v>70</v>
      </c>
      <c r="E74" s="65"/>
      <c r="F74" s="69">
        <f>MAX(F73-F72,0)</f>
        <v>0</v>
      </c>
      <c r="G74" s="74">
        <f>MAX(G73-G72,0)</f>
        <v>0.272</v>
      </c>
    </row>
    <row r="75" spans="1:7" ht="15.75" customHeight="1">
      <c r="A75" s="187" t="str">
        <f>Exh3B!$A75</f>
        <v>Item 7</v>
      </c>
      <c r="B75" s="204" t="str">
        <f>Exh3B!$B75</f>
        <v>Direct Taxes, Licenses &amp; Fees</v>
      </c>
      <c r="C75" s="62">
        <f>Exh3B!$C75</f>
        <v>0</v>
      </c>
      <c r="D75" s="55">
        <f>IF(C67=0,0,C75/C67)</f>
        <v>0</v>
      </c>
      <c r="E75" s="204"/>
      <c r="F75" s="62">
        <f>InputA!$I$90</f>
        <v>0</v>
      </c>
      <c r="G75" s="74">
        <f>IF(F67=0,0,F75/F67)</f>
        <v>0</v>
      </c>
    </row>
    <row r="76" spans="1:7" ht="15.75" customHeight="1">
      <c r="A76" s="187" t="str">
        <f>Exh3B!$A76</f>
        <v>Item 8</v>
      </c>
      <c r="B76" s="204" t="str">
        <f>Exh3B!$B76</f>
        <v>Direct Prepaid Expenses</v>
      </c>
      <c r="C76" s="418">
        <f>IF(SUM(C69:C71)=0,0,0.5*(C69+C70)+C74*(C69+C70)/(C69+C70+C71)+C71+C75)</f>
        <v>0</v>
      </c>
      <c r="D76" s="55">
        <f>IF(C68=0,0,C76/C68)</f>
        <v>0</v>
      </c>
      <c r="E76" s="65"/>
      <c r="F76" s="418">
        <f>IF(SUM(F69:F71)=0,0,0.5*(F69+F70)+F74*(F69+F70)/(F69+F70+F71)+F71+F75)</f>
        <v>0</v>
      </c>
      <c r="G76" s="74">
        <f>IF(F68=0,0,F76/F68)</f>
        <v>0</v>
      </c>
    </row>
    <row r="77" spans="1:7" ht="15.75" customHeight="1">
      <c r="A77" s="187" t="str">
        <f>Exh3B!$A77</f>
        <v>Item 9</v>
      </c>
      <c r="B77" s="204" t="str">
        <f>Exh3B!$B77</f>
        <v>Net Catastrophe Reinsurance</v>
      </c>
      <c r="C77" s="62">
        <f>Exh3B!$C77</f>
        <v>0</v>
      </c>
      <c r="D77" s="55">
        <f>IF(C67=0,0,C77/C67)</f>
        <v>0</v>
      </c>
      <c r="E77" s="65"/>
      <c r="F77" s="418">
        <f>G77*F67</f>
        <v>0</v>
      </c>
      <c r="G77" s="74">
        <f>D77</f>
        <v>0</v>
      </c>
    </row>
    <row r="78" spans="1:7" ht="15.75" customHeight="1">
      <c r="A78" s="187" t="str">
        <f>Exh3B!$A78</f>
        <v>Item 10</v>
      </c>
      <c r="B78" s="204" t="str">
        <f>Exh3B!$B78</f>
        <v>LAD Fees Paid</v>
      </c>
      <c r="C78" s="69" t="s">
        <v>70</v>
      </c>
      <c r="D78" s="385" t="s">
        <v>70</v>
      </c>
      <c r="E78" s="204"/>
      <c r="F78" s="62">
        <f>InputA!$I$92</f>
        <v>0</v>
      </c>
      <c r="G78" s="74">
        <f>IF(F67=0,0,F78/F67)</f>
        <v>0</v>
      </c>
    </row>
    <row r="79" spans="1:7" ht="15.75" customHeight="1">
      <c r="A79" s="206"/>
      <c r="B79" s="204"/>
      <c r="C79" s="204"/>
      <c r="D79" s="204"/>
      <c r="E79" s="204"/>
      <c r="F79" s="204"/>
      <c r="G79" s="210"/>
    </row>
    <row r="80" spans="1:7" ht="15.75" customHeight="1">
      <c r="A80" s="202"/>
      <c r="B80" s="204"/>
      <c r="C80" s="390" t="str">
        <f>Exh3B!$C80</f>
        <v>Part 1  -  Countrywide</v>
      </c>
      <c r="D80" s="203"/>
      <c r="E80" s="204"/>
      <c r="F80" s="390" t="str">
        <f>Exh3B!$F80</f>
        <v>Part 2  -  New Jersey</v>
      </c>
      <c r="G80" s="205"/>
    </row>
    <row r="81" spans="1:7" ht="15.75" customHeight="1">
      <c r="A81" s="206"/>
      <c r="B81" s="209" t="str">
        <f>Exh3B!$B81</f>
        <v>Calendar Year 2018</v>
      </c>
      <c r="C81" s="189" t="str">
        <f>Exh3B!$C81</f>
        <v>Col (1)</v>
      </c>
      <c r="D81" s="189" t="str">
        <f>Exh3B!$D81</f>
        <v>Col (2)</v>
      </c>
      <c r="E81" s="204"/>
      <c r="F81" s="189" t="str">
        <f>Exh3B!$F81</f>
        <v>Col (3)</v>
      </c>
      <c r="G81" s="207" t="str">
        <f>Exh3B!$G81</f>
        <v>Col (4)</v>
      </c>
    </row>
    <row r="82" spans="1:7" ht="15.75" customHeight="1">
      <c r="A82" s="187" t="str">
        <f>Exh3B!$A82</f>
        <v>Item 1</v>
      </c>
      <c r="B82" s="204" t="str">
        <f>Exh3B!$B82</f>
        <v>Direct Written Premium</v>
      </c>
      <c r="C82" s="90">
        <f>Exh3B!$C82</f>
        <v>0</v>
      </c>
      <c r="D82" s="71" t="s">
        <v>59</v>
      </c>
      <c r="E82" s="65"/>
      <c r="F82" s="90">
        <f>Exh1A!$D$76-Exh1A!$D$77</f>
        <v>0</v>
      </c>
      <c r="G82" s="73">
        <f>Exh3B!$G82</f>
      </c>
    </row>
    <row r="83" spans="1:7" ht="15.75" customHeight="1">
      <c r="A83" s="187" t="str">
        <f>Exh3B!$A83</f>
        <v>Item 2</v>
      </c>
      <c r="B83" s="204" t="str">
        <f>Exh3B!$B83</f>
        <v>Direct Earned Premium</v>
      </c>
      <c r="C83" s="62">
        <f>Exh3B!$C83</f>
        <v>0</v>
      </c>
      <c r="D83" s="71" t="s">
        <v>59</v>
      </c>
      <c r="E83" s="204"/>
      <c r="F83" s="69">
        <f>Exh1A!$E$76-Exh1A!$E$77</f>
        <v>0</v>
      </c>
      <c r="G83" s="48">
        <f>Exh3B!$G83</f>
      </c>
    </row>
    <row r="84" spans="1:7" ht="15.75" customHeight="1">
      <c r="A84" s="187" t="str">
        <f>Exh3B!$A84</f>
        <v>Item 3</v>
      </c>
      <c r="B84" s="204" t="str">
        <f>Exh3B!$B84</f>
        <v>Direct Other Acquisition Expense</v>
      </c>
      <c r="C84" s="62">
        <f>Exh3B!$C84</f>
        <v>0</v>
      </c>
      <c r="D84" s="55">
        <f>IF(C83=0,0,C84/C83)</f>
        <v>0</v>
      </c>
      <c r="E84" s="65"/>
      <c r="F84" s="69">
        <f>F83*G84</f>
        <v>0</v>
      </c>
      <c r="G84" s="74">
        <f>D84</f>
        <v>0</v>
      </c>
    </row>
    <row r="85" spans="1:7" ht="15.75" customHeight="1">
      <c r="A85" s="187" t="str">
        <f>Exh3B!$A85</f>
        <v>Item 4</v>
      </c>
      <c r="B85" s="204" t="str">
        <f>Exh3B!$B85</f>
        <v>Direct General Expense</v>
      </c>
      <c r="C85" s="62">
        <f>Exh3B!$C85</f>
        <v>0</v>
      </c>
      <c r="D85" s="55">
        <f>IF(C83=0,0,C85/C83)</f>
        <v>0</v>
      </c>
      <c r="E85" s="65"/>
      <c r="F85" s="69">
        <f>F83*G85</f>
        <v>0</v>
      </c>
      <c r="G85" s="74">
        <f>D85</f>
        <v>0</v>
      </c>
    </row>
    <row r="86" spans="1:7" ht="15.75" customHeight="1">
      <c r="A86" s="187" t="str">
        <f>Exh3B!$A86</f>
        <v>Item 5</v>
      </c>
      <c r="B86" s="204" t="str">
        <f>Exh3B!$B86</f>
        <v>Direct Commission &amp; Brokerage</v>
      </c>
      <c r="C86" s="62">
        <f>Exh3B!$C86</f>
        <v>0</v>
      </c>
      <c r="D86" s="55">
        <f>IF(C82=0,0,C86/C82)</f>
        <v>0</v>
      </c>
      <c r="E86" s="204"/>
      <c r="F86" s="62">
        <f>InputA!$J$89</f>
        <v>0</v>
      </c>
      <c r="G86" s="74">
        <f>IF(F82=0,0,F86/F82)</f>
        <v>0</v>
      </c>
    </row>
    <row r="87" spans="1:7" ht="15.75" customHeight="1">
      <c r="A87" s="187" t="str">
        <f>Exh3B!$A87</f>
        <v>Item 6a</v>
      </c>
      <c r="B87" s="204" t="str">
        <f>Exh3B!$B87</f>
        <v>Expenses subject to Capping (Items 3-5)</v>
      </c>
      <c r="C87" s="154" t="s">
        <v>70</v>
      </c>
      <c r="D87" s="385" t="s">
        <v>70</v>
      </c>
      <c r="E87" s="65"/>
      <c r="F87" s="69">
        <f>SUM(F84:F86)</f>
        <v>0</v>
      </c>
      <c r="G87" s="74">
        <f>SUM(G84:G86)</f>
        <v>0</v>
      </c>
    </row>
    <row r="88" spans="1:7" ht="15.75" customHeight="1">
      <c r="A88" s="187" t="str">
        <f>Exh3B!$A88</f>
        <v>Item 6b</v>
      </c>
      <c r="B88" s="204" t="str">
        <f>Exh3B!$B88</f>
        <v>Allowable Capped Expense</v>
      </c>
      <c r="C88" s="154" t="s">
        <v>70</v>
      </c>
      <c r="D88" s="385" t="s">
        <v>70</v>
      </c>
      <c r="E88" s="65"/>
      <c r="F88" s="69">
        <f>IF(G87=0,0,(G88/G87)*F87)</f>
        <v>0</v>
      </c>
      <c r="G88" s="74">
        <f>IF(InsMarketMethod="D",InputTOTAL!$F$11,IF(InsMarketMethod="C",InputTOTAL!$G$11,InputTOTAL!$H$11))</f>
        <v>0.272</v>
      </c>
    </row>
    <row r="89" spans="1:7" ht="15.75" customHeight="1">
      <c r="A89" s="187" t="str">
        <f>Exh3B!$A89</f>
        <v>Item 6</v>
      </c>
      <c r="B89" s="204" t="str">
        <f>Exh3B!$B89</f>
        <v>Additional Allowable Efficiency Expense</v>
      </c>
      <c r="C89" s="154" t="s">
        <v>70</v>
      </c>
      <c r="D89" s="385" t="s">
        <v>70</v>
      </c>
      <c r="E89" s="65"/>
      <c r="F89" s="69">
        <f>MAX(F88-F87,0)</f>
        <v>0</v>
      </c>
      <c r="G89" s="74">
        <f>MAX(G88-G87,0)</f>
        <v>0.272</v>
      </c>
    </row>
    <row r="90" spans="1:7" ht="15.75" customHeight="1">
      <c r="A90" s="187" t="str">
        <f>Exh3B!$A90</f>
        <v>Item 7</v>
      </c>
      <c r="B90" s="204" t="str">
        <f>Exh3B!$B90</f>
        <v>Direct Taxes, Licenses &amp; Fees</v>
      </c>
      <c r="C90" s="62">
        <f>Exh3B!$C90</f>
        <v>0</v>
      </c>
      <c r="D90" s="55">
        <f>IF(C82=0,0,C90/C82)</f>
        <v>0</v>
      </c>
      <c r="E90" s="204"/>
      <c r="F90" s="62">
        <f>InputA!$J$90</f>
        <v>0</v>
      </c>
      <c r="G90" s="74">
        <f>IF(F82=0,0,F90/F82)</f>
        <v>0</v>
      </c>
    </row>
    <row r="91" spans="1:7" ht="15.75" customHeight="1">
      <c r="A91" s="187" t="str">
        <f>Exh3B!$A91</f>
        <v>Item 8</v>
      </c>
      <c r="B91" s="204" t="str">
        <f>Exh3B!$B91</f>
        <v>Direct Prepaid Expenses</v>
      </c>
      <c r="C91" s="418">
        <f>IF(SUM(C84:C86)=0,0,0.5*(C84+C85)+C89*(C84+C85)/(C84+C85+C86)+C86+C90)</f>
        <v>0</v>
      </c>
      <c r="D91" s="55">
        <f>IF(C83=0,0,C91/C83)</f>
        <v>0</v>
      </c>
      <c r="E91" s="65"/>
      <c r="F91" s="418">
        <f>IF(SUM(F84:F86)=0,0,0.5*(F84+F85)+F89*(F84+F85)/(F84+F85+F86)+F86+F90)</f>
        <v>0</v>
      </c>
      <c r="G91" s="74">
        <f>IF(F83=0,0,F91/F83)</f>
        <v>0</v>
      </c>
    </row>
    <row r="92" spans="1:7" ht="15.75" customHeight="1">
      <c r="A92" s="187" t="str">
        <f>Exh3B!$A92</f>
        <v>Item 9</v>
      </c>
      <c r="B92" s="204" t="str">
        <f>Exh3B!$B92</f>
        <v>Net Catastrophe Reinsurance</v>
      </c>
      <c r="C92" s="62">
        <f>Exh3B!$C92</f>
        <v>0</v>
      </c>
      <c r="D92" s="55">
        <f>IF(C82=0,0,C92/C82)</f>
        <v>0</v>
      </c>
      <c r="E92" s="65"/>
      <c r="F92" s="418">
        <f>G92*F82</f>
        <v>0</v>
      </c>
      <c r="G92" s="74">
        <f>D92</f>
        <v>0</v>
      </c>
    </row>
    <row r="93" spans="1:7" ht="15.75" customHeight="1">
      <c r="A93" s="187" t="str">
        <f>Exh3B!$A93</f>
        <v>Item 10</v>
      </c>
      <c r="B93" s="204" t="str">
        <f>Exh3B!$B93</f>
        <v>LAD Fees Paid</v>
      </c>
      <c r="C93" s="69" t="s">
        <v>70</v>
      </c>
      <c r="D93" s="385" t="s">
        <v>70</v>
      </c>
      <c r="E93" s="204"/>
      <c r="F93" s="62">
        <f>InputA!$J$92</f>
        <v>0</v>
      </c>
      <c r="G93" s="74">
        <f>IF(F82=0,0,F93/F82)</f>
        <v>0</v>
      </c>
    </row>
    <row r="94" spans="1:7" ht="15.75" customHeight="1">
      <c r="A94" s="206"/>
      <c r="B94" s="204"/>
      <c r="C94" s="204"/>
      <c r="D94" s="204"/>
      <c r="E94" s="204"/>
      <c r="F94" s="204"/>
      <c r="G94" s="210"/>
    </row>
    <row r="95" spans="1:7" ht="15.75" customHeight="1">
      <c r="A95" s="202"/>
      <c r="B95" s="204"/>
      <c r="C95" s="390" t="str">
        <f>Exh3B!$C95</f>
        <v>Part 1  -  Countrywide</v>
      </c>
      <c r="D95" s="203"/>
      <c r="E95" s="204"/>
      <c r="F95" s="390" t="str">
        <f>Exh3B!$F95</f>
        <v>Part 2  -  New Jersey</v>
      </c>
      <c r="G95" s="205"/>
    </row>
    <row r="96" spans="1:7" ht="15.75" customHeight="1">
      <c r="A96" s="206"/>
      <c r="B96" s="209" t="str">
        <f>Exh3B!$B96</f>
        <v>Calendar Year 2017</v>
      </c>
      <c r="C96" s="189" t="str">
        <f>Exh3B!$C96</f>
        <v>Col (1)</v>
      </c>
      <c r="D96" s="189" t="str">
        <f>Exh3B!$D96</f>
        <v>Col (2)</v>
      </c>
      <c r="E96" s="204"/>
      <c r="F96" s="189" t="str">
        <f>Exh3B!$F96</f>
        <v>Col (3)</v>
      </c>
      <c r="G96" s="207" t="str">
        <f>Exh3B!$G96</f>
        <v>Col (4)</v>
      </c>
    </row>
    <row r="97" spans="1:7" ht="15.75" customHeight="1">
      <c r="A97" s="187" t="str">
        <f>Exh3B!$A97</f>
        <v>Item 1</v>
      </c>
      <c r="B97" s="204" t="str">
        <f>Exh3B!$B97</f>
        <v>Direct Written Premium</v>
      </c>
      <c r="C97" s="90">
        <f>Exh3B!$C97</f>
        <v>0</v>
      </c>
      <c r="D97" s="71" t="s">
        <v>59</v>
      </c>
      <c r="E97" s="65"/>
      <c r="F97" s="90">
        <f>Exh1A!$D$93-Exh1A!$D$94</f>
        <v>0</v>
      </c>
      <c r="G97" s="73">
        <f>Exh3B!$G97</f>
      </c>
    </row>
    <row r="98" spans="1:7" ht="15.75" customHeight="1">
      <c r="A98" s="187" t="str">
        <f>Exh3B!$A98</f>
        <v>Item 2</v>
      </c>
      <c r="B98" s="204" t="str">
        <f>Exh3B!$B98</f>
        <v>Direct Earned Premium</v>
      </c>
      <c r="C98" s="62">
        <f>Exh3B!$C98</f>
        <v>0</v>
      </c>
      <c r="D98" s="71" t="s">
        <v>59</v>
      </c>
      <c r="E98" s="204"/>
      <c r="F98" s="69">
        <f>Exh1A!$E$93-Exh1A!$E$94</f>
        <v>0</v>
      </c>
      <c r="G98" s="48">
        <f>Exh3B!$G98</f>
      </c>
    </row>
    <row r="99" spans="1:7" ht="15.75" customHeight="1">
      <c r="A99" s="187" t="str">
        <f>Exh3B!$A99</f>
        <v>Item 3</v>
      </c>
      <c r="B99" s="204" t="str">
        <f>Exh3B!$B99</f>
        <v>Direct Other Acquisition Expense</v>
      </c>
      <c r="C99" s="62">
        <f>Exh3B!$C99</f>
        <v>0</v>
      </c>
      <c r="D99" s="55">
        <f>IF(C98=0,0,C99/C98)</f>
        <v>0</v>
      </c>
      <c r="E99" s="65"/>
      <c r="F99" s="69">
        <f>F98*G99</f>
        <v>0</v>
      </c>
      <c r="G99" s="74">
        <f>D99</f>
        <v>0</v>
      </c>
    </row>
    <row r="100" spans="1:7" ht="15.75" customHeight="1">
      <c r="A100" s="187" t="str">
        <f>Exh3B!$A100</f>
        <v>Item 4</v>
      </c>
      <c r="B100" s="204" t="str">
        <f>Exh3B!$B100</f>
        <v>Direct General Expense</v>
      </c>
      <c r="C100" s="62">
        <f>Exh3B!$C100</f>
        <v>0</v>
      </c>
      <c r="D100" s="55">
        <f>IF(C98=0,0,C100/C98)</f>
        <v>0</v>
      </c>
      <c r="E100" s="65"/>
      <c r="F100" s="69">
        <f>F98*G100</f>
        <v>0</v>
      </c>
      <c r="G100" s="74">
        <f>D100</f>
        <v>0</v>
      </c>
    </row>
    <row r="101" spans="1:7" ht="15.75" customHeight="1">
      <c r="A101" s="187" t="str">
        <f>Exh3B!$A101</f>
        <v>Item 5</v>
      </c>
      <c r="B101" s="204" t="str">
        <f>Exh3B!$B101</f>
        <v>Direct Commission &amp; Brokerage</v>
      </c>
      <c r="C101" s="62">
        <f>Exh3B!$C101</f>
        <v>0</v>
      </c>
      <c r="D101" s="55">
        <f>IF(C97=0,0,C101/C97)</f>
        <v>0</v>
      </c>
      <c r="E101" s="204"/>
      <c r="F101" s="62">
        <f>InputA!$K$89</f>
        <v>0</v>
      </c>
      <c r="G101" s="74">
        <f>IF(F97=0,0,F101/F97)</f>
        <v>0</v>
      </c>
    </row>
    <row r="102" spans="1:7" ht="15.75" customHeight="1">
      <c r="A102" s="187" t="str">
        <f>Exh3B!$A102</f>
        <v>Item 6a</v>
      </c>
      <c r="B102" s="204" t="str">
        <f>Exh3B!$B102</f>
        <v>Expenses subject to Capping (Items 3-5)</v>
      </c>
      <c r="C102" s="154" t="s">
        <v>70</v>
      </c>
      <c r="D102" s="385" t="s">
        <v>70</v>
      </c>
      <c r="E102" s="65"/>
      <c r="F102" s="69">
        <f>SUM(F99:F101)</f>
        <v>0</v>
      </c>
      <c r="G102" s="74">
        <f>SUM(G99:G101)</f>
        <v>0</v>
      </c>
    </row>
    <row r="103" spans="1:7" ht="15.75" customHeight="1">
      <c r="A103" s="187" t="str">
        <f>Exh3B!$A103</f>
        <v>Item 6b</v>
      </c>
      <c r="B103" s="204" t="str">
        <f>Exh3B!$B103</f>
        <v>Allowable Capped Expense</v>
      </c>
      <c r="C103" s="154" t="s">
        <v>70</v>
      </c>
      <c r="D103" s="385" t="s">
        <v>70</v>
      </c>
      <c r="E103" s="65"/>
      <c r="F103" s="69">
        <f>IF(G102=0,0,(G103/G102)*F102)</f>
        <v>0</v>
      </c>
      <c r="G103" s="74">
        <f>IF(InsMarketMethod="D",InputTOTAL!$F$11,IF(InsMarketMethod="C",InputTOTAL!$G$11,InputTOTAL!$H$11))</f>
        <v>0.272</v>
      </c>
    </row>
    <row r="104" spans="1:7" ht="15.75" customHeight="1">
      <c r="A104" s="187" t="str">
        <f>Exh3B!$A104</f>
        <v>Item 6</v>
      </c>
      <c r="B104" s="204" t="str">
        <f>Exh3B!$B104</f>
        <v>Additional Allowable Efficiency Expense</v>
      </c>
      <c r="C104" s="154" t="s">
        <v>70</v>
      </c>
      <c r="D104" s="385" t="s">
        <v>70</v>
      </c>
      <c r="E104" s="65"/>
      <c r="F104" s="69">
        <f>MAX(F103-F102,0)</f>
        <v>0</v>
      </c>
      <c r="G104" s="74">
        <f>MAX(G103-G102,0)</f>
        <v>0.272</v>
      </c>
    </row>
    <row r="105" spans="1:7" ht="15.75" customHeight="1">
      <c r="A105" s="187" t="str">
        <f>Exh3B!$A105</f>
        <v>Item 7</v>
      </c>
      <c r="B105" s="204" t="str">
        <f>Exh3B!$B105</f>
        <v>Direct Taxes, Licenses &amp; Fees</v>
      </c>
      <c r="C105" s="62">
        <f>Exh3B!$C105</f>
        <v>0</v>
      </c>
      <c r="D105" s="55">
        <f>IF(C97=0,0,C105/C97)</f>
        <v>0</v>
      </c>
      <c r="E105" s="204"/>
      <c r="F105" s="62">
        <f>InputA!$K$90</f>
        <v>0</v>
      </c>
      <c r="G105" s="74">
        <f>IF(F97=0,0,F105/F97)</f>
        <v>0</v>
      </c>
    </row>
    <row r="106" spans="1:7" ht="15.75" customHeight="1">
      <c r="A106" s="187" t="str">
        <f>Exh3B!$A106</f>
        <v>Item 8</v>
      </c>
      <c r="B106" s="204" t="str">
        <f>Exh3B!$B106</f>
        <v>Direct Prepaid Expenses</v>
      </c>
      <c r="C106" s="418">
        <f>IF(SUM(C99:C101)=0,0,0.5*(C99+C100)+C104*(C99+C100)/(C99+C100+C101)+C101+C105)</f>
        <v>0</v>
      </c>
      <c r="D106" s="55">
        <f>IF(C98=0,0,C106/C98)</f>
        <v>0</v>
      </c>
      <c r="E106" s="65"/>
      <c r="F106" s="418">
        <f>IF(SUM(F99:F101)=0,0,0.5*(F99+F100)+F104*(F99+F100)/(F99+F100+F101)+F101+F105)</f>
        <v>0</v>
      </c>
      <c r="G106" s="74">
        <f>IF(F98=0,0,F106/F98)</f>
        <v>0</v>
      </c>
    </row>
    <row r="107" spans="1:7" ht="15.75" customHeight="1">
      <c r="A107" s="187" t="str">
        <f>Exh3B!$A107</f>
        <v>Item 9</v>
      </c>
      <c r="B107" s="204" t="str">
        <f>Exh3B!$B107</f>
        <v>Net Catastrophe Reinsurance</v>
      </c>
      <c r="C107" s="62">
        <f>Exh3B!$C107</f>
        <v>0</v>
      </c>
      <c r="D107" s="55">
        <f>IF(C97=0,0,C107/C97)</f>
        <v>0</v>
      </c>
      <c r="E107" s="65"/>
      <c r="F107" s="418">
        <f>G107*F97</f>
        <v>0</v>
      </c>
      <c r="G107" s="74">
        <f>D107</f>
        <v>0</v>
      </c>
    </row>
    <row r="108" spans="1:7" ht="15.75" customHeight="1" thickBot="1">
      <c r="A108" s="216" t="str">
        <f>Exh3B!$A108</f>
        <v>Item 10</v>
      </c>
      <c r="B108" s="217" t="str">
        <f>Exh3B!$B108</f>
        <v>LAD Fees Paid</v>
      </c>
      <c r="C108" s="70" t="s">
        <v>70</v>
      </c>
      <c r="D108" s="386" t="s">
        <v>70</v>
      </c>
      <c r="E108" s="217"/>
      <c r="F108" s="63">
        <f>InputA!$K$92</f>
        <v>0</v>
      </c>
      <c r="G108" s="75">
        <f>IF(F97=0,0,F108/F97)</f>
        <v>0</v>
      </c>
    </row>
  </sheetData>
  <sheetProtection password="DCE9" sheet="1" objects="1" scenarios="1"/>
  <printOptions headings="1"/>
  <pageMargins left="0.5" right="0.5" top="0.5" bottom="0.5" header="0.5" footer="0.5"/>
  <pageSetup firstPageNumber="96" useFirstPageNumber="1" horizontalDpi="300" verticalDpi="300" orientation="landscape" scale="65" r:id="rId1"/>
  <headerFooter alignWithMargins="0">
    <oddFooter>&amp;L&amp;D&amp;RPage &amp;P of &amp;N</oddFooter>
  </headerFooter>
  <rowBreaks count="2" manualBreakCount="2">
    <brk id="49" max="6" man="1"/>
    <brk id="94" max="6" man="1"/>
  </rowBreaks>
</worksheet>
</file>

<file path=xl/worksheets/sheet16.xml><?xml version="1.0" encoding="utf-8"?>
<worksheet xmlns="http://schemas.openxmlformats.org/spreadsheetml/2006/main" xmlns:r="http://schemas.openxmlformats.org/officeDocument/2006/relationships">
  <sheetPr codeName="Sheet5" transitionEvaluation="1"/>
  <dimension ref="A1:G108"/>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3" customWidth="1"/>
    <col min="2" max="2" width="45.00390625" style="3" customWidth="1"/>
    <col min="3" max="4" width="18.71093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374</v>
      </c>
    </row>
    <row r="2" spans="1:7" ht="15.75" customHeight="1">
      <c r="A2" s="140" t="str">
        <f>InputB!$A$2</f>
        <v>Group NAIC #:</v>
      </c>
      <c r="B2" s="137" t="str">
        <f>InputB!$C$2</f>
        <v>enter group # here</v>
      </c>
      <c r="C2"/>
      <c r="D2"/>
      <c r="E2"/>
      <c r="F2"/>
      <c r="G2" s="139" t="s">
        <v>362</v>
      </c>
    </row>
    <row r="3" spans="1:6" ht="15.75" customHeight="1">
      <c r="A3" s="197" t="str">
        <f>InputB!$A$3</f>
        <v>Year Filed:</v>
      </c>
      <c r="B3" s="141">
        <f>InputB!$C$3</f>
        <v>2024</v>
      </c>
      <c r="C3"/>
      <c r="D3"/>
      <c r="E3"/>
      <c r="F3"/>
    </row>
    <row r="4" spans="1:7" ht="15.75" customHeight="1" thickBot="1">
      <c r="A4" s="4"/>
      <c r="B4" s="197"/>
      <c r="E4" s="7"/>
      <c r="F4" s="7"/>
      <c r="G4" s="7"/>
    </row>
    <row r="5" spans="1:7" ht="15.75" customHeight="1">
      <c r="A5" s="198"/>
      <c r="B5" s="199"/>
      <c r="C5" s="384" t="s">
        <v>192</v>
      </c>
      <c r="D5" s="200"/>
      <c r="E5" s="199"/>
      <c r="F5" s="384" t="s">
        <v>193</v>
      </c>
      <c r="G5" s="201"/>
    </row>
    <row r="6" spans="1:7" ht="15.75" customHeight="1">
      <c r="A6" s="206"/>
      <c r="B6" s="208" t="str">
        <f>"Calendar Year "&amp;TEXT(ReportYear-1,"0")</f>
        <v>Calendar Year 2023</v>
      </c>
      <c r="C6" s="152" t="s">
        <v>118</v>
      </c>
      <c r="D6" s="152" t="s">
        <v>119</v>
      </c>
      <c r="E6" s="204"/>
      <c r="F6" s="152" t="s">
        <v>120</v>
      </c>
      <c r="G6" s="153" t="s">
        <v>121</v>
      </c>
    </row>
    <row r="7" spans="1:7" ht="15.75" customHeight="1">
      <c r="A7" s="146" t="s">
        <v>6</v>
      </c>
      <c r="B7" s="211" t="s">
        <v>126</v>
      </c>
      <c r="C7" s="90">
        <f>InputB!$E$80</f>
        <v>0</v>
      </c>
      <c r="D7" s="71" t="s">
        <v>59</v>
      </c>
      <c r="E7" s="65"/>
      <c r="F7" s="90">
        <f>Exh1B!$D$11</f>
        <v>0</v>
      </c>
      <c r="G7" s="73" t="s">
        <v>59</v>
      </c>
    </row>
    <row r="8" spans="1:7" ht="15.75" customHeight="1">
      <c r="A8" s="146" t="s">
        <v>1</v>
      </c>
      <c r="B8" s="211" t="s">
        <v>127</v>
      </c>
      <c r="C8" s="69">
        <f>InputB!$E$81</f>
        <v>0</v>
      </c>
      <c r="D8" s="71" t="s">
        <v>59</v>
      </c>
      <c r="E8" s="65"/>
      <c r="F8" s="69">
        <f>Exh1B!$E$11</f>
        <v>0</v>
      </c>
      <c r="G8" s="72" t="s">
        <v>59</v>
      </c>
    </row>
    <row r="9" spans="1:7" ht="15.75" customHeight="1">
      <c r="A9" s="146" t="s">
        <v>2</v>
      </c>
      <c r="B9" s="211" t="s">
        <v>143</v>
      </c>
      <c r="C9" s="69">
        <f>InputB!$E$82</f>
        <v>0</v>
      </c>
      <c r="D9" s="55">
        <f>IF(C8=0,0,C9/C8)</f>
        <v>0</v>
      </c>
      <c r="E9" s="65"/>
      <c r="F9" s="69">
        <f>F8*G9</f>
        <v>0</v>
      </c>
      <c r="G9" s="74">
        <f>D9</f>
        <v>0</v>
      </c>
    </row>
    <row r="10" spans="1:7" ht="15.75" customHeight="1">
      <c r="A10" s="146" t="s">
        <v>7</v>
      </c>
      <c r="B10" s="211" t="s">
        <v>194</v>
      </c>
      <c r="C10" s="69">
        <f>InputB!$E$83</f>
        <v>0</v>
      </c>
      <c r="D10" s="55">
        <f>IF(C8=0,0,C10/C8)</f>
        <v>0</v>
      </c>
      <c r="E10" s="65"/>
      <c r="F10" s="69">
        <f>F8*G10</f>
        <v>0</v>
      </c>
      <c r="G10" s="74">
        <f>D10</f>
        <v>0</v>
      </c>
    </row>
    <row r="11" spans="1:7" ht="15.75" customHeight="1">
      <c r="A11" s="146" t="s">
        <v>3</v>
      </c>
      <c r="B11" s="211" t="s">
        <v>144</v>
      </c>
      <c r="C11" s="69">
        <f>InputB!$E$84</f>
        <v>0</v>
      </c>
      <c r="D11" s="55">
        <f>IF(C7=0,0,C11/C7)</f>
        <v>0</v>
      </c>
      <c r="E11" s="65"/>
      <c r="F11" s="69">
        <f>InputB!$E$89</f>
        <v>0</v>
      </c>
      <c r="G11" s="74">
        <f>IF(F7=0,0,F11/F7)</f>
        <v>0</v>
      </c>
    </row>
    <row r="12" spans="1:7" ht="15.75" customHeight="1">
      <c r="A12" s="146" t="s">
        <v>202</v>
      </c>
      <c r="B12" s="211" t="str">
        <f>"Expenses subject to Capping (Items 3-5)"</f>
        <v>Expenses subject to Capping (Items 3-5)</v>
      </c>
      <c r="C12" s="154" t="s">
        <v>70</v>
      </c>
      <c r="D12" s="385" t="s">
        <v>70</v>
      </c>
      <c r="E12" s="65"/>
      <c r="F12" s="69">
        <f>SUM(F9:F11)</f>
        <v>0</v>
      </c>
      <c r="G12" s="74">
        <f>SUM(G9:G11)</f>
        <v>0</v>
      </c>
    </row>
    <row r="13" spans="1:7" ht="15.75" customHeight="1">
      <c r="A13" s="146" t="s">
        <v>203</v>
      </c>
      <c r="B13" s="211" t="s">
        <v>200</v>
      </c>
      <c r="C13" s="154" t="s">
        <v>70</v>
      </c>
      <c r="D13" s="385" t="s">
        <v>70</v>
      </c>
      <c r="E13" s="65"/>
      <c r="F13" s="69">
        <f>IF(G12=0,0,(G13/G12)*F12)</f>
        <v>0</v>
      </c>
      <c r="G13" s="74">
        <f>IF(InsMarketMethod="D",InputTOTAL!$F$11,IF(InsMarketMethod="C",InputTOTAL!$G$11,InputTOTAL!$H$11))</f>
        <v>0.272</v>
      </c>
    </row>
    <row r="14" spans="1:7" ht="15.75" customHeight="1">
      <c r="A14" s="146" t="s">
        <v>4</v>
      </c>
      <c r="B14" s="164" t="s">
        <v>201</v>
      </c>
      <c r="C14" s="154" t="s">
        <v>70</v>
      </c>
      <c r="D14" s="385" t="s">
        <v>70</v>
      </c>
      <c r="E14" s="65"/>
      <c r="F14" s="69">
        <f>MAX(F13-F12,0)</f>
        <v>0</v>
      </c>
      <c r="G14" s="74">
        <f>MAX(G13-G12,0)</f>
        <v>0.272</v>
      </c>
    </row>
    <row r="15" spans="1:7" ht="15.75" customHeight="1">
      <c r="A15" s="146" t="s">
        <v>11</v>
      </c>
      <c r="B15" s="211" t="s">
        <v>195</v>
      </c>
      <c r="C15" s="69">
        <f>InputB!$E$85</f>
        <v>0</v>
      </c>
      <c r="D15" s="55">
        <f>IF(C7=0,0,C15/C7)</f>
        <v>0</v>
      </c>
      <c r="E15" s="65"/>
      <c r="F15" s="69">
        <f>InputB!$E$90</f>
        <v>0</v>
      </c>
      <c r="G15" s="74">
        <f>IF(F7=0,0,F15/F7)</f>
        <v>0</v>
      </c>
    </row>
    <row r="16" spans="1:7" ht="15.75" customHeight="1">
      <c r="A16" s="146" t="s">
        <v>5</v>
      </c>
      <c r="B16" s="211" t="s">
        <v>145</v>
      </c>
      <c r="C16" s="418">
        <f>IF(SUM(C9:C11)=0,0,0.5*(C9+C10)+C14*(C9+C10)/(C9+C10+C11)+C11+C15)</f>
        <v>0</v>
      </c>
      <c r="D16" s="55">
        <f>IF(C8=0,0,C16/C8)</f>
        <v>0</v>
      </c>
      <c r="E16" s="65"/>
      <c r="F16" s="418">
        <f>IF(SUM(F9:F11)=0,0,0.5*(F9+F10)+F14*(F9+F10)/(F9+F10+F11)+F11+F15)</f>
        <v>0</v>
      </c>
      <c r="G16" s="74">
        <f>IF(F8=0,0,F16/F8)</f>
        <v>0</v>
      </c>
    </row>
    <row r="17" spans="1:7" ht="15.75" customHeight="1">
      <c r="A17" s="146" t="s">
        <v>14</v>
      </c>
      <c r="B17" s="211" t="s">
        <v>223</v>
      </c>
      <c r="C17" s="418">
        <f>InputB!$E$86</f>
        <v>0</v>
      </c>
      <c r="D17" s="55">
        <f>IF(C7=0,0,C17/C7)</f>
        <v>0</v>
      </c>
      <c r="E17" s="65"/>
      <c r="F17" s="418">
        <f>G17*F7</f>
        <v>0</v>
      </c>
      <c r="G17" s="74">
        <f>D17</f>
        <v>0</v>
      </c>
    </row>
    <row r="18" spans="1:7" ht="15.75" customHeight="1">
      <c r="A18" s="146" t="s">
        <v>23</v>
      </c>
      <c r="B18" s="211" t="s">
        <v>146</v>
      </c>
      <c r="C18" s="154" t="s">
        <v>70</v>
      </c>
      <c r="D18" s="385" t="s">
        <v>70</v>
      </c>
      <c r="E18" s="65"/>
      <c r="F18" s="69">
        <f>InputB!$E$92</f>
        <v>0</v>
      </c>
      <c r="G18" s="74">
        <f>IF(F7=0,0,F18/F7)</f>
        <v>0</v>
      </c>
    </row>
    <row r="19" spans="1:7" ht="15.75" customHeight="1">
      <c r="A19" s="206"/>
      <c r="B19" s="204"/>
      <c r="C19" s="212"/>
      <c r="D19" s="212"/>
      <c r="E19" s="212"/>
      <c r="F19" s="212"/>
      <c r="G19" s="213"/>
    </row>
    <row r="20" spans="1:7" ht="15.75" customHeight="1">
      <c r="A20" s="202"/>
      <c r="B20" s="204"/>
      <c r="C20" s="389" t="str">
        <f>C5</f>
        <v>Part 1  -  Countrywide</v>
      </c>
      <c r="D20" s="165"/>
      <c r="E20" s="211"/>
      <c r="F20" s="389" t="str">
        <f>F5</f>
        <v>Part 2  -  New Jersey</v>
      </c>
      <c r="G20" s="214"/>
    </row>
    <row r="21" spans="1:7" ht="15.75" customHeight="1">
      <c r="A21" s="206"/>
      <c r="B21" s="208" t="str">
        <f>"Calendar Year "&amp;TEXT(ReportYear-2,"0")</f>
        <v>Calendar Year 2022</v>
      </c>
      <c r="C21" s="189" t="str">
        <f>C6</f>
        <v>Col (1)</v>
      </c>
      <c r="D21" s="189" t="str">
        <f>D6</f>
        <v>Col (2)</v>
      </c>
      <c r="E21" s="204"/>
      <c r="F21" s="189" t="str">
        <f>F6</f>
        <v>Col (3)</v>
      </c>
      <c r="G21" s="207" t="str">
        <f>G6</f>
        <v>Col (4)</v>
      </c>
    </row>
    <row r="22" spans="1:7" ht="15.75" customHeight="1">
      <c r="A22" s="146" t="str">
        <f aca="true" t="shared" si="0" ref="A22:B25">A7</f>
        <v>Item 1</v>
      </c>
      <c r="B22" s="211" t="str">
        <f t="shared" si="0"/>
        <v>Direct Written Premium</v>
      </c>
      <c r="C22" s="90">
        <f>InputB!$F$80</f>
        <v>0</v>
      </c>
      <c r="D22" s="71" t="s">
        <v>59</v>
      </c>
      <c r="E22" s="65"/>
      <c r="F22" s="90">
        <f>Exh1B!$D$23</f>
        <v>0</v>
      </c>
      <c r="G22" s="73" t="s">
        <v>59</v>
      </c>
    </row>
    <row r="23" spans="1:7" ht="15.75" customHeight="1">
      <c r="A23" s="146" t="str">
        <f t="shared" si="0"/>
        <v>Item 2</v>
      </c>
      <c r="B23" s="211" t="str">
        <f t="shared" si="0"/>
        <v>Direct Earned Premium</v>
      </c>
      <c r="C23" s="69">
        <f>InputB!$F$81</f>
        <v>0</v>
      </c>
      <c r="D23" s="71" t="s">
        <v>59</v>
      </c>
      <c r="E23" s="65"/>
      <c r="F23" s="69">
        <f>Exh1B!$E$23</f>
        <v>0</v>
      </c>
      <c r="G23" s="73" t="s">
        <v>59</v>
      </c>
    </row>
    <row r="24" spans="1:7" ht="15.75" customHeight="1">
      <c r="A24" s="146" t="str">
        <f t="shared" si="0"/>
        <v>Item 3</v>
      </c>
      <c r="B24" s="211" t="str">
        <f t="shared" si="0"/>
        <v>Direct Other Acquisition Expense</v>
      </c>
      <c r="C24" s="69">
        <f>InputB!$F$82</f>
        <v>0</v>
      </c>
      <c r="D24" s="55">
        <f>IF(C23=0,0,C24/C23)</f>
        <v>0</v>
      </c>
      <c r="E24" s="65"/>
      <c r="F24" s="69">
        <f>F23*G24</f>
        <v>0</v>
      </c>
      <c r="G24" s="74">
        <f>D24</f>
        <v>0</v>
      </c>
    </row>
    <row r="25" spans="1:7" ht="15.75" customHeight="1">
      <c r="A25" s="146" t="str">
        <f t="shared" si="0"/>
        <v>Item 4</v>
      </c>
      <c r="B25" s="211" t="str">
        <f t="shared" si="0"/>
        <v>Direct General Expense</v>
      </c>
      <c r="C25" s="69">
        <f>InputB!$F$83</f>
        <v>0</v>
      </c>
      <c r="D25" s="55">
        <f>IF(C23=0,0,C25/C23)</f>
        <v>0</v>
      </c>
      <c r="E25" s="65"/>
      <c r="F25" s="69">
        <f>F23*G25</f>
        <v>0</v>
      </c>
      <c r="G25" s="74">
        <f>D25</f>
        <v>0</v>
      </c>
    </row>
    <row r="26" spans="1:7" ht="15.75" customHeight="1">
      <c r="A26" s="146" t="str">
        <f aca="true" t="shared" si="1" ref="A26:B29">A11</f>
        <v>Item 5</v>
      </c>
      <c r="B26" s="211" t="str">
        <f t="shared" si="1"/>
        <v>Direct Commission &amp; Brokerage</v>
      </c>
      <c r="C26" s="69">
        <f>InputB!$F$84</f>
        <v>0</v>
      </c>
      <c r="D26" s="55">
        <f>IF(C$22=0,0,C26/C$22)</f>
        <v>0</v>
      </c>
      <c r="E26" s="65"/>
      <c r="F26" s="69">
        <f>InputB!$F$89</f>
        <v>0</v>
      </c>
      <c r="G26" s="74">
        <f>IF(F22=0,0,F26/F22)</f>
        <v>0</v>
      </c>
    </row>
    <row r="27" spans="1:7" ht="15.75" customHeight="1">
      <c r="A27" s="146" t="str">
        <f t="shared" si="1"/>
        <v>Item 6a</v>
      </c>
      <c r="B27" s="211" t="str">
        <f t="shared" si="1"/>
        <v>Expenses subject to Capping (Items 3-5)</v>
      </c>
      <c r="C27" s="154" t="s">
        <v>70</v>
      </c>
      <c r="D27" s="385" t="s">
        <v>70</v>
      </c>
      <c r="E27" s="65"/>
      <c r="F27" s="69">
        <f>SUM(F24:F26)</f>
        <v>0</v>
      </c>
      <c r="G27" s="74">
        <f>SUM(G24:G26)</f>
        <v>0</v>
      </c>
    </row>
    <row r="28" spans="1:7" ht="15.75" customHeight="1">
      <c r="A28" s="146" t="str">
        <f t="shared" si="1"/>
        <v>Item 6b</v>
      </c>
      <c r="B28" s="211" t="str">
        <f t="shared" si="1"/>
        <v>Allowable Capped Expense</v>
      </c>
      <c r="C28" s="154" t="s">
        <v>70</v>
      </c>
      <c r="D28" s="385" t="s">
        <v>70</v>
      </c>
      <c r="E28" s="65"/>
      <c r="F28" s="69">
        <f>IF(G27=0,0,(G28/G27)*F27)</f>
        <v>0</v>
      </c>
      <c r="G28" s="74">
        <f>IF(InsMarketMethod="D",InputTOTAL!$F$11,IF(InsMarketMethod="C",InputTOTAL!$G$11,InputTOTAL!$H$11))</f>
        <v>0.272</v>
      </c>
    </row>
    <row r="29" spans="1:7" ht="15.75" customHeight="1">
      <c r="A29" s="146" t="str">
        <f t="shared" si="1"/>
        <v>Item 6</v>
      </c>
      <c r="B29" s="211" t="str">
        <f t="shared" si="1"/>
        <v>Additional Allowable Efficiency Expense</v>
      </c>
      <c r="C29" s="154" t="s">
        <v>70</v>
      </c>
      <c r="D29" s="385" t="s">
        <v>70</v>
      </c>
      <c r="E29" s="65"/>
      <c r="F29" s="69">
        <f>MAX(F28-F27,0)</f>
        <v>0</v>
      </c>
      <c r="G29" s="74">
        <f>MAX(G28-G27,0)</f>
        <v>0.272</v>
      </c>
    </row>
    <row r="30" spans="1:7" ht="15.75" customHeight="1">
      <c r="A30" s="146" t="str">
        <f aca="true" t="shared" si="2" ref="A30:B33">A15</f>
        <v>Item 7</v>
      </c>
      <c r="B30" s="211" t="str">
        <f t="shared" si="2"/>
        <v>Direct Taxes, Licenses &amp; Fees</v>
      </c>
      <c r="C30" s="69">
        <f>InputB!$F$85</f>
        <v>0</v>
      </c>
      <c r="D30" s="55">
        <f>IF(C22=0,0,C30/C22)</f>
        <v>0</v>
      </c>
      <c r="E30" s="65"/>
      <c r="F30" s="69">
        <f>InputB!$F$90</f>
        <v>0</v>
      </c>
      <c r="G30" s="74">
        <f>IF(F22=0,0,F30/F22)</f>
        <v>0</v>
      </c>
    </row>
    <row r="31" spans="1:7" ht="15.75" customHeight="1">
      <c r="A31" s="146" t="str">
        <f t="shared" si="2"/>
        <v>Item 8</v>
      </c>
      <c r="B31" s="211" t="str">
        <f t="shared" si="2"/>
        <v>Direct Prepaid Expenses</v>
      </c>
      <c r="C31" s="418">
        <f>IF(SUM(C24:C26)=0,0,0.5*(C24+C25)+C29*(C24+C25)/(C24+C25+C26)+C26+C30)</f>
        <v>0</v>
      </c>
      <c r="D31" s="55">
        <f>IF(C23=0,0,C31/C23)</f>
        <v>0</v>
      </c>
      <c r="E31" s="65"/>
      <c r="F31" s="418">
        <f>IF(SUM(F24:F26)=0,0,0.5*(F24+F25)+F29*(F24+F25)/(F24+F25+F26)+F26+F30)</f>
        <v>0</v>
      </c>
      <c r="G31" s="74">
        <f>IF(F23=0,0,F31/F23)</f>
        <v>0</v>
      </c>
    </row>
    <row r="32" spans="1:7" ht="15.75" customHeight="1">
      <c r="A32" s="146" t="str">
        <f t="shared" si="2"/>
        <v>Item 9</v>
      </c>
      <c r="B32" s="211" t="str">
        <f t="shared" si="2"/>
        <v>Net Catastrophe Reinsurance</v>
      </c>
      <c r="C32" s="418">
        <f>InputB!$F$86</f>
        <v>0</v>
      </c>
      <c r="D32" s="55">
        <f>IF(C22=0,0,C32/C22)</f>
        <v>0</v>
      </c>
      <c r="E32" s="65"/>
      <c r="F32" s="418">
        <f>G32*F22</f>
        <v>0</v>
      </c>
      <c r="G32" s="74">
        <f>D32</f>
        <v>0</v>
      </c>
    </row>
    <row r="33" spans="1:7" ht="15.75" customHeight="1">
      <c r="A33" s="146" t="str">
        <f t="shared" si="2"/>
        <v>Item 10</v>
      </c>
      <c r="B33" s="211" t="str">
        <f t="shared" si="2"/>
        <v>LAD Fees Paid</v>
      </c>
      <c r="C33" s="154" t="s">
        <v>70</v>
      </c>
      <c r="D33" s="385" t="s">
        <v>70</v>
      </c>
      <c r="E33" s="65"/>
      <c r="F33" s="69">
        <f>InputB!$F$92</f>
        <v>0</v>
      </c>
      <c r="G33" s="74">
        <f>IF(F22=0,0,F33/F22)</f>
        <v>0</v>
      </c>
    </row>
    <row r="34" spans="1:7" ht="15.75" customHeight="1">
      <c r="A34" s="206"/>
      <c r="B34" s="204"/>
      <c r="C34" s="67"/>
      <c r="D34" s="64"/>
      <c r="E34" s="65"/>
      <c r="F34" s="67"/>
      <c r="G34" s="66"/>
    </row>
    <row r="35" spans="1:7" ht="15.75" customHeight="1">
      <c r="A35" s="202"/>
      <c r="B35" s="204"/>
      <c r="C35" s="389" t="str">
        <f>C5</f>
        <v>Part 1  -  Countrywide</v>
      </c>
      <c r="D35" s="165"/>
      <c r="E35" s="211"/>
      <c r="F35" s="389" t="str">
        <f>F5</f>
        <v>Part 2  -  New Jersey</v>
      </c>
      <c r="G35" s="214"/>
    </row>
    <row r="36" spans="1:7" ht="15.75" customHeight="1">
      <c r="A36" s="206"/>
      <c r="B36" s="208" t="str">
        <f>"Calendar Year "&amp;TEXT(ReportYear-3,"0")</f>
        <v>Calendar Year 2021</v>
      </c>
      <c r="C36" s="189" t="str">
        <f>C6</f>
        <v>Col (1)</v>
      </c>
      <c r="D36" s="189" t="str">
        <f>D6</f>
        <v>Col (2)</v>
      </c>
      <c r="E36" s="204"/>
      <c r="F36" s="189" t="str">
        <f>F6</f>
        <v>Col (3)</v>
      </c>
      <c r="G36" s="207" t="str">
        <f>G6</f>
        <v>Col (4)</v>
      </c>
    </row>
    <row r="37" spans="1:7" ht="15.75" customHeight="1">
      <c r="A37" s="146" t="str">
        <f aca="true" t="shared" si="3" ref="A37:B40">A7</f>
        <v>Item 1</v>
      </c>
      <c r="B37" s="211" t="str">
        <f t="shared" si="3"/>
        <v>Direct Written Premium</v>
      </c>
      <c r="C37" s="90">
        <f>InputB!$G$80</f>
        <v>0</v>
      </c>
      <c r="D37" s="71" t="s">
        <v>59</v>
      </c>
      <c r="E37" s="65"/>
      <c r="F37" s="90">
        <f>Exh1B!$D$35</f>
        <v>0</v>
      </c>
      <c r="G37" s="73" t="s">
        <v>59</v>
      </c>
    </row>
    <row r="38" spans="1:7" ht="15.75" customHeight="1">
      <c r="A38" s="146" t="str">
        <f t="shared" si="3"/>
        <v>Item 2</v>
      </c>
      <c r="B38" s="211" t="str">
        <f t="shared" si="3"/>
        <v>Direct Earned Premium</v>
      </c>
      <c r="C38" s="69">
        <f>InputB!$G$81</f>
        <v>0</v>
      </c>
      <c r="D38" s="71" t="s">
        <v>59</v>
      </c>
      <c r="E38" s="65"/>
      <c r="F38" s="69">
        <f>Exh1B!$E$35</f>
        <v>0</v>
      </c>
      <c r="G38" s="72" t="s">
        <v>59</v>
      </c>
    </row>
    <row r="39" spans="1:7" ht="15.75" customHeight="1">
      <c r="A39" s="146" t="str">
        <f t="shared" si="3"/>
        <v>Item 3</v>
      </c>
      <c r="B39" s="211" t="str">
        <f t="shared" si="3"/>
        <v>Direct Other Acquisition Expense</v>
      </c>
      <c r="C39" s="69">
        <f>InputB!$G$82</f>
        <v>0</v>
      </c>
      <c r="D39" s="55">
        <f>IF(C38=0,0,C39/C38)</f>
        <v>0</v>
      </c>
      <c r="E39" s="65"/>
      <c r="F39" s="69">
        <f>F38*G39</f>
        <v>0</v>
      </c>
      <c r="G39" s="74">
        <f>D39</f>
        <v>0</v>
      </c>
    </row>
    <row r="40" spans="1:7" ht="15.75" customHeight="1">
      <c r="A40" s="146" t="str">
        <f t="shared" si="3"/>
        <v>Item 4</v>
      </c>
      <c r="B40" s="211" t="str">
        <f aca="true" t="shared" si="4" ref="B40:B48">B10</f>
        <v>Direct General Expense</v>
      </c>
      <c r="C40" s="69">
        <f>InputB!$G$83</f>
        <v>0</v>
      </c>
      <c r="D40" s="55">
        <f>IF(C38=0,0,C40/C38)</f>
        <v>0</v>
      </c>
      <c r="E40" s="65"/>
      <c r="F40" s="69">
        <f>F38*G40</f>
        <v>0</v>
      </c>
      <c r="G40" s="74">
        <f>D40</f>
        <v>0</v>
      </c>
    </row>
    <row r="41" spans="1:7" ht="15.75" customHeight="1">
      <c r="A41" s="146" t="str">
        <f aca="true" t="shared" si="5" ref="A41:A48">A11</f>
        <v>Item 5</v>
      </c>
      <c r="B41" s="211" t="str">
        <f t="shared" si="4"/>
        <v>Direct Commission &amp; Brokerage</v>
      </c>
      <c r="C41" s="69">
        <f>InputB!$G$84</f>
        <v>0</v>
      </c>
      <c r="D41" s="55">
        <f>IF(C$37=0,0,C41/C$37)</f>
        <v>0</v>
      </c>
      <c r="E41" s="65"/>
      <c r="F41" s="69">
        <f>InputB!$G$89</f>
        <v>0</v>
      </c>
      <c r="G41" s="74">
        <f>IF(F37=0,0,F41/F37)</f>
        <v>0</v>
      </c>
    </row>
    <row r="42" spans="1:7" ht="15.75" customHeight="1">
      <c r="A42" s="146" t="str">
        <f t="shared" si="5"/>
        <v>Item 6a</v>
      </c>
      <c r="B42" s="211" t="str">
        <f t="shared" si="4"/>
        <v>Expenses subject to Capping (Items 3-5)</v>
      </c>
      <c r="C42" s="154" t="s">
        <v>70</v>
      </c>
      <c r="D42" s="385" t="s">
        <v>70</v>
      </c>
      <c r="E42" s="65"/>
      <c r="F42" s="69">
        <f>SUM(F39:F41)</f>
        <v>0</v>
      </c>
      <c r="G42" s="74">
        <f>SUM(G39:G41)</f>
        <v>0</v>
      </c>
    </row>
    <row r="43" spans="1:7" ht="15.75" customHeight="1">
      <c r="A43" s="146" t="str">
        <f t="shared" si="5"/>
        <v>Item 6b</v>
      </c>
      <c r="B43" s="211" t="str">
        <f t="shared" si="4"/>
        <v>Allowable Capped Expense</v>
      </c>
      <c r="C43" s="154" t="s">
        <v>70</v>
      </c>
      <c r="D43" s="385" t="s">
        <v>70</v>
      </c>
      <c r="E43" s="65"/>
      <c r="F43" s="69">
        <f>IF(G42=0,0,(G43/G42)*F42)</f>
        <v>0</v>
      </c>
      <c r="G43" s="74">
        <f>IF(InsMarketMethod="D",InputTOTAL!$F$11,IF(InsMarketMethod="C",InputTOTAL!$G$11,InputTOTAL!$H$11))</f>
        <v>0.272</v>
      </c>
    </row>
    <row r="44" spans="1:7" ht="15.75" customHeight="1">
      <c r="A44" s="146" t="str">
        <f t="shared" si="5"/>
        <v>Item 6</v>
      </c>
      <c r="B44" s="211" t="str">
        <f t="shared" si="4"/>
        <v>Additional Allowable Efficiency Expense</v>
      </c>
      <c r="C44" s="154" t="s">
        <v>70</v>
      </c>
      <c r="D44" s="385" t="s">
        <v>70</v>
      </c>
      <c r="E44" s="65"/>
      <c r="F44" s="69">
        <f>MAX(F43-F42,0)</f>
        <v>0</v>
      </c>
      <c r="G44" s="74">
        <f>MAX(G43-G42,0)</f>
        <v>0.272</v>
      </c>
    </row>
    <row r="45" spans="1:7" ht="15.75" customHeight="1">
      <c r="A45" s="146" t="str">
        <f t="shared" si="5"/>
        <v>Item 7</v>
      </c>
      <c r="B45" s="211" t="str">
        <f t="shared" si="4"/>
        <v>Direct Taxes, Licenses &amp; Fees</v>
      </c>
      <c r="C45" s="69">
        <f>InputB!$G$85</f>
        <v>0</v>
      </c>
      <c r="D45" s="55">
        <f>IF(C37=0,0,C45/C37)</f>
        <v>0</v>
      </c>
      <c r="E45" s="65"/>
      <c r="F45" s="69">
        <f>InputB!$G$90</f>
        <v>0</v>
      </c>
      <c r="G45" s="74">
        <f>IF(F37=0,0,F45/F37)</f>
        <v>0</v>
      </c>
    </row>
    <row r="46" spans="1:7" ht="15.75" customHeight="1">
      <c r="A46" s="146" t="str">
        <f t="shared" si="5"/>
        <v>Item 8</v>
      </c>
      <c r="B46" s="211" t="str">
        <f t="shared" si="4"/>
        <v>Direct Prepaid Expenses</v>
      </c>
      <c r="C46" s="418">
        <f>IF(SUM(C39:C41)=0,0,0.5*(C39+C40)+C44*(C39+C40)/(C39+C40+C41)+C41+C45)</f>
        <v>0</v>
      </c>
      <c r="D46" s="55">
        <f>IF(C38=0,0,C46/C38)</f>
        <v>0</v>
      </c>
      <c r="E46" s="65"/>
      <c r="F46" s="418">
        <f>IF(SUM(F39:F41)=0,0,0.5*(F39+F40)+F44*(F39+F40)/(F39+F40+F41)+F41+F45)</f>
        <v>0</v>
      </c>
      <c r="G46" s="74">
        <f>IF(F38=0,0,F46/F38)</f>
        <v>0</v>
      </c>
    </row>
    <row r="47" spans="1:7" ht="15.75" customHeight="1">
      <c r="A47" s="146" t="str">
        <f t="shared" si="5"/>
        <v>Item 9</v>
      </c>
      <c r="B47" s="211" t="str">
        <f t="shared" si="4"/>
        <v>Net Catastrophe Reinsurance</v>
      </c>
      <c r="C47" s="418">
        <f>InputB!$G$86</f>
        <v>0</v>
      </c>
      <c r="D47" s="55">
        <f>IF(C37=0,0,C47/C37)</f>
        <v>0</v>
      </c>
      <c r="E47" s="65"/>
      <c r="F47" s="418">
        <f>G47*F37</f>
        <v>0</v>
      </c>
      <c r="G47" s="74">
        <f>D47</f>
        <v>0</v>
      </c>
    </row>
    <row r="48" spans="1:7" ht="15.75" customHeight="1">
      <c r="A48" s="146" t="str">
        <f t="shared" si="5"/>
        <v>Item 10</v>
      </c>
      <c r="B48" s="211" t="str">
        <f t="shared" si="4"/>
        <v>LAD Fees Paid</v>
      </c>
      <c r="C48" s="154" t="s">
        <v>70</v>
      </c>
      <c r="D48" s="385" t="s">
        <v>70</v>
      </c>
      <c r="E48" s="65"/>
      <c r="F48" s="69">
        <f>InputB!$G$92</f>
        <v>0</v>
      </c>
      <c r="G48" s="74">
        <f>IF(F37=0,0,F48/F37)</f>
        <v>0</v>
      </c>
    </row>
    <row r="49" spans="1:7" ht="15.75" customHeight="1">
      <c r="A49" s="206"/>
      <c r="B49" s="204"/>
      <c r="C49" s="204"/>
      <c r="D49" s="204"/>
      <c r="E49" s="204"/>
      <c r="F49" s="204"/>
      <c r="G49" s="210"/>
    </row>
    <row r="50" spans="1:7" ht="15.75" customHeight="1">
      <c r="A50" s="202"/>
      <c r="B50" s="204"/>
      <c r="C50" s="389" t="str">
        <f>C20</f>
        <v>Part 1  -  Countrywide</v>
      </c>
      <c r="D50" s="165"/>
      <c r="E50" s="211"/>
      <c r="F50" s="389" t="str">
        <f>F20</f>
        <v>Part 2  -  New Jersey</v>
      </c>
      <c r="G50" s="214"/>
    </row>
    <row r="51" spans="1:7" ht="15.75" customHeight="1">
      <c r="A51" s="206"/>
      <c r="B51" s="208" t="str">
        <f>"Calendar Year "&amp;TEXT(ReportYear-4,"0")</f>
        <v>Calendar Year 2020</v>
      </c>
      <c r="C51" s="189" t="str">
        <f>C21</f>
        <v>Col (1)</v>
      </c>
      <c r="D51" s="189" t="str">
        <f>D21</f>
        <v>Col (2)</v>
      </c>
      <c r="E51" s="204"/>
      <c r="F51" s="189" t="str">
        <f>F21</f>
        <v>Col (3)</v>
      </c>
      <c r="G51" s="207" t="str">
        <f>G21</f>
        <v>Col (4)</v>
      </c>
    </row>
    <row r="52" spans="1:7" ht="15.75" customHeight="1">
      <c r="A52" s="146" t="str">
        <f aca="true" t="shared" si="6" ref="A52:B63">A22</f>
        <v>Item 1</v>
      </c>
      <c r="B52" s="211" t="str">
        <f t="shared" si="6"/>
        <v>Direct Written Premium</v>
      </c>
      <c r="C52" s="90">
        <f>InputB!$H$80</f>
        <v>0</v>
      </c>
      <c r="D52" s="71" t="s">
        <v>59</v>
      </c>
      <c r="E52" s="65"/>
      <c r="F52" s="90">
        <f>Exh1B!$D$52</f>
        <v>0</v>
      </c>
      <c r="G52" s="72" t="s">
        <v>59</v>
      </c>
    </row>
    <row r="53" spans="1:7" ht="15.75" customHeight="1">
      <c r="A53" s="146" t="str">
        <f t="shared" si="6"/>
        <v>Item 2</v>
      </c>
      <c r="B53" s="211" t="str">
        <f t="shared" si="6"/>
        <v>Direct Earned Premium</v>
      </c>
      <c r="C53" s="69">
        <f>InputB!$H$81</f>
        <v>0</v>
      </c>
      <c r="D53" s="421" t="s">
        <v>59</v>
      </c>
      <c r="E53" s="65"/>
      <c r="F53" s="69">
        <f>Exh1B!$E$52</f>
        <v>0</v>
      </c>
      <c r="G53" s="72" t="s">
        <v>59</v>
      </c>
    </row>
    <row r="54" spans="1:7" ht="15.75" customHeight="1">
      <c r="A54" s="146" t="str">
        <f t="shared" si="6"/>
        <v>Item 3</v>
      </c>
      <c r="B54" s="211" t="str">
        <f t="shared" si="6"/>
        <v>Direct Other Acquisition Expense</v>
      </c>
      <c r="C54" s="69">
        <f>InputB!$H$82</f>
        <v>0</v>
      </c>
      <c r="D54" s="55">
        <f>IF(C53=0,0,C54/C53)</f>
        <v>0</v>
      </c>
      <c r="E54" s="65"/>
      <c r="F54" s="69">
        <f>F53*G54</f>
        <v>0</v>
      </c>
      <c r="G54" s="74">
        <f>D54</f>
        <v>0</v>
      </c>
    </row>
    <row r="55" spans="1:7" ht="15.75" customHeight="1">
      <c r="A55" s="146" t="str">
        <f t="shared" si="6"/>
        <v>Item 4</v>
      </c>
      <c r="B55" s="211" t="str">
        <f t="shared" si="6"/>
        <v>Direct General Expense</v>
      </c>
      <c r="C55" s="69">
        <f>InputB!$H$83</f>
        <v>0</v>
      </c>
      <c r="D55" s="55">
        <f>IF(C53=0,0,C55/C53)</f>
        <v>0</v>
      </c>
      <c r="E55" s="65"/>
      <c r="F55" s="69">
        <f>F53*G55</f>
        <v>0</v>
      </c>
      <c r="G55" s="74">
        <f>D55</f>
        <v>0</v>
      </c>
    </row>
    <row r="56" spans="1:7" ht="15.75" customHeight="1">
      <c r="A56" s="146" t="str">
        <f t="shared" si="6"/>
        <v>Item 5</v>
      </c>
      <c r="B56" s="211" t="str">
        <f t="shared" si="6"/>
        <v>Direct Commission &amp; Brokerage</v>
      </c>
      <c r="C56" s="69">
        <f>InputB!$H$84</f>
        <v>0</v>
      </c>
      <c r="D56" s="55">
        <f>IF(C$52=0,0,C56/C$52)</f>
        <v>0</v>
      </c>
      <c r="E56" s="65"/>
      <c r="F56" s="69">
        <f>InputB!$H$89</f>
        <v>0</v>
      </c>
      <c r="G56" s="74">
        <f>IF(F52=0,0,F56/F52)</f>
        <v>0</v>
      </c>
    </row>
    <row r="57" spans="1:7" ht="15.75" customHeight="1">
      <c r="A57" s="146" t="str">
        <f t="shared" si="6"/>
        <v>Item 6a</v>
      </c>
      <c r="B57" s="211" t="str">
        <f t="shared" si="6"/>
        <v>Expenses subject to Capping (Items 3-5)</v>
      </c>
      <c r="C57" s="154" t="s">
        <v>70</v>
      </c>
      <c r="D57" s="385" t="s">
        <v>70</v>
      </c>
      <c r="E57" s="65"/>
      <c r="F57" s="69">
        <f>SUM(F54:F56)</f>
        <v>0</v>
      </c>
      <c r="G57" s="74">
        <f>SUM(G54:G56)</f>
        <v>0</v>
      </c>
    </row>
    <row r="58" spans="1:7" ht="15.75" customHeight="1">
      <c r="A58" s="146" t="str">
        <f t="shared" si="6"/>
        <v>Item 6b</v>
      </c>
      <c r="B58" s="211" t="str">
        <f t="shared" si="6"/>
        <v>Allowable Capped Expense</v>
      </c>
      <c r="C58" s="154" t="s">
        <v>70</v>
      </c>
      <c r="D58" s="385" t="s">
        <v>70</v>
      </c>
      <c r="E58" s="65"/>
      <c r="F58" s="69">
        <f>IF(G57=0,0,(G58/G57)*F57)</f>
        <v>0</v>
      </c>
      <c r="G58" s="74">
        <f>IF(InsMarketMethod="D",InputTOTAL!$F$11,IF(InsMarketMethod="C",InputTOTAL!$G$11,InputTOTAL!$H$11))</f>
        <v>0.272</v>
      </c>
    </row>
    <row r="59" spans="1:7" ht="15.75" customHeight="1">
      <c r="A59" s="146" t="str">
        <f t="shared" si="6"/>
        <v>Item 6</v>
      </c>
      <c r="B59" s="211" t="str">
        <f t="shared" si="6"/>
        <v>Additional Allowable Efficiency Expense</v>
      </c>
      <c r="C59" s="154" t="s">
        <v>70</v>
      </c>
      <c r="D59" s="385" t="s">
        <v>70</v>
      </c>
      <c r="E59" s="65"/>
      <c r="F59" s="69">
        <f>MAX(F58-F57,0)</f>
        <v>0</v>
      </c>
      <c r="G59" s="74">
        <f>MAX(G58-G57,0)</f>
        <v>0.272</v>
      </c>
    </row>
    <row r="60" spans="1:7" ht="15.75" customHeight="1">
      <c r="A60" s="146" t="str">
        <f t="shared" si="6"/>
        <v>Item 7</v>
      </c>
      <c r="B60" s="211" t="str">
        <f t="shared" si="6"/>
        <v>Direct Taxes, Licenses &amp; Fees</v>
      </c>
      <c r="C60" s="69">
        <f>InputB!$H$85</f>
        <v>0</v>
      </c>
      <c r="D60" s="55">
        <f>IF(C52=0,0,C60/C52)</f>
        <v>0</v>
      </c>
      <c r="E60" s="65"/>
      <c r="F60" s="69">
        <f>InputB!$H$90</f>
        <v>0</v>
      </c>
      <c r="G60" s="74">
        <f>IF(F52=0,0,F60/F52)</f>
        <v>0</v>
      </c>
    </row>
    <row r="61" spans="1:7" ht="15.75" customHeight="1">
      <c r="A61" s="146" t="str">
        <f t="shared" si="6"/>
        <v>Item 8</v>
      </c>
      <c r="B61" s="211" t="str">
        <f t="shared" si="6"/>
        <v>Direct Prepaid Expenses</v>
      </c>
      <c r="C61" s="418">
        <f>IF(SUM(C54:C56)=0,0,0.5*(C54+C55)+C59*(C54+C55)/(C54+C55+C56)+C56+C60)</f>
        <v>0</v>
      </c>
      <c r="D61" s="55">
        <f>IF(C53=0,0,C61/C53)</f>
        <v>0</v>
      </c>
      <c r="E61" s="65"/>
      <c r="F61" s="418">
        <f>IF(SUM(F54:F56)=0,0,0.5*(F54+F55)+F59*(F54+F55)/(F54+F55+F56)+F56+F60)</f>
        <v>0</v>
      </c>
      <c r="G61" s="74">
        <f>IF(F53=0,0,F61/F53)</f>
        <v>0</v>
      </c>
    </row>
    <row r="62" spans="1:7" ht="15.75" customHeight="1">
      <c r="A62" s="146" t="str">
        <f t="shared" si="6"/>
        <v>Item 9</v>
      </c>
      <c r="B62" s="211" t="str">
        <f t="shared" si="6"/>
        <v>Net Catastrophe Reinsurance</v>
      </c>
      <c r="C62" s="418">
        <f>InputB!$H$86</f>
        <v>0</v>
      </c>
      <c r="D62" s="55">
        <f>IF(C52=0,0,C62/C52)</f>
        <v>0</v>
      </c>
      <c r="E62" s="65"/>
      <c r="F62" s="418">
        <f>G62*F52</f>
        <v>0</v>
      </c>
      <c r="G62" s="74">
        <f>D62</f>
        <v>0</v>
      </c>
    </row>
    <row r="63" spans="1:7" ht="15.75" customHeight="1">
      <c r="A63" s="146" t="str">
        <f t="shared" si="6"/>
        <v>Item 10</v>
      </c>
      <c r="B63" s="211" t="str">
        <f t="shared" si="6"/>
        <v>LAD Fees Paid</v>
      </c>
      <c r="C63" s="154" t="s">
        <v>70</v>
      </c>
      <c r="D63" s="385" t="s">
        <v>70</v>
      </c>
      <c r="E63" s="65"/>
      <c r="F63" s="69">
        <f>InputB!$H$92</f>
        <v>0</v>
      </c>
      <c r="G63" s="74">
        <f>IF(F52=0,0,F63/F52)</f>
        <v>0</v>
      </c>
    </row>
    <row r="64" spans="1:7" ht="15.75" customHeight="1">
      <c r="A64" s="206"/>
      <c r="B64" s="204"/>
      <c r="C64" s="204"/>
      <c r="D64" s="204"/>
      <c r="E64" s="204"/>
      <c r="F64" s="204"/>
      <c r="G64" s="210"/>
    </row>
    <row r="65" spans="1:7" ht="15.75" customHeight="1">
      <c r="A65" s="202"/>
      <c r="B65" s="204"/>
      <c r="C65" s="389" t="str">
        <f>C35</f>
        <v>Part 1  -  Countrywide</v>
      </c>
      <c r="D65" s="165"/>
      <c r="E65" s="211"/>
      <c r="F65" s="389" t="str">
        <f>F35</f>
        <v>Part 2  -  New Jersey</v>
      </c>
      <c r="G65" s="214"/>
    </row>
    <row r="66" spans="1:7" ht="15.75" customHeight="1">
      <c r="A66" s="206"/>
      <c r="B66" s="208" t="str">
        <f>"Calendar Year "&amp;TEXT(ReportYear-5,"0")</f>
        <v>Calendar Year 2019</v>
      </c>
      <c r="C66" s="189" t="str">
        <f>C36</f>
        <v>Col (1)</v>
      </c>
      <c r="D66" s="189" t="str">
        <f>D36</f>
        <v>Col (2)</v>
      </c>
      <c r="E66" s="204"/>
      <c r="F66" s="189" t="str">
        <f>F36</f>
        <v>Col (3)</v>
      </c>
      <c r="G66" s="207" t="str">
        <f>G36</f>
        <v>Col (4)</v>
      </c>
    </row>
    <row r="67" spans="1:7" ht="15.75" customHeight="1">
      <c r="A67" s="146" t="str">
        <f aca="true" t="shared" si="7" ref="A67:B78">A37</f>
        <v>Item 1</v>
      </c>
      <c r="B67" s="211" t="str">
        <f t="shared" si="7"/>
        <v>Direct Written Premium</v>
      </c>
      <c r="C67" s="90">
        <f>InputB!$I$80</f>
        <v>0</v>
      </c>
      <c r="D67" s="421" t="s">
        <v>59</v>
      </c>
      <c r="E67" s="65"/>
      <c r="F67" s="90">
        <f>Exh1B!$D$64</f>
        <v>0</v>
      </c>
      <c r="G67" s="72" t="s">
        <v>59</v>
      </c>
    </row>
    <row r="68" spans="1:7" ht="15.75" customHeight="1">
      <c r="A68" s="146" t="str">
        <f t="shared" si="7"/>
        <v>Item 2</v>
      </c>
      <c r="B68" s="211" t="str">
        <f t="shared" si="7"/>
        <v>Direct Earned Premium</v>
      </c>
      <c r="C68" s="69">
        <f>InputB!$I$81</f>
        <v>0</v>
      </c>
      <c r="D68" s="421" t="s">
        <v>59</v>
      </c>
      <c r="E68" s="65"/>
      <c r="F68" s="69">
        <f>Exh1B!$E$64</f>
        <v>0</v>
      </c>
      <c r="G68" s="72" t="s">
        <v>59</v>
      </c>
    </row>
    <row r="69" spans="1:7" ht="15.75" customHeight="1">
      <c r="A69" s="146" t="str">
        <f t="shared" si="7"/>
        <v>Item 3</v>
      </c>
      <c r="B69" s="211" t="str">
        <f t="shared" si="7"/>
        <v>Direct Other Acquisition Expense</v>
      </c>
      <c r="C69" s="69">
        <f>InputB!$I$82</f>
        <v>0</v>
      </c>
      <c r="D69" s="55">
        <f>IF(C68=0,0,C69/C68)</f>
        <v>0</v>
      </c>
      <c r="E69" s="65"/>
      <c r="F69" s="69">
        <f>F68*G69</f>
        <v>0</v>
      </c>
      <c r="G69" s="74">
        <f>D69</f>
        <v>0</v>
      </c>
    </row>
    <row r="70" spans="1:7" ht="15.75" customHeight="1">
      <c r="A70" s="146" t="str">
        <f t="shared" si="7"/>
        <v>Item 4</v>
      </c>
      <c r="B70" s="211" t="str">
        <f t="shared" si="7"/>
        <v>Direct General Expense</v>
      </c>
      <c r="C70" s="69">
        <f>InputB!$I$83</f>
        <v>0</v>
      </c>
      <c r="D70" s="55">
        <f>IF(C68=0,0,C70/C68)</f>
        <v>0</v>
      </c>
      <c r="E70" s="65"/>
      <c r="F70" s="69">
        <f>F68*G70</f>
        <v>0</v>
      </c>
      <c r="G70" s="74">
        <f>D70</f>
        <v>0</v>
      </c>
    </row>
    <row r="71" spans="1:7" ht="15.75" customHeight="1">
      <c r="A71" s="146" t="str">
        <f t="shared" si="7"/>
        <v>Item 5</v>
      </c>
      <c r="B71" s="211" t="str">
        <f t="shared" si="7"/>
        <v>Direct Commission &amp; Brokerage</v>
      </c>
      <c r="C71" s="69">
        <f>InputB!$I$84</f>
        <v>0</v>
      </c>
      <c r="D71" s="55">
        <f>IF(C$67=0,0,C71/C$67)</f>
        <v>0</v>
      </c>
      <c r="E71" s="65"/>
      <c r="F71" s="69">
        <f>InputB!$I$89</f>
        <v>0</v>
      </c>
      <c r="G71" s="74">
        <f>IF(F67=0,0,F71/F67)</f>
        <v>0</v>
      </c>
    </row>
    <row r="72" spans="1:7" ht="15.75" customHeight="1">
      <c r="A72" s="146" t="str">
        <f t="shared" si="7"/>
        <v>Item 6a</v>
      </c>
      <c r="B72" s="211" t="str">
        <f t="shared" si="7"/>
        <v>Expenses subject to Capping (Items 3-5)</v>
      </c>
      <c r="C72" s="154" t="s">
        <v>70</v>
      </c>
      <c r="D72" s="385" t="s">
        <v>70</v>
      </c>
      <c r="E72" s="65"/>
      <c r="F72" s="69">
        <f>SUM(F69:F71)</f>
        <v>0</v>
      </c>
      <c r="G72" s="74">
        <f>SUM(G69:G71)</f>
        <v>0</v>
      </c>
    </row>
    <row r="73" spans="1:7" ht="15.75" customHeight="1">
      <c r="A73" s="146" t="str">
        <f t="shared" si="7"/>
        <v>Item 6b</v>
      </c>
      <c r="B73" s="211" t="str">
        <f t="shared" si="7"/>
        <v>Allowable Capped Expense</v>
      </c>
      <c r="C73" s="154" t="s">
        <v>70</v>
      </c>
      <c r="D73" s="385" t="s">
        <v>70</v>
      </c>
      <c r="E73" s="65"/>
      <c r="F73" s="69">
        <f>IF(G72=0,0,(G73/G72)*F72)</f>
        <v>0</v>
      </c>
      <c r="G73" s="74">
        <f>IF(InsMarketMethod="D",InputTOTAL!$F$11,IF(InsMarketMethod="C",InputTOTAL!$G$11,InputTOTAL!$H$11))</f>
        <v>0.272</v>
      </c>
    </row>
    <row r="74" spans="1:7" ht="15.75" customHeight="1">
      <c r="A74" s="146" t="str">
        <f t="shared" si="7"/>
        <v>Item 6</v>
      </c>
      <c r="B74" s="211" t="str">
        <f t="shared" si="7"/>
        <v>Additional Allowable Efficiency Expense</v>
      </c>
      <c r="C74" s="154" t="s">
        <v>70</v>
      </c>
      <c r="D74" s="385" t="s">
        <v>70</v>
      </c>
      <c r="E74" s="65"/>
      <c r="F74" s="69">
        <f>MAX(F73-F72,0)</f>
        <v>0</v>
      </c>
      <c r="G74" s="74">
        <f>MAX(G73-G72,0)</f>
        <v>0.272</v>
      </c>
    </row>
    <row r="75" spans="1:7" ht="15.75" customHeight="1">
      <c r="A75" s="146" t="str">
        <f t="shared" si="7"/>
        <v>Item 7</v>
      </c>
      <c r="B75" s="211" t="str">
        <f t="shared" si="7"/>
        <v>Direct Taxes, Licenses &amp; Fees</v>
      </c>
      <c r="C75" s="69">
        <f>InputB!$I$85</f>
        <v>0</v>
      </c>
      <c r="D75" s="55">
        <f>IF(C67=0,0,C75/C67)</f>
        <v>0</v>
      </c>
      <c r="E75" s="65"/>
      <c r="F75" s="69">
        <f>InputB!$I$90</f>
        <v>0</v>
      </c>
      <c r="G75" s="74">
        <f>IF(F67=0,0,F75/F67)</f>
        <v>0</v>
      </c>
    </row>
    <row r="76" spans="1:7" ht="15.75" customHeight="1">
      <c r="A76" s="146" t="str">
        <f t="shared" si="7"/>
        <v>Item 8</v>
      </c>
      <c r="B76" s="211" t="str">
        <f t="shared" si="7"/>
        <v>Direct Prepaid Expenses</v>
      </c>
      <c r="C76" s="418">
        <f>IF(SUM(C69:C71)=0,0,0.5*(C69+C70)+C74*(C69+C70)/(C69+C70+C71)+C71+C75)</f>
        <v>0</v>
      </c>
      <c r="D76" s="55">
        <f>IF(C68=0,0,C76/C68)</f>
        <v>0</v>
      </c>
      <c r="E76" s="65"/>
      <c r="F76" s="418">
        <f>IF(SUM(F69:F71)=0,0,0.5*(F69+F70)+F74*(F69+F70)/(F69+F70+F71)+F71+F75)</f>
        <v>0</v>
      </c>
      <c r="G76" s="74">
        <f>IF(F68=0,0,F76/F68)</f>
        <v>0</v>
      </c>
    </row>
    <row r="77" spans="1:7" ht="15.75" customHeight="1">
      <c r="A77" s="146" t="str">
        <f t="shared" si="7"/>
        <v>Item 9</v>
      </c>
      <c r="B77" s="211" t="str">
        <f t="shared" si="7"/>
        <v>Net Catastrophe Reinsurance</v>
      </c>
      <c r="C77" s="418">
        <f>InputB!$I$86</f>
        <v>0</v>
      </c>
      <c r="D77" s="55">
        <f>IF(C67=0,0,C77/C67)</f>
        <v>0</v>
      </c>
      <c r="E77" s="65"/>
      <c r="F77" s="418">
        <f>G77*F67</f>
        <v>0</v>
      </c>
      <c r="G77" s="74">
        <f>D77</f>
        <v>0</v>
      </c>
    </row>
    <row r="78" spans="1:7" ht="15.75" customHeight="1">
      <c r="A78" s="146" t="str">
        <f t="shared" si="7"/>
        <v>Item 10</v>
      </c>
      <c r="B78" s="211" t="str">
        <f t="shared" si="7"/>
        <v>LAD Fees Paid</v>
      </c>
      <c r="C78" s="154" t="s">
        <v>70</v>
      </c>
      <c r="D78" s="385" t="s">
        <v>70</v>
      </c>
      <c r="E78" s="65"/>
      <c r="F78" s="69">
        <f>InputB!$I$92</f>
        <v>0</v>
      </c>
      <c r="G78" s="74">
        <f>IF(F67=0,0,F78/F67)</f>
        <v>0</v>
      </c>
    </row>
    <row r="79" spans="1:7" ht="15.75" customHeight="1">
      <c r="A79" s="206"/>
      <c r="B79" s="204"/>
      <c r="C79" s="204"/>
      <c r="D79" s="204"/>
      <c r="E79" s="204"/>
      <c r="F79" s="204"/>
      <c r="G79" s="210"/>
    </row>
    <row r="80" spans="1:7" ht="15.75" customHeight="1">
      <c r="A80" s="202"/>
      <c r="B80" s="204"/>
      <c r="C80" s="389" t="str">
        <f>C50</f>
        <v>Part 1  -  Countrywide</v>
      </c>
      <c r="D80" s="165"/>
      <c r="E80" s="211"/>
      <c r="F80" s="389" t="str">
        <f>F50</f>
        <v>Part 2  -  New Jersey</v>
      </c>
      <c r="G80" s="214"/>
    </row>
    <row r="81" spans="1:7" ht="15.75" customHeight="1">
      <c r="A81" s="206"/>
      <c r="B81" s="208" t="str">
        <f>"Calendar Year "&amp;TEXT(ReportYear-6,"0")</f>
        <v>Calendar Year 2018</v>
      </c>
      <c r="C81" s="189" t="str">
        <f>C51</f>
        <v>Col (1)</v>
      </c>
      <c r="D81" s="189" t="str">
        <f>D51</f>
        <v>Col (2)</v>
      </c>
      <c r="E81" s="204"/>
      <c r="F81" s="189" t="str">
        <f>F51</f>
        <v>Col (3)</v>
      </c>
      <c r="G81" s="207" t="str">
        <f>G51</f>
        <v>Col (4)</v>
      </c>
    </row>
    <row r="82" spans="1:7" ht="15.75" customHeight="1">
      <c r="A82" s="146" t="str">
        <f aca="true" t="shared" si="8" ref="A82:B93">A52</f>
        <v>Item 1</v>
      </c>
      <c r="B82" s="211" t="str">
        <f t="shared" si="8"/>
        <v>Direct Written Premium</v>
      </c>
      <c r="C82" s="90">
        <f>InputB!$J$80</f>
        <v>0</v>
      </c>
      <c r="D82" s="421" t="s">
        <v>59</v>
      </c>
      <c r="E82" s="65"/>
      <c r="F82" s="90">
        <f>Exh1B!$D$76</f>
        <v>0</v>
      </c>
      <c r="G82" s="72" t="s">
        <v>59</v>
      </c>
    </row>
    <row r="83" spans="1:7" ht="15.75" customHeight="1">
      <c r="A83" s="146" t="str">
        <f t="shared" si="8"/>
        <v>Item 2</v>
      </c>
      <c r="B83" s="211" t="str">
        <f t="shared" si="8"/>
        <v>Direct Earned Premium</v>
      </c>
      <c r="C83" s="69">
        <f>InputB!$J$81</f>
        <v>0</v>
      </c>
      <c r="D83" s="421" t="s">
        <v>59</v>
      </c>
      <c r="E83" s="65"/>
      <c r="F83" s="69">
        <f>Exh1B!$E$76</f>
        <v>0</v>
      </c>
      <c r="G83" s="72" t="s">
        <v>59</v>
      </c>
    </row>
    <row r="84" spans="1:7" ht="15.75" customHeight="1">
      <c r="A84" s="146" t="str">
        <f t="shared" si="8"/>
        <v>Item 3</v>
      </c>
      <c r="B84" s="211" t="str">
        <f t="shared" si="8"/>
        <v>Direct Other Acquisition Expense</v>
      </c>
      <c r="C84" s="69">
        <f>InputB!$J$82</f>
        <v>0</v>
      </c>
      <c r="D84" s="55">
        <f>IF(C83=0,0,C84/C83)</f>
        <v>0</v>
      </c>
      <c r="E84" s="65"/>
      <c r="F84" s="69">
        <f>F83*G84</f>
        <v>0</v>
      </c>
      <c r="G84" s="74">
        <f>D84</f>
        <v>0</v>
      </c>
    </row>
    <row r="85" spans="1:7" ht="15.75" customHeight="1">
      <c r="A85" s="146" t="str">
        <f t="shared" si="8"/>
        <v>Item 4</v>
      </c>
      <c r="B85" s="211" t="str">
        <f t="shared" si="8"/>
        <v>Direct General Expense</v>
      </c>
      <c r="C85" s="69">
        <f>InputB!$J$83</f>
        <v>0</v>
      </c>
      <c r="D85" s="55">
        <f>IF(C83=0,0,C85/C83)</f>
        <v>0</v>
      </c>
      <c r="E85" s="65"/>
      <c r="F85" s="69">
        <f>F83*G85</f>
        <v>0</v>
      </c>
      <c r="G85" s="74">
        <f>D85</f>
        <v>0</v>
      </c>
    </row>
    <row r="86" spans="1:7" ht="15.75" customHeight="1">
      <c r="A86" s="146" t="str">
        <f t="shared" si="8"/>
        <v>Item 5</v>
      </c>
      <c r="B86" s="211" t="str">
        <f t="shared" si="8"/>
        <v>Direct Commission &amp; Brokerage</v>
      </c>
      <c r="C86" s="69">
        <f>InputB!$J$84</f>
        <v>0</v>
      </c>
      <c r="D86" s="55">
        <f>IF(C$82=0,0,C86/C$82)</f>
        <v>0</v>
      </c>
      <c r="E86" s="65"/>
      <c r="F86" s="69">
        <f>InputB!$J$89</f>
        <v>0</v>
      </c>
      <c r="G86" s="74">
        <f>IF(F82=0,0,F86/F82)</f>
        <v>0</v>
      </c>
    </row>
    <row r="87" spans="1:7" ht="15.75" customHeight="1">
      <c r="A87" s="146" t="str">
        <f t="shared" si="8"/>
        <v>Item 6a</v>
      </c>
      <c r="B87" s="211" t="str">
        <f t="shared" si="8"/>
        <v>Expenses subject to Capping (Items 3-5)</v>
      </c>
      <c r="C87" s="154" t="s">
        <v>70</v>
      </c>
      <c r="D87" s="385" t="s">
        <v>70</v>
      </c>
      <c r="E87" s="65"/>
      <c r="F87" s="69">
        <f>SUM(F84:F86)</f>
        <v>0</v>
      </c>
      <c r="G87" s="74">
        <f>SUM(G84:G86)</f>
        <v>0</v>
      </c>
    </row>
    <row r="88" spans="1:7" ht="15.75" customHeight="1">
      <c r="A88" s="146" t="str">
        <f t="shared" si="8"/>
        <v>Item 6b</v>
      </c>
      <c r="B88" s="211" t="str">
        <f t="shared" si="8"/>
        <v>Allowable Capped Expense</v>
      </c>
      <c r="C88" s="154" t="s">
        <v>70</v>
      </c>
      <c r="D88" s="385" t="s">
        <v>70</v>
      </c>
      <c r="E88" s="65"/>
      <c r="F88" s="69">
        <f>IF(G87=0,0,(G88/G87)*F87)</f>
        <v>0</v>
      </c>
      <c r="G88" s="74">
        <f>IF(InsMarketMethod="D",InputTOTAL!$F$11,IF(InsMarketMethod="C",InputTOTAL!$G$11,InputTOTAL!$H$11))</f>
        <v>0.272</v>
      </c>
    </row>
    <row r="89" spans="1:7" ht="15.75" customHeight="1">
      <c r="A89" s="146" t="str">
        <f t="shared" si="8"/>
        <v>Item 6</v>
      </c>
      <c r="B89" s="211" t="str">
        <f t="shared" si="8"/>
        <v>Additional Allowable Efficiency Expense</v>
      </c>
      <c r="C89" s="154" t="s">
        <v>70</v>
      </c>
      <c r="D89" s="385" t="s">
        <v>70</v>
      </c>
      <c r="E89" s="65"/>
      <c r="F89" s="69">
        <f>MAX(F88-F87,0)</f>
        <v>0</v>
      </c>
      <c r="G89" s="74">
        <f>MAX(G88-G87,0)</f>
        <v>0.272</v>
      </c>
    </row>
    <row r="90" spans="1:7" ht="15.75" customHeight="1">
      <c r="A90" s="146" t="str">
        <f t="shared" si="8"/>
        <v>Item 7</v>
      </c>
      <c r="B90" s="211" t="str">
        <f t="shared" si="8"/>
        <v>Direct Taxes, Licenses &amp; Fees</v>
      </c>
      <c r="C90" s="69">
        <f>InputB!$J$85</f>
        <v>0</v>
      </c>
      <c r="D90" s="55">
        <f>IF(C82=0,0,C90/C82)</f>
        <v>0</v>
      </c>
      <c r="E90" s="65"/>
      <c r="F90" s="69">
        <f>InputB!$J$90</f>
        <v>0</v>
      </c>
      <c r="G90" s="74">
        <f>IF(F82=0,0,F90/F82)</f>
        <v>0</v>
      </c>
    </row>
    <row r="91" spans="1:7" ht="15.75" customHeight="1">
      <c r="A91" s="146" t="str">
        <f t="shared" si="8"/>
        <v>Item 8</v>
      </c>
      <c r="B91" s="211" t="str">
        <f t="shared" si="8"/>
        <v>Direct Prepaid Expenses</v>
      </c>
      <c r="C91" s="418">
        <f>IF(SUM(C84:C86)=0,0,0.5*(C84+C85)+C89*(C84+C85)/(C84+C85+C86)+C86+C90)</f>
        <v>0</v>
      </c>
      <c r="D91" s="55">
        <f>IF(C83=0,0,C91/C83)</f>
        <v>0</v>
      </c>
      <c r="E91" s="65"/>
      <c r="F91" s="418">
        <f>IF(SUM(F84:F86)=0,0,0.5*(F84+F85)+F89*(F84+F85)/(F84+F85+F86)+F86+F90)</f>
        <v>0</v>
      </c>
      <c r="G91" s="74">
        <f>IF(F83=0,0,F91/F83)</f>
        <v>0</v>
      </c>
    </row>
    <row r="92" spans="1:7" ht="15.75" customHeight="1">
      <c r="A92" s="146" t="str">
        <f t="shared" si="8"/>
        <v>Item 9</v>
      </c>
      <c r="B92" s="211" t="str">
        <f t="shared" si="8"/>
        <v>Net Catastrophe Reinsurance</v>
      </c>
      <c r="C92" s="418">
        <f>InputB!$J$86</f>
        <v>0</v>
      </c>
      <c r="D92" s="55">
        <f>IF(C82=0,0,C92/C82)</f>
        <v>0</v>
      </c>
      <c r="E92" s="65"/>
      <c r="F92" s="418">
        <f>G92*F82</f>
        <v>0</v>
      </c>
      <c r="G92" s="74">
        <f>D92</f>
        <v>0</v>
      </c>
    </row>
    <row r="93" spans="1:7" ht="15.75" customHeight="1">
      <c r="A93" s="146" t="str">
        <f t="shared" si="8"/>
        <v>Item 10</v>
      </c>
      <c r="B93" s="211" t="str">
        <f t="shared" si="8"/>
        <v>LAD Fees Paid</v>
      </c>
      <c r="C93" s="154" t="s">
        <v>70</v>
      </c>
      <c r="D93" s="385" t="s">
        <v>70</v>
      </c>
      <c r="E93" s="65"/>
      <c r="F93" s="69">
        <f>InputB!$J$92</f>
        <v>0</v>
      </c>
      <c r="G93" s="74">
        <f>IF(F82=0,0,F93/F82)</f>
        <v>0</v>
      </c>
    </row>
    <row r="94" spans="1:7" ht="15.75" customHeight="1">
      <c r="A94" s="206"/>
      <c r="B94" s="204"/>
      <c r="C94" s="204"/>
      <c r="D94" s="204"/>
      <c r="E94" s="204"/>
      <c r="F94" s="204"/>
      <c r="G94" s="210"/>
    </row>
    <row r="95" spans="1:7" ht="15.75" customHeight="1">
      <c r="A95" s="202"/>
      <c r="B95" s="204"/>
      <c r="C95" s="389" t="str">
        <f>C65</f>
        <v>Part 1  -  Countrywide</v>
      </c>
      <c r="D95" s="165"/>
      <c r="E95" s="211"/>
      <c r="F95" s="389" t="str">
        <f>F65</f>
        <v>Part 2  -  New Jersey</v>
      </c>
      <c r="G95" s="214"/>
    </row>
    <row r="96" spans="1:7" ht="15.75" customHeight="1">
      <c r="A96" s="206"/>
      <c r="B96" s="208" t="str">
        <f>"Calendar Year "&amp;TEXT(ReportYear-7,"0")</f>
        <v>Calendar Year 2017</v>
      </c>
      <c r="C96" s="189" t="str">
        <f>C66</f>
        <v>Col (1)</v>
      </c>
      <c r="D96" s="189" t="str">
        <f>D66</f>
        <v>Col (2)</v>
      </c>
      <c r="E96" s="204"/>
      <c r="F96" s="189" t="str">
        <f>F66</f>
        <v>Col (3)</v>
      </c>
      <c r="G96" s="207" t="str">
        <f>G66</f>
        <v>Col (4)</v>
      </c>
    </row>
    <row r="97" spans="1:7" ht="15.75" customHeight="1">
      <c r="A97" s="146" t="str">
        <f aca="true" t="shared" si="9" ref="A97:B108">A67</f>
        <v>Item 1</v>
      </c>
      <c r="B97" s="211" t="str">
        <f t="shared" si="9"/>
        <v>Direct Written Premium</v>
      </c>
      <c r="C97" s="90">
        <f>InputB!$K$80</f>
        <v>0</v>
      </c>
      <c r="D97" s="421" t="s">
        <v>59</v>
      </c>
      <c r="E97" s="65"/>
      <c r="F97" s="90">
        <f>Exh1B!$D$93</f>
        <v>0</v>
      </c>
      <c r="G97" s="72" t="s">
        <v>59</v>
      </c>
    </row>
    <row r="98" spans="1:7" ht="15.75" customHeight="1">
      <c r="A98" s="146" t="str">
        <f t="shared" si="9"/>
        <v>Item 2</v>
      </c>
      <c r="B98" s="211" t="str">
        <f t="shared" si="9"/>
        <v>Direct Earned Premium</v>
      </c>
      <c r="C98" s="69">
        <f>InputB!$K$81</f>
        <v>0</v>
      </c>
      <c r="D98" s="421" t="s">
        <v>59</v>
      </c>
      <c r="E98" s="65"/>
      <c r="F98" s="69">
        <f>Exh1B!$E$93</f>
        <v>0</v>
      </c>
      <c r="G98" s="72" t="s">
        <v>59</v>
      </c>
    </row>
    <row r="99" spans="1:7" ht="15.75" customHeight="1">
      <c r="A99" s="146" t="str">
        <f t="shared" si="9"/>
        <v>Item 3</v>
      </c>
      <c r="B99" s="211" t="str">
        <f t="shared" si="9"/>
        <v>Direct Other Acquisition Expense</v>
      </c>
      <c r="C99" s="69">
        <f>InputB!$K$82</f>
        <v>0</v>
      </c>
      <c r="D99" s="55">
        <f>IF(C98=0,0,C99/C98)</f>
        <v>0</v>
      </c>
      <c r="E99" s="65"/>
      <c r="F99" s="69">
        <f>F98*G99</f>
        <v>0</v>
      </c>
      <c r="G99" s="74">
        <f>D99</f>
        <v>0</v>
      </c>
    </row>
    <row r="100" spans="1:7" ht="15.75" customHeight="1">
      <c r="A100" s="146" t="str">
        <f t="shared" si="9"/>
        <v>Item 4</v>
      </c>
      <c r="B100" s="211" t="str">
        <f t="shared" si="9"/>
        <v>Direct General Expense</v>
      </c>
      <c r="C100" s="69">
        <f>InputB!$K$83</f>
        <v>0</v>
      </c>
      <c r="D100" s="55">
        <f>IF(C98=0,0,C100/C98)</f>
        <v>0</v>
      </c>
      <c r="E100" s="65"/>
      <c r="F100" s="69">
        <f>F98*G100</f>
        <v>0</v>
      </c>
      <c r="G100" s="74">
        <f>D100</f>
        <v>0</v>
      </c>
    </row>
    <row r="101" spans="1:7" ht="15.75" customHeight="1">
      <c r="A101" s="146" t="str">
        <f t="shared" si="9"/>
        <v>Item 5</v>
      </c>
      <c r="B101" s="211" t="str">
        <f t="shared" si="9"/>
        <v>Direct Commission &amp; Brokerage</v>
      </c>
      <c r="C101" s="69">
        <f>InputB!$K$84</f>
        <v>0</v>
      </c>
      <c r="D101" s="55">
        <f>IF(C$82=0,0,C101/C$97)</f>
        <v>0</v>
      </c>
      <c r="E101" s="65"/>
      <c r="F101" s="69">
        <f>InputB!$K$89</f>
        <v>0</v>
      </c>
      <c r="G101" s="74">
        <f>IF(F97=0,0,F101/F97)</f>
        <v>0</v>
      </c>
    </row>
    <row r="102" spans="1:7" ht="15.75" customHeight="1">
      <c r="A102" s="146" t="str">
        <f t="shared" si="9"/>
        <v>Item 6a</v>
      </c>
      <c r="B102" s="211" t="str">
        <f t="shared" si="9"/>
        <v>Expenses subject to Capping (Items 3-5)</v>
      </c>
      <c r="C102" s="154" t="s">
        <v>70</v>
      </c>
      <c r="D102" s="385" t="s">
        <v>70</v>
      </c>
      <c r="E102" s="65"/>
      <c r="F102" s="69">
        <f>SUM(F99:F101)</f>
        <v>0</v>
      </c>
      <c r="G102" s="74">
        <f>SUM(G99:G101)</f>
        <v>0</v>
      </c>
    </row>
    <row r="103" spans="1:7" ht="15.75" customHeight="1">
      <c r="A103" s="146" t="str">
        <f t="shared" si="9"/>
        <v>Item 6b</v>
      </c>
      <c r="B103" s="211" t="str">
        <f t="shared" si="9"/>
        <v>Allowable Capped Expense</v>
      </c>
      <c r="C103" s="154" t="s">
        <v>70</v>
      </c>
      <c r="D103" s="385" t="s">
        <v>70</v>
      </c>
      <c r="E103" s="65"/>
      <c r="F103" s="69">
        <f>IF(G102=0,0,(G103/G102)*F102)</f>
        <v>0</v>
      </c>
      <c r="G103" s="74">
        <f>IF(InsMarketMethod="D",InputTOTAL!$F$11,IF(InsMarketMethod="C",InputTOTAL!$G$11,InputTOTAL!$H$11))</f>
        <v>0.272</v>
      </c>
    </row>
    <row r="104" spans="1:7" ht="15.75" customHeight="1">
      <c r="A104" s="146" t="str">
        <f t="shared" si="9"/>
        <v>Item 6</v>
      </c>
      <c r="B104" s="211" t="str">
        <f t="shared" si="9"/>
        <v>Additional Allowable Efficiency Expense</v>
      </c>
      <c r="C104" s="154" t="s">
        <v>70</v>
      </c>
      <c r="D104" s="385" t="s">
        <v>70</v>
      </c>
      <c r="E104" s="65"/>
      <c r="F104" s="69">
        <f>MAX(F103-F102,0)</f>
        <v>0</v>
      </c>
      <c r="G104" s="74">
        <f>MAX(G103-G102,0)</f>
        <v>0.272</v>
      </c>
    </row>
    <row r="105" spans="1:7" ht="15.75" customHeight="1">
      <c r="A105" s="146" t="str">
        <f t="shared" si="9"/>
        <v>Item 7</v>
      </c>
      <c r="B105" s="211" t="str">
        <f t="shared" si="9"/>
        <v>Direct Taxes, Licenses &amp; Fees</v>
      </c>
      <c r="C105" s="69">
        <f>InputB!$K$85</f>
        <v>0</v>
      </c>
      <c r="D105" s="55">
        <f>IF(C97=0,0,C105/C97)</f>
        <v>0</v>
      </c>
      <c r="E105" s="65"/>
      <c r="F105" s="69">
        <f>InputB!$K$90</f>
        <v>0</v>
      </c>
      <c r="G105" s="74">
        <f>IF(F97=0,0,F105/F97)</f>
        <v>0</v>
      </c>
    </row>
    <row r="106" spans="1:7" ht="15.75" customHeight="1">
      <c r="A106" s="146" t="str">
        <f t="shared" si="9"/>
        <v>Item 8</v>
      </c>
      <c r="B106" s="211" t="str">
        <f t="shared" si="9"/>
        <v>Direct Prepaid Expenses</v>
      </c>
      <c r="C106" s="418">
        <f>IF(SUM(C99:C101)=0,0,0.5*(C99+C100)+C104*(C99+C100)/(C99+C100+C101)+C101+C105)</f>
        <v>0</v>
      </c>
      <c r="D106" s="55">
        <f>IF(C98=0,0,C106/C98)</f>
        <v>0</v>
      </c>
      <c r="E106" s="65"/>
      <c r="F106" s="418">
        <f>IF(SUM(F99:F101)=0,0,0.5*(F99+F100)+F104*(F99+F100)/(F99+F100+F101)+F101+F105)</f>
        <v>0</v>
      </c>
      <c r="G106" s="74">
        <f>IF(F98=0,0,F106/F98)</f>
        <v>0</v>
      </c>
    </row>
    <row r="107" spans="1:7" ht="15.75" customHeight="1">
      <c r="A107" s="146" t="str">
        <f t="shared" si="9"/>
        <v>Item 9</v>
      </c>
      <c r="B107" s="211" t="str">
        <f t="shared" si="9"/>
        <v>Net Catastrophe Reinsurance</v>
      </c>
      <c r="C107" s="418">
        <f>InputB!$K$86</f>
        <v>0</v>
      </c>
      <c r="D107" s="55">
        <f>IF(C97=0,0,C107/C97)</f>
        <v>0</v>
      </c>
      <c r="E107" s="65"/>
      <c r="F107" s="418">
        <f>G107*F97</f>
        <v>0</v>
      </c>
      <c r="G107" s="74">
        <f>D107</f>
        <v>0</v>
      </c>
    </row>
    <row r="108" spans="1:7" ht="15.75" customHeight="1" thickBot="1">
      <c r="A108" s="147" t="str">
        <f t="shared" si="9"/>
        <v>Item 10</v>
      </c>
      <c r="B108" s="215" t="str">
        <f t="shared" si="9"/>
        <v>LAD Fees Paid</v>
      </c>
      <c r="C108" s="70" t="s">
        <v>70</v>
      </c>
      <c r="D108" s="386" t="s">
        <v>70</v>
      </c>
      <c r="E108" s="68"/>
      <c r="F108" s="70">
        <f>InputB!$K$92</f>
        <v>0</v>
      </c>
      <c r="G108" s="75">
        <f>IF(F97=0,0,F108/F97)</f>
        <v>0</v>
      </c>
    </row>
  </sheetData>
  <sheetProtection password="DCE9" sheet="1" objects="1" scenarios="1"/>
  <printOptions headings="1"/>
  <pageMargins left="0.5" right="0.5" top="0.5" bottom="0.5" header="0.5" footer="0.5"/>
  <pageSetup firstPageNumber="96" useFirstPageNumber="1" horizontalDpi="300" verticalDpi="300" orientation="landscape" scale="61" r:id="rId1"/>
  <headerFooter alignWithMargins="0">
    <oddFooter>&amp;L&amp;D&amp;RPage &amp;P of &amp;N</oddFooter>
  </headerFooter>
  <rowBreaks count="2" manualBreakCount="2">
    <brk id="49" max="255" man="1"/>
    <brk id="94" max="6" man="1"/>
  </rowBreaks>
</worksheet>
</file>

<file path=xl/worksheets/sheet17.xml><?xml version="1.0" encoding="utf-8"?>
<worksheet xmlns="http://schemas.openxmlformats.org/spreadsheetml/2006/main" xmlns:r="http://schemas.openxmlformats.org/officeDocument/2006/relationships">
  <sheetPr codeName="Sheet23" transitionEvaluation="1"/>
  <dimension ref="A1:G108"/>
  <sheetViews>
    <sheetView view="pageBreakPreview" zoomScale="85" zoomScaleNormal="85" zoomScaleSheetLayoutView="85" zoomScalePageLayoutView="0" workbookViewId="0" topLeftCell="A1">
      <selection activeCell="A2" sqref="A2"/>
    </sheetView>
  </sheetViews>
  <sheetFormatPr defaultColWidth="11.7109375" defaultRowHeight="15.75" customHeight="1"/>
  <cols>
    <col min="1" max="1" width="20.7109375" style="3" customWidth="1"/>
    <col min="2" max="2" width="44.8515625" style="3" customWidth="1"/>
    <col min="3" max="4" width="18.71093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156</v>
      </c>
    </row>
    <row r="2" spans="1:7" ht="15.75" customHeight="1">
      <c r="A2" s="140" t="str">
        <f>InputB!$A$2</f>
        <v>Group NAIC #:</v>
      </c>
      <c r="B2" s="137" t="str">
        <f>InputB!$C$2</f>
        <v>enter group # here</v>
      </c>
      <c r="C2"/>
      <c r="D2"/>
      <c r="E2"/>
      <c r="F2"/>
      <c r="G2" s="139" t="s">
        <v>364</v>
      </c>
    </row>
    <row r="3" spans="1:6" ht="15.75" customHeight="1">
      <c r="A3" s="197" t="str">
        <f>InputB!$A$3</f>
        <v>Year Filed:</v>
      </c>
      <c r="B3" s="141">
        <f>InputB!$C$3</f>
        <v>2024</v>
      </c>
      <c r="C3"/>
      <c r="D3"/>
      <c r="E3"/>
      <c r="F3"/>
    </row>
    <row r="4" ht="15.75" customHeight="1" thickBot="1"/>
    <row r="5" spans="1:7" ht="15.75" customHeight="1">
      <c r="A5" s="198"/>
      <c r="B5" s="199"/>
      <c r="C5" s="384" t="str">
        <f>Exh3B!$C5</f>
        <v>Part 1  -  Countrywide</v>
      </c>
      <c r="D5" s="200"/>
      <c r="E5" s="199"/>
      <c r="F5" s="384" t="str">
        <f>Exh3B!$F5</f>
        <v>Part 2  -  New Jersey</v>
      </c>
      <c r="G5" s="201"/>
    </row>
    <row r="6" spans="1:7" ht="15.75" customHeight="1">
      <c r="A6" s="206"/>
      <c r="B6" s="209" t="str">
        <f>Exh3B!$B6</f>
        <v>Calendar Year 2023</v>
      </c>
      <c r="C6" s="189" t="str">
        <f>Exh3B!$C6</f>
        <v>Col (1)</v>
      </c>
      <c r="D6" s="189" t="str">
        <f>Exh3B!$D6</f>
        <v>Col (2)</v>
      </c>
      <c r="E6" s="204"/>
      <c r="F6" s="189" t="str">
        <f>Exh3B!$F6</f>
        <v>Col (3)</v>
      </c>
      <c r="G6" s="207" t="str">
        <f>Exh3B!$G6</f>
        <v>Col (4)</v>
      </c>
    </row>
    <row r="7" spans="1:7" ht="15.75" customHeight="1">
      <c r="A7" s="187" t="str">
        <f>Exh3B!$A7</f>
        <v>Item 1</v>
      </c>
      <c r="B7" s="204" t="str">
        <f>Exh3B!$B7</f>
        <v>Direct Written Premium</v>
      </c>
      <c r="C7" s="90">
        <f>InputC!$E$80</f>
        <v>0</v>
      </c>
      <c r="D7" s="71" t="s">
        <v>59</v>
      </c>
      <c r="E7" s="65"/>
      <c r="F7" s="90">
        <f>Exh1C!$D$11</f>
        <v>0</v>
      </c>
      <c r="G7" s="73"/>
    </row>
    <row r="8" spans="1:7" ht="15.75" customHeight="1">
      <c r="A8" s="187" t="str">
        <f>Exh3B!$A8</f>
        <v>Item 2</v>
      </c>
      <c r="B8" s="204" t="str">
        <f>Exh3B!$B8</f>
        <v>Direct Earned Premium</v>
      </c>
      <c r="C8" s="62">
        <f>InputC!$E$81</f>
        <v>0</v>
      </c>
      <c r="D8" s="58"/>
      <c r="E8" s="47"/>
      <c r="F8" s="69">
        <f>Exh1C!$E$11</f>
        <v>0</v>
      </c>
      <c r="G8" s="48"/>
    </row>
    <row r="9" spans="1:7" ht="15.75" customHeight="1">
      <c r="A9" s="187" t="str">
        <f>Exh3B!$A9</f>
        <v>Item 3</v>
      </c>
      <c r="B9" s="204" t="str">
        <f>Exh3B!$B9</f>
        <v>Direct Other Acquisition Expense</v>
      </c>
      <c r="C9" s="62">
        <f>InputC!$E$82</f>
        <v>0</v>
      </c>
      <c r="D9" s="55">
        <f>IF(C8=0,0,C9/C8)</f>
        <v>0</v>
      </c>
      <c r="E9" s="65"/>
      <c r="F9" s="69">
        <f>F8*G9</f>
        <v>0</v>
      </c>
      <c r="G9" s="74">
        <f>D9</f>
        <v>0</v>
      </c>
    </row>
    <row r="10" spans="1:7" ht="15.75" customHeight="1">
      <c r="A10" s="187" t="str">
        <f>Exh3B!$A10</f>
        <v>Item 4</v>
      </c>
      <c r="B10" s="204" t="str">
        <f>Exh3B!$B10</f>
        <v>Direct General Expense</v>
      </c>
      <c r="C10" s="62">
        <f>InputC!$E$83</f>
        <v>0</v>
      </c>
      <c r="D10" s="55">
        <f>IF(C8=0,0,C10/C8)</f>
        <v>0</v>
      </c>
      <c r="E10" s="65"/>
      <c r="F10" s="69">
        <f>F8*G10</f>
        <v>0</v>
      </c>
      <c r="G10" s="74">
        <f>D10</f>
        <v>0</v>
      </c>
    </row>
    <row r="11" spans="1:7" ht="15.75" customHeight="1">
      <c r="A11" s="187" t="str">
        <f>Exh3B!$A11</f>
        <v>Item 5</v>
      </c>
      <c r="B11" s="204" t="str">
        <f>Exh3B!$B11</f>
        <v>Direct Commission &amp; Brokerage</v>
      </c>
      <c r="C11" s="62">
        <f>InputC!$E$84</f>
        <v>0</v>
      </c>
      <c r="D11" s="55">
        <f>IF(C7=0,0,C11/C7)</f>
        <v>0</v>
      </c>
      <c r="E11" s="47"/>
      <c r="F11" s="62">
        <f>InputC!$E$89</f>
        <v>0</v>
      </c>
      <c r="G11" s="74">
        <f>IF(F7=0,0,F11/F7)</f>
        <v>0</v>
      </c>
    </row>
    <row r="12" spans="1:7" ht="15.75" customHeight="1">
      <c r="A12" s="187" t="str">
        <f>Exh3B!$A12</f>
        <v>Item 6a</v>
      </c>
      <c r="B12" s="204" t="str">
        <f>Exh3B!$B12</f>
        <v>Expenses subject to Capping (Items 3-5)</v>
      </c>
      <c r="C12" s="154" t="s">
        <v>70</v>
      </c>
      <c r="D12" s="385" t="s">
        <v>70</v>
      </c>
      <c r="E12" s="65"/>
      <c r="F12" s="69">
        <f>SUM(F9:F11)</f>
        <v>0</v>
      </c>
      <c r="G12" s="74">
        <f>SUM(G9:G11)</f>
        <v>0</v>
      </c>
    </row>
    <row r="13" spans="1:7" ht="15.75" customHeight="1">
      <c r="A13" s="187" t="str">
        <f>Exh3B!$A13</f>
        <v>Item 6b</v>
      </c>
      <c r="B13" s="204" t="str">
        <f>Exh3B!$B13</f>
        <v>Allowable Capped Expense</v>
      </c>
      <c r="C13" s="154" t="s">
        <v>70</v>
      </c>
      <c r="D13" s="385" t="s">
        <v>70</v>
      </c>
      <c r="E13" s="65"/>
      <c r="F13" s="69">
        <f>IF(G12=0,0,(G13/G12)*F12)</f>
        <v>0</v>
      </c>
      <c r="G13" s="74">
        <f>IF(InsMarketMethod="D",InputTOTAL!$F$12,IF(InsMarketMethod="C",InputTOTAL!$G$12,InputTOTAL!$H$12))</f>
        <v>0.273</v>
      </c>
    </row>
    <row r="14" spans="1:7" ht="15.75" customHeight="1">
      <c r="A14" s="187" t="str">
        <f>Exh3B!$A14</f>
        <v>Item 6</v>
      </c>
      <c r="B14" s="204" t="str">
        <f>Exh3B!$B14</f>
        <v>Additional Allowable Efficiency Expense</v>
      </c>
      <c r="C14" s="154" t="s">
        <v>70</v>
      </c>
      <c r="D14" s="385" t="s">
        <v>70</v>
      </c>
      <c r="E14" s="65"/>
      <c r="F14" s="69">
        <f>MAX(F13-F12,0)</f>
        <v>0</v>
      </c>
      <c r="G14" s="74">
        <f>MAX(G13-G12,0)</f>
        <v>0.273</v>
      </c>
    </row>
    <row r="15" spans="1:7" ht="15.75" customHeight="1">
      <c r="A15" s="187" t="str">
        <f>Exh3B!$A15</f>
        <v>Item 7</v>
      </c>
      <c r="B15" s="204" t="str">
        <f>Exh3B!$B15</f>
        <v>Direct Taxes, Licenses &amp; Fees</v>
      </c>
      <c r="C15" s="62">
        <f>InputC!$E$85</f>
        <v>0</v>
      </c>
      <c r="D15" s="55">
        <f>IF(C7=0,0,C15/C7)</f>
        <v>0</v>
      </c>
      <c r="E15" s="47"/>
      <c r="F15" s="62">
        <f>InputC!$E$90</f>
        <v>0</v>
      </c>
      <c r="G15" s="74">
        <f>IF(F7=0,0,F15/F7)</f>
        <v>0</v>
      </c>
    </row>
    <row r="16" spans="1:7" ht="15.75" customHeight="1">
      <c r="A16" s="187" t="str">
        <f>Exh3B!$A16</f>
        <v>Item 8</v>
      </c>
      <c r="B16" s="204" t="str">
        <f>Exh3B!$B16</f>
        <v>Direct Prepaid Expenses</v>
      </c>
      <c r="C16" s="418">
        <f>IF(SUM(C9:C11)=0,0,0.5*(C9+C10)+C14*(C9+C10)/(C9+C10+C11)+C11+C15)</f>
        <v>0</v>
      </c>
      <c r="D16" s="55">
        <f>IF(C8=0,0,C16/C8)</f>
        <v>0</v>
      </c>
      <c r="E16" s="65"/>
      <c r="F16" s="418">
        <f>IF(SUM(F9:F11)=0,0,0.5*(F9+F10)+F14*(F9+F10)/(F9+F10+F11)+F11+F15)</f>
        <v>0</v>
      </c>
      <c r="G16" s="74">
        <f>IF(F8=0,0,F16/F8)</f>
        <v>0</v>
      </c>
    </row>
    <row r="17" spans="1:7" ht="15.75" customHeight="1">
      <c r="A17" s="187" t="str">
        <f>Exh3B!$A17</f>
        <v>Item 9</v>
      </c>
      <c r="B17" s="204" t="str">
        <f>Exh3B!$B17</f>
        <v>Net Catastrophe Reinsurance</v>
      </c>
      <c r="C17" s="62">
        <f>InputC!$E$86</f>
        <v>0</v>
      </c>
      <c r="D17" s="55">
        <f>IF(C7=0,0,C17/C7)</f>
        <v>0</v>
      </c>
      <c r="E17" s="65"/>
      <c r="F17" s="418">
        <f>G17*F7</f>
        <v>0</v>
      </c>
      <c r="G17" s="74">
        <f>D17</f>
        <v>0</v>
      </c>
    </row>
    <row r="18" spans="1:7" ht="15.75" customHeight="1">
      <c r="A18" s="187" t="str">
        <f>Exh3B!$A18</f>
        <v>Item 10</v>
      </c>
      <c r="B18" s="204" t="str">
        <f>Exh3B!$B18</f>
        <v>LAD Fees Paid</v>
      </c>
      <c r="C18" s="69" t="s">
        <v>70</v>
      </c>
      <c r="D18" s="385" t="s">
        <v>70</v>
      </c>
      <c r="E18" s="47"/>
      <c r="F18" s="62">
        <f>InputC!$E$92</f>
        <v>0</v>
      </c>
      <c r="G18" s="74">
        <f>IF(F7=0,0,F18/F7)</f>
        <v>0</v>
      </c>
    </row>
    <row r="19" spans="1:7" ht="15.75" customHeight="1">
      <c r="A19" s="206"/>
      <c r="B19" s="204"/>
      <c r="C19" s="204"/>
      <c r="D19" s="204"/>
      <c r="E19" s="204"/>
      <c r="F19" s="204"/>
      <c r="G19" s="210"/>
    </row>
    <row r="20" spans="1:7" ht="15.75" customHeight="1">
      <c r="A20" s="202"/>
      <c r="B20" s="204"/>
      <c r="C20" s="390" t="str">
        <f>Exh3B!$C20</f>
        <v>Part 1  -  Countrywide</v>
      </c>
      <c r="D20" s="203"/>
      <c r="E20" s="204"/>
      <c r="F20" s="390" t="str">
        <f>Exh3B!$F20</f>
        <v>Part 2  -  New Jersey</v>
      </c>
      <c r="G20" s="205"/>
    </row>
    <row r="21" spans="1:7" ht="15.75" customHeight="1">
      <c r="A21" s="206"/>
      <c r="B21" s="209" t="str">
        <f>Exh3B!$B21</f>
        <v>Calendar Year 2022</v>
      </c>
      <c r="C21" s="189" t="str">
        <f>Exh3B!$C21</f>
        <v>Col (1)</v>
      </c>
      <c r="D21" s="189" t="str">
        <f>Exh3B!$D21</f>
        <v>Col (2)</v>
      </c>
      <c r="E21" s="204"/>
      <c r="F21" s="189" t="str">
        <f>Exh3B!$F21</f>
        <v>Col (3)</v>
      </c>
      <c r="G21" s="207" t="str">
        <f>Exh3B!$G21</f>
        <v>Col (4)</v>
      </c>
    </row>
    <row r="22" spans="1:7" ht="15.75" customHeight="1">
      <c r="A22" s="187" t="str">
        <f>Exh3B!$A22</f>
        <v>Item 1</v>
      </c>
      <c r="B22" s="204" t="str">
        <f>Exh3B!$B22</f>
        <v>Direct Written Premium</v>
      </c>
      <c r="C22" s="90">
        <f>InputC!$F$80</f>
        <v>0</v>
      </c>
      <c r="D22" s="71" t="s">
        <v>59</v>
      </c>
      <c r="E22" s="65"/>
      <c r="F22" s="90">
        <f>Exh1C!$D$23</f>
        <v>0</v>
      </c>
      <c r="G22" s="73" t="s">
        <v>59</v>
      </c>
    </row>
    <row r="23" spans="1:7" ht="15.75" customHeight="1">
      <c r="A23" s="187" t="str">
        <f>Exh3B!$A23</f>
        <v>Item 2</v>
      </c>
      <c r="B23" s="204" t="str">
        <f>Exh3B!$B23</f>
        <v>Direct Earned Premium</v>
      </c>
      <c r="C23" s="62">
        <f>InputC!$F$81</f>
        <v>0</v>
      </c>
      <c r="D23" s="58"/>
      <c r="E23" s="204"/>
      <c r="F23" s="69">
        <f>Exh1C!$E$23</f>
        <v>0</v>
      </c>
      <c r="G23" s="210"/>
    </row>
    <row r="24" spans="1:7" ht="15.75" customHeight="1">
      <c r="A24" s="187" t="str">
        <f>Exh3B!$A24</f>
        <v>Item 3</v>
      </c>
      <c r="B24" s="204" t="str">
        <f>Exh3B!$B24</f>
        <v>Direct Other Acquisition Expense</v>
      </c>
      <c r="C24" s="62">
        <f>InputC!$F$82</f>
        <v>0</v>
      </c>
      <c r="D24" s="55">
        <f>IF(C23=0,0,C24/C23)</f>
        <v>0</v>
      </c>
      <c r="E24" s="65"/>
      <c r="F24" s="69">
        <f>F23*G24</f>
        <v>0</v>
      </c>
      <c r="G24" s="74">
        <f>D24</f>
        <v>0</v>
      </c>
    </row>
    <row r="25" spans="1:7" ht="15.75" customHeight="1">
      <c r="A25" s="187" t="str">
        <f>Exh3B!$A25</f>
        <v>Item 4</v>
      </c>
      <c r="B25" s="204" t="str">
        <f>Exh3B!$B25</f>
        <v>Direct General Expense</v>
      </c>
      <c r="C25" s="62">
        <f>InputC!$F$83</f>
        <v>0</v>
      </c>
      <c r="D25" s="55">
        <f>IF(C23=0,0,C25/C23)</f>
        <v>0</v>
      </c>
      <c r="E25" s="65"/>
      <c r="F25" s="69">
        <f>F23*G25</f>
        <v>0</v>
      </c>
      <c r="G25" s="74">
        <f>D25</f>
        <v>0</v>
      </c>
    </row>
    <row r="26" spans="1:7" ht="15.75" customHeight="1">
      <c r="A26" s="187" t="str">
        <f>Exh3B!$A26</f>
        <v>Item 5</v>
      </c>
      <c r="B26" s="204" t="str">
        <f>Exh3B!$B26</f>
        <v>Direct Commission &amp; Brokerage</v>
      </c>
      <c r="C26" s="62">
        <f>InputC!$F$84</f>
        <v>0</v>
      </c>
      <c r="D26" s="55">
        <f>IF(C22=0,0,C26/C22)</f>
        <v>0</v>
      </c>
      <c r="E26" s="204"/>
      <c r="F26" s="62">
        <f>InputC!$F$89</f>
        <v>0</v>
      </c>
      <c r="G26" s="74">
        <f>IF(F22=0,0,F26/F22)</f>
        <v>0</v>
      </c>
    </row>
    <row r="27" spans="1:7" ht="15.75" customHeight="1">
      <c r="A27" s="187" t="str">
        <f>Exh3B!$A27</f>
        <v>Item 6a</v>
      </c>
      <c r="B27" s="204" t="str">
        <f>Exh3B!$B27</f>
        <v>Expenses subject to Capping (Items 3-5)</v>
      </c>
      <c r="C27" s="154" t="s">
        <v>70</v>
      </c>
      <c r="D27" s="385" t="s">
        <v>70</v>
      </c>
      <c r="E27" s="65"/>
      <c r="F27" s="69">
        <f>SUM(F24:F26)</f>
        <v>0</v>
      </c>
      <c r="G27" s="74">
        <f>SUM(G24:G26)</f>
        <v>0</v>
      </c>
    </row>
    <row r="28" spans="1:7" ht="15.75" customHeight="1">
      <c r="A28" s="187" t="str">
        <f>Exh3B!$A28</f>
        <v>Item 6b</v>
      </c>
      <c r="B28" s="204" t="str">
        <f>Exh3B!$B28</f>
        <v>Allowable Capped Expense</v>
      </c>
      <c r="C28" s="154" t="s">
        <v>70</v>
      </c>
      <c r="D28" s="385" t="s">
        <v>70</v>
      </c>
      <c r="E28" s="65"/>
      <c r="F28" s="69">
        <f>IF(G27=0,0,(G28/G27)*F27)</f>
        <v>0</v>
      </c>
      <c r="G28" s="74">
        <f>IF(InsMarketMethod="D",InputTOTAL!$F$12,IF(InsMarketMethod="C",InputTOTAL!$G$12,InputTOTAL!$H$12))</f>
        <v>0.273</v>
      </c>
    </row>
    <row r="29" spans="1:7" ht="15.75" customHeight="1">
      <c r="A29" s="187" t="str">
        <f>Exh3B!$A29</f>
        <v>Item 6</v>
      </c>
      <c r="B29" s="204" t="str">
        <f>Exh3B!$B29</f>
        <v>Additional Allowable Efficiency Expense</v>
      </c>
      <c r="C29" s="154" t="s">
        <v>70</v>
      </c>
      <c r="D29" s="385" t="s">
        <v>70</v>
      </c>
      <c r="E29" s="65"/>
      <c r="F29" s="69">
        <f>MAX(F28-F27,0)</f>
        <v>0</v>
      </c>
      <c r="G29" s="74">
        <f>MAX(G28-G27,0)</f>
        <v>0.273</v>
      </c>
    </row>
    <row r="30" spans="1:7" ht="15.75" customHeight="1">
      <c r="A30" s="187" t="str">
        <f>Exh3B!$A30</f>
        <v>Item 7</v>
      </c>
      <c r="B30" s="204" t="str">
        <f>Exh3B!$B30</f>
        <v>Direct Taxes, Licenses &amp; Fees</v>
      </c>
      <c r="C30" s="62">
        <f>InputC!$F$85</f>
        <v>0</v>
      </c>
      <c r="D30" s="55">
        <f>IF(C22=0,0,C30/C22)</f>
        <v>0</v>
      </c>
      <c r="E30" s="204"/>
      <c r="F30" s="62">
        <f>InputC!$F$90</f>
        <v>0</v>
      </c>
      <c r="G30" s="74">
        <f>IF(F22=0,0,F30/F22)</f>
        <v>0</v>
      </c>
    </row>
    <row r="31" spans="1:7" ht="15.75" customHeight="1">
      <c r="A31" s="187" t="str">
        <f>Exh3B!$A31</f>
        <v>Item 8</v>
      </c>
      <c r="B31" s="204" t="str">
        <f>Exh3B!$B31</f>
        <v>Direct Prepaid Expenses</v>
      </c>
      <c r="C31" s="418">
        <f>IF(SUM(C24:C26)=0,0,0.5*(C24+C25)+C29*(C24+C25)/(C24+C25+C26)+C26+C30)</f>
        <v>0</v>
      </c>
      <c r="D31" s="55">
        <f>IF(C23=0,0,C31/C23)</f>
        <v>0</v>
      </c>
      <c r="E31" s="65"/>
      <c r="F31" s="418">
        <f>IF(SUM(F24:F26)=0,0,0.5*(F24+F25)+F29*(F24+F25)/(F24+F25+F26)+F26+F30)</f>
        <v>0</v>
      </c>
      <c r="G31" s="74">
        <f>IF(F23=0,0,F31/F23)</f>
        <v>0</v>
      </c>
    </row>
    <row r="32" spans="1:7" ht="15.75" customHeight="1">
      <c r="A32" s="187" t="str">
        <f>Exh3B!$A32</f>
        <v>Item 9</v>
      </c>
      <c r="B32" s="204" t="str">
        <f>Exh3B!$B32</f>
        <v>Net Catastrophe Reinsurance</v>
      </c>
      <c r="C32" s="62">
        <f>InputC!$F$86</f>
        <v>0</v>
      </c>
      <c r="D32" s="55">
        <f>IF(C22=0,0,C32/C22)</f>
        <v>0</v>
      </c>
      <c r="E32" s="65"/>
      <c r="F32" s="418">
        <f>G32*F22</f>
        <v>0</v>
      </c>
      <c r="G32" s="74">
        <f>D32</f>
        <v>0</v>
      </c>
    </row>
    <row r="33" spans="1:7" ht="15.75" customHeight="1">
      <c r="A33" s="187" t="str">
        <f>Exh3B!$A33</f>
        <v>Item 10</v>
      </c>
      <c r="B33" s="204" t="str">
        <f>Exh3B!$B33</f>
        <v>LAD Fees Paid</v>
      </c>
      <c r="C33" s="69" t="s">
        <v>70</v>
      </c>
      <c r="D33" s="385" t="s">
        <v>70</v>
      </c>
      <c r="E33" s="204"/>
      <c r="F33" s="62">
        <f>InputC!$F$92</f>
        <v>0</v>
      </c>
      <c r="G33" s="74">
        <f>IF(F22=0,0,F33/F22)</f>
        <v>0</v>
      </c>
    </row>
    <row r="34" spans="1:7" ht="15.75" customHeight="1">
      <c r="A34" s="206"/>
      <c r="B34" s="204"/>
      <c r="C34" s="204"/>
      <c r="D34" s="204"/>
      <c r="E34" s="204"/>
      <c r="F34" s="204"/>
      <c r="G34" s="210"/>
    </row>
    <row r="35" spans="1:7" ht="15.75" customHeight="1">
      <c r="A35" s="202"/>
      <c r="B35" s="204"/>
      <c r="C35" s="390" t="str">
        <f>Exh3B!$C35</f>
        <v>Part 1  -  Countrywide</v>
      </c>
      <c r="D35" s="203"/>
      <c r="E35" s="204"/>
      <c r="F35" s="390" t="str">
        <f>Exh3B!$F35</f>
        <v>Part 2  -  New Jersey</v>
      </c>
      <c r="G35" s="205"/>
    </row>
    <row r="36" spans="1:7" ht="15.75" customHeight="1">
      <c r="A36" s="206"/>
      <c r="B36" s="209" t="str">
        <f>Exh3B!$B36</f>
        <v>Calendar Year 2021</v>
      </c>
      <c r="C36" s="189" t="str">
        <f>Exh3B!$C36</f>
        <v>Col (1)</v>
      </c>
      <c r="D36" s="189" t="str">
        <f>Exh3B!$D36</f>
        <v>Col (2)</v>
      </c>
      <c r="E36" s="204"/>
      <c r="F36" s="189" t="str">
        <f>Exh3B!$F36</f>
        <v>Col (3)</v>
      </c>
      <c r="G36" s="207" t="str">
        <f>Exh3B!$G36</f>
        <v>Col (4)</v>
      </c>
    </row>
    <row r="37" spans="1:7" ht="15.75" customHeight="1">
      <c r="A37" s="187" t="str">
        <f>Exh3B!$A37</f>
        <v>Item 1</v>
      </c>
      <c r="B37" s="204" t="str">
        <f>Exh3B!$B37</f>
        <v>Direct Written Premium</v>
      </c>
      <c r="C37" s="90">
        <f>InputC!$G$80</f>
        <v>0</v>
      </c>
      <c r="D37" s="71" t="s">
        <v>59</v>
      </c>
      <c r="E37" s="65"/>
      <c r="F37" s="90">
        <f>Exh1C!$D$35</f>
        <v>0</v>
      </c>
      <c r="G37" s="73"/>
    </row>
    <row r="38" spans="1:7" ht="15.75" customHeight="1">
      <c r="A38" s="187" t="str">
        <f>Exh3B!$A38</f>
        <v>Item 2</v>
      </c>
      <c r="B38" s="204" t="str">
        <f>Exh3B!$B38</f>
        <v>Direct Earned Premium</v>
      </c>
      <c r="C38" s="62">
        <f>InputC!$G$81</f>
        <v>0</v>
      </c>
      <c r="D38" s="71" t="s">
        <v>59</v>
      </c>
      <c r="E38" s="204"/>
      <c r="F38" s="69">
        <f>Exh1C!$E$35</f>
        <v>0</v>
      </c>
      <c r="G38" s="210"/>
    </row>
    <row r="39" spans="1:7" ht="15.75" customHeight="1">
      <c r="A39" s="187" t="str">
        <f>Exh3B!$A39</f>
        <v>Item 3</v>
      </c>
      <c r="B39" s="204" t="str">
        <f>Exh3B!$B39</f>
        <v>Direct Other Acquisition Expense</v>
      </c>
      <c r="C39" s="62">
        <f>InputC!$G$82</f>
        <v>0</v>
      </c>
      <c r="D39" s="55">
        <f>IF(C38=0,0,C39/C38)</f>
        <v>0</v>
      </c>
      <c r="E39" s="65"/>
      <c r="F39" s="69">
        <f>F38*G39</f>
        <v>0</v>
      </c>
      <c r="G39" s="74">
        <f>D39</f>
        <v>0</v>
      </c>
    </row>
    <row r="40" spans="1:7" ht="15.75" customHeight="1">
      <c r="A40" s="187" t="str">
        <f>Exh3B!$A40</f>
        <v>Item 4</v>
      </c>
      <c r="B40" s="204" t="str">
        <f>Exh3B!$B40</f>
        <v>Direct General Expense</v>
      </c>
      <c r="C40" s="62">
        <f>InputC!$G$83</f>
        <v>0</v>
      </c>
      <c r="D40" s="55">
        <f>IF(C38=0,0,C40/C38)</f>
        <v>0</v>
      </c>
      <c r="E40" s="65"/>
      <c r="F40" s="69">
        <f>F38*G40</f>
        <v>0</v>
      </c>
      <c r="G40" s="74">
        <f>D40</f>
        <v>0</v>
      </c>
    </row>
    <row r="41" spans="1:7" ht="15.75" customHeight="1">
      <c r="A41" s="187" t="str">
        <f>Exh3B!$A41</f>
        <v>Item 5</v>
      </c>
      <c r="B41" s="204" t="str">
        <f>Exh3B!$B41</f>
        <v>Direct Commission &amp; Brokerage</v>
      </c>
      <c r="C41" s="62">
        <f>InputC!$G$84</f>
        <v>0</v>
      </c>
      <c r="D41" s="55">
        <f>IF(C37=0,0,C41/C37)</f>
        <v>0</v>
      </c>
      <c r="E41" s="204"/>
      <c r="F41" s="62">
        <f>InputC!$G$89</f>
        <v>0</v>
      </c>
      <c r="G41" s="74">
        <f>IF(F37=0,0,F41/F37)</f>
        <v>0</v>
      </c>
    </row>
    <row r="42" spans="1:7" ht="15.75" customHeight="1">
      <c r="A42" s="187" t="str">
        <f>Exh3B!$A42</f>
        <v>Item 6a</v>
      </c>
      <c r="B42" s="204" t="str">
        <f>Exh3B!$B42</f>
        <v>Expenses subject to Capping (Items 3-5)</v>
      </c>
      <c r="C42" s="154" t="s">
        <v>70</v>
      </c>
      <c r="D42" s="385" t="s">
        <v>70</v>
      </c>
      <c r="E42" s="65"/>
      <c r="F42" s="69">
        <f>SUM(F39:F41)</f>
        <v>0</v>
      </c>
      <c r="G42" s="74">
        <f>SUM(G39:G41)</f>
        <v>0</v>
      </c>
    </row>
    <row r="43" spans="1:7" ht="15.75" customHeight="1">
      <c r="A43" s="187" t="str">
        <f>Exh3B!$A43</f>
        <v>Item 6b</v>
      </c>
      <c r="B43" s="204" t="str">
        <f>Exh3B!$B43</f>
        <v>Allowable Capped Expense</v>
      </c>
      <c r="C43" s="154" t="s">
        <v>70</v>
      </c>
      <c r="D43" s="385" t="s">
        <v>70</v>
      </c>
      <c r="E43" s="65"/>
      <c r="F43" s="69">
        <f>IF(G42=0,0,(G43/G42)*F42)</f>
        <v>0</v>
      </c>
      <c r="G43" s="74">
        <f>IF(InsMarketMethod="D",InputTOTAL!$F$12,IF(InsMarketMethod="C",InputTOTAL!$G$12,InputTOTAL!$H$12))</f>
        <v>0.273</v>
      </c>
    </row>
    <row r="44" spans="1:7" ht="15.75" customHeight="1">
      <c r="A44" s="187" t="str">
        <f>Exh3B!$A44</f>
        <v>Item 6</v>
      </c>
      <c r="B44" s="204" t="str">
        <f>Exh3B!$B44</f>
        <v>Additional Allowable Efficiency Expense</v>
      </c>
      <c r="C44" s="154" t="s">
        <v>70</v>
      </c>
      <c r="D44" s="385" t="s">
        <v>70</v>
      </c>
      <c r="E44" s="65"/>
      <c r="F44" s="69">
        <f>MAX(F43-F42,0)</f>
        <v>0</v>
      </c>
      <c r="G44" s="74">
        <f>MAX(G43-G42,0)</f>
        <v>0.273</v>
      </c>
    </row>
    <row r="45" spans="1:7" ht="15.75" customHeight="1">
      <c r="A45" s="187" t="str">
        <f>Exh3B!$A45</f>
        <v>Item 7</v>
      </c>
      <c r="B45" s="204" t="str">
        <f>Exh3B!$B45</f>
        <v>Direct Taxes, Licenses &amp; Fees</v>
      </c>
      <c r="C45" s="62">
        <f>InputC!$G$85</f>
        <v>0</v>
      </c>
      <c r="D45" s="55">
        <f>IF(C37=0,0,C45/C37)</f>
        <v>0</v>
      </c>
      <c r="E45" s="204"/>
      <c r="F45" s="62">
        <f>InputC!$G$90</f>
        <v>0</v>
      </c>
      <c r="G45" s="74">
        <f>IF(F37=0,0,F45/F37)</f>
        <v>0</v>
      </c>
    </row>
    <row r="46" spans="1:7" ht="15.75" customHeight="1">
      <c r="A46" s="187" t="str">
        <f>Exh3B!$A46</f>
        <v>Item 8</v>
      </c>
      <c r="B46" s="204" t="str">
        <f>Exh3B!$B46</f>
        <v>Direct Prepaid Expenses</v>
      </c>
      <c r="C46" s="418">
        <f>IF(SUM(C39:C41)=0,0,0.5*(C39+C40)+C44*(C39+C40)/(C39+C40+C41)+C41+C45)</f>
        <v>0</v>
      </c>
      <c r="D46" s="55">
        <f>IF(C38=0,0,C46/C38)</f>
        <v>0</v>
      </c>
      <c r="E46" s="65"/>
      <c r="F46" s="418">
        <f>IF(SUM(F39:F41)=0,0,0.5*(F39+F40)+F44*(F39+F40)/(F39+F40+F41)+F41+F45)</f>
        <v>0</v>
      </c>
      <c r="G46" s="74">
        <f>IF(F38=0,0,F46/F38)</f>
        <v>0</v>
      </c>
    </row>
    <row r="47" spans="1:7" ht="15.75" customHeight="1">
      <c r="A47" s="187" t="str">
        <f>Exh3B!$A47</f>
        <v>Item 9</v>
      </c>
      <c r="B47" s="204" t="str">
        <f>Exh3B!$B47</f>
        <v>Net Catastrophe Reinsurance</v>
      </c>
      <c r="C47" s="62">
        <f>InputC!$G$86</f>
        <v>0</v>
      </c>
      <c r="D47" s="55">
        <f>IF(C37=0,0,C47/C37)</f>
        <v>0</v>
      </c>
      <c r="E47" s="65"/>
      <c r="F47" s="418">
        <f>G47*F37</f>
        <v>0</v>
      </c>
      <c r="G47" s="74">
        <f>D47</f>
        <v>0</v>
      </c>
    </row>
    <row r="48" spans="1:7" ht="15.75" customHeight="1">
      <c r="A48" s="187" t="str">
        <f>Exh3B!$A48</f>
        <v>Item 10</v>
      </c>
      <c r="B48" s="204" t="str">
        <f>Exh3B!$B48</f>
        <v>LAD Fees Paid</v>
      </c>
      <c r="C48" s="69" t="s">
        <v>70</v>
      </c>
      <c r="D48" s="385" t="s">
        <v>70</v>
      </c>
      <c r="E48" s="204"/>
      <c r="F48" s="62">
        <f>InputC!$G$92</f>
        <v>0</v>
      </c>
      <c r="G48" s="74">
        <f>IF(F37=0,0,F48/F37)</f>
        <v>0</v>
      </c>
    </row>
    <row r="49" spans="1:7" ht="15.75" customHeight="1">
      <c r="A49" s="206"/>
      <c r="B49" s="204"/>
      <c r="C49" s="204"/>
      <c r="D49" s="204"/>
      <c r="E49" s="204"/>
      <c r="F49" s="204"/>
      <c r="G49" s="210"/>
    </row>
    <row r="50" spans="1:7" ht="15.75" customHeight="1">
      <c r="A50" s="202"/>
      <c r="B50" s="204"/>
      <c r="C50" s="390" t="str">
        <f>Exh3B!$C50</f>
        <v>Part 1  -  Countrywide</v>
      </c>
      <c r="D50" s="203"/>
      <c r="E50" s="204"/>
      <c r="F50" s="390" t="str">
        <f>Exh3B!$F50</f>
        <v>Part 2  -  New Jersey</v>
      </c>
      <c r="G50" s="205"/>
    </row>
    <row r="51" spans="1:7" ht="15.75" customHeight="1">
      <c r="A51" s="206"/>
      <c r="B51" s="209" t="str">
        <f>Exh3B!$B51</f>
        <v>Calendar Year 2020</v>
      </c>
      <c r="C51" s="189" t="str">
        <f>Exh3B!$C51</f>
        <v>Col (1)</v>
      </c>
      <c r="D51" s="189" t="str">
        <f>Exh3B!$D51</f>
        <v>Col (2)</v>
      </c>
      <c r="E51" s="204"/>
      <c r="F51" s="189" t="str">
        <f>Exh3B!$F51</f>
        <v>Col (3)</v>
      </c>
      <c r="G51" s="207" t="str">
        <f>Exh3B!$G51</f>
        <v>Col (4)</v>
      </c>
    </row>
    <row r="52" spans="1:7" ht="15.75" customHeight="1">
      <c r="A52" s="187" t="str">
        <f>Exh3B!$A52</f>
        <v>Item 1</v>
      </c>
      <c r="B52" s="204" t="str">
        <f>Exh3B!$B52</f>
        <v>Direct Written Premium</v>
      </c>
      <c r="C52" s="90">
        <f>InputC!$H$80</f>
        <v>0</v>
      </c>
      <c r="D52" s="71" t="s">
        <v>59</v>
      </c>
      <c r="E52" s="65"/>
      <c r="F52" s="90">
        <f>Exh1C!$D$52</f>
        <v>0</v>
      </c>
      <c r="G52" s="73"/>
    </row>
    <row r="53" spans="1:7" ht="15.75" customHeight="1">
      <c r="A53" s="187" t="str">
        <f>Exh3B!$A53</f>
        <v>Item 2</v>
      </c>
      <c r="B53" s="204" t="str">
        <f>Exh3B!$B53</f>
        <v>Direct Earned Premium</v>
      </c>
      <c r="C53" s="62">
        <f>InputC!$H$81</f>
        <v>0</v>
      </c>
      <c r="D53" s="71" t="s">
        <v>59</v>
      </c>
      <c r="E53" s="204"/>
      <c r="F53" s="69">
        <f>Exh1C!$E$52</f>
        <v>0</v>
      </c>
      <c r="G53" s="210"/>
    </row>
    <row r="54" spans="1:7" ht="15.75" customHeight="1">
      <c r="A54" s="187" t="str">
        <f>Exh3B!$A54</f>
        <v>Item 3</v>
      </c>
      <c r="B54" s="204" t="str">
        <f>Exh3B!$B54</f>
        <v>Direct Other Acquisition Expense</v>
      </c>
      <c r="C54" s="62">
        <f>InputC!$H$82</f>
        <v>0</v>
      </c>
      <c r="D54" s="55">
        <f>IF(C53=0,0,C54/C53)</f>
        <v>0</v>
      </c>
      <c r="E54" s="65"/>
      <c r="F54" s="69">
        <f>F53*G54</f>
        <v>0</v>
      </c>
      <c r="G54" s="74">
        <f>D54</f>
        <v>0</v>
      </c>
    </row>
    <row r="55" spans="1:7" ht="15.75" customHeight="1">
      <c r="A55" s="187" t="str">
        <f>Exh3B!$A55</f>
        <v>Item 4</v>
      </c>
      <c r="B55" s="204" t="str">
        <f>Exh3B!$B55</f>
        <v>Direct General Expense</v>
      </c>
      <c r="C55" s="62">
        <f>InputC!$H$83</f>
        <v>0</v>
      </c>
      <c r="D55" s="55">
        <f>IF(C53=0,0,C55/C53)</f>
        <v>0</v>
      </c>
      <c r="E55" s="65"/>
      <c r="F55" s="69">
        <f>F53*G55</f>
        <v>0</v>
      </c>
      <c r="G55" s="74">
        <f>D55</f>
        <v>0</v>
      </c>
    </row>
    <row r="56" spans="1:7" ht="15.75" customHeight="1">
      <c r="A56" s="187" t="str">
        <f>Exh3B!$A56</f>
        <v>Item 5</v>
      </c>
      <c r="B56" s="204" t="str">
        <f>Exh3B!$B56</f>
        <v>Direct Commission &amp; Brokerage</v>
      </c>
      <c r="C56" s="62">
        <f>InputC!$H$84</f>
        <v>0</v>
      </c>
      <c r="D56" s="55">
        <f>IF(C52=0,0,C56/C52)</f>
        <v>0</v>
      </c>
      <c r="E56" s="204"/>
      <c r="F56" s="62">
        <f>InputC!$H$89</f>
        <v>0</v>
      </c>
      <c r="G56" s="74">
        <f>IF(F52=0,0,F56/F52)</f>
        <v>0</v>
      </c>
    </row>
    <row r="57" spans="1:7" ht="15.75" customHeight="1">
      <c r="A57" s="187" t="str">
        <f>Exh3B!$A57</f>
        <v>Item 6a</v>
      </c>
      <c r="B57" s="204" t="str">
        <f>Exh3B!$B57</f>
        <v>Expenses subject to Capping (Items 3-5)</v>
      </c>
      <c r="C57" s="154" t="s">
        <v>70</v>
      </c>
      <c r="D57" s="385" t="s">
        <v>70</v>
      </c>
      <c r="E57" s="65"/>
      <c r="F57" s="69">
        <f>SUM(F54:F56)</f>
        <v>0</v>
      </c>
      <c r="G57" s="74">
        <f>SUM(G54:G56)</f>
        <v>0</v>
      </c>
    </row>
    <row r="58" spans="1:7" ht="15.75" customHeight="1">
      <c r="A58" s="187" t="str">
        <f>Exh3B!$A58</f>
        <v>Item 6b</v>
      </c>
      <c r="B58" s="204" t="str">
        <f>Exh3B!$B58</f>
        <v>Allowable Capped Expense</v>
      </c>
      <c r="C58" s="154" t="s">
        <v>70</v>
      </c>
      <c r="D58" s="385" t="s">
        <v>70</v>
      </c>
      <c r="E58" s="65"/>
      <c r="F58" s="69">
        <f>IF(G57=0,0,(G58/G57)*F57)</f>
        <v>0</v>
      </c>
      <c r="G58" s="74">
        <f>IF(InsMarketMethod="D",InputTOTAL!$F$12,IF(InsMarketMethod="C",InputTOTAL!$G$12,InputTOTAL!$H$12))</f>
        <v>0.273</v>
      </c>
    </row>
    <row r="59" spans="1:7" ht="15.75" customHeight="1">
      <c r="A59" s="187" t="str">
        <f>Exh3B!$A59</f>
        <v>Item 6</v>
      </c>
      <c r="B59" s="204" t="str">
        <f>Exh3B!$B59</f>
        <v>Additional Allowable Efficiency Expense</v>
      </c>
      <c r="C59" s="154" t="s">
        <v>70</v>
      </c>
      <c r="D59" s="385" t="s">
        <v>70</v>
      </c>
      <c r="E59" s="65"/>
      <c r="F59" s="69">
        <f>MAX(F58-F57,0)</f>
        <v>0</v>
      </c>
      <c r="G59" s="74">
        <f>MAX(G58-G57,0)</f>
        <v>0.273</v>
      </c>
    </row>
    <row r="60" spans="1:7" ht="15.75" customHeight="1">
      <c r="A60" s="187" t="str">
        <f>Exh3B!$A60</f>
        <v>Item 7</v>
      </c>
      <c r="B60" s="204" t="str">
        <f>Exh3B!$B60</f>
        <v>Direct Taxes, Licenses &amp; Fees</v>
      </c>
      <c r="C60" s="62">
        <f>InputC!$H$85</f>
        <v>0</v>
      </c>
      <c r="D60" s="55">
        <f>IF(C52=0,0,C60/C52)</f>
        <v>0</v>
      </c>
      <c r="E60" s="204"/>
      <c r="F60" s="62">
        <f>InputC!$H$90</f>
        <v>0</v>
      </c>
      <c r="G60" s="74">
        <f>IF(F52=0,0,F60/F52)</f>
        <v>0</v>
      </c>
    </row>
    <row r="61" spans="1:7" ht="15.75" customHeight="1">
      <c r="A61" s="187" t="str">
        <f>Exh3B!$A61</f>
        <v>Item 8</v>
      </c>
      <c r="B61" s="204" t="str">
        <f>Exh3B!$B61</f>
        <v>Direct Prepaid Expenses</v>
      </c>
      <c r="C61" s="418">
        <f>IF(SUM(C54:C56)=0,0,0.5*(C54+C55)+C59*(C54+C55)/(C54+C55+C56)+C56+C60)</f>
        <v>0</v>
      </c>
      <c r="D61" s="55">
        <f>IF(C53=0,0,C61/C53)</f>
        <v>0</v>
      </c>
      <c r="E61" s="65"/>
      <c r="F61" s="418">
        <f>IF(SUM(F54:F56)=0,0,0.5*(F54+F55)+F59*(F54+F55)/(F54+F55+F56)+F56+F60)</f>
        <v>0</v>
      </c>
      <c r="G61" s="74">
        <f>IF(F53=0,0,F61/F53)</f>
        <v>0</v>
      </c>
    </row>
    <row r="62" spans="1:7" ht="15.75" customHeight="1">
      <c r="A62" s="187" t="str">
        <f>Exh3B!$A62</f>
        <v>Item 9</v>
      </c>
      <c r="B62" s="204" t="str">
        <f>Exh3B!$B62</f>
        <v>Net Catastrophe Reinsurance</v>
      </c>
      <c r="C62" s="62">
        <f>InputC!$H$86</f>
        <v>0</v>
      </c>
      <c r="D62" s="55">
        <f>IF(C52=0,0,C62/C52)</f>
        <v>0</v>
      </c>
      <c r="E62" s="65"/>
      <c r="F62" s="418">
        <f>G62*F52</f>
        <v>0</v>
      </c>
      <c r="G62" s="74">
        <f>D62</f>
        <v>0</v>
      </c>
    </row>
    <row r="63" spans="1:7" ht="15.75" customHeight="1">
      <c r="A63" s="187" t="str">
        <f>Exh3B!$A63</f>
        <v>Item 10</v>
      </c>
      <c r="B63" s="204" t="str">
        <f>Exh3B!$B63</f>
        <v>LAD Fees Paid</v>
      </c>
      <c r="C63" s="69" t="s">
        <v>70</v>
      </c>
      <c r="D63" s="385" t="s">
        <v>70</v>
      </c>
      <c r="E63" s="204"/>
      <c r="F63" s="62">
        <f>InputC!$H$92</f>
        <v>0</v>
      </c>
      <c r="G63" s="74">
        <f>IF(F52=0,0,F63/F52)</f>
        <v>0</v>
      </c>
    </row>
    <row r="64" spans="1:7" ht="15.75" customHeight="1">
      <c r="A64" s="206"/>
      <c r="B64" s="204"/>
      <c r="C64" s="204"/>
      <c r="D64" s="204"/>
      <c r="E64" s="204"/>
      <c r="F64" s="204"/>
      <c r="G64" s="210"/>
    </row>
    <row r="65" spans="1:7" ht="15.75" customHeight="1">
      <c r="A65" s="202"/>
      <c r="B65" s="204"/>
      <c r="C65" s="390" t="str">
        <f>Exh3B!$C65</f>
        <v>Part 1  -  Countrywide</v>
      </c>
      <c r="D65" s="203"/>
      <c r="E65" s="204"/>
      <c r="F65" s="390" t="str">
        <f>Exh3B!$F65</f>
        <v>Part 2  -  New Jersey</v>
      </c>
      <c r="G65" s="205"/>
    </row>
    <row r="66" spans="1:7" ht="15.75" customHeight="1">
      <c r="A66" s="206"/>
      <c r="B66" s="209" t="str">
        <f>Exh3B!$B66</f>
        <v>Calendar Year 2019</v>
      </c>
      <c r="C66" s="189" t="str">
        <f>Exh3B!$C66</f>
        <v>Col (1)</v>
      </c>
      <c r="D66" s="189" t="str">
        <f>Exh3B!$D66</f>
        <v>Col (2)</v>
      </c>
      <c r="E66" s="204"/>
      <c r="F66" s="189" t="str">
        <f>Exh3B!$F66</f>
        <v>Col (3)</v>
      </c>
      <c r="G66" s="207" t="str">
        <f>Exh3B!$G66</f>
        <v>Col (4)</v>
      </c>
    </row>
    <row r="67" spans="1:7" ht="15.75" customHeight="1">
      <c r="A67" s="187" t="str">
        <f>Exh3B!$A67</f>
        <v>Item 1</v>
      </c>
      <c r="B67" s="204" t="str">
        <f>Exh3B!$B67</f>
        <v>Direct Written Premium</v>
      </c>
      <c r="C67" s="90">
        <f>InputC!$I$80</f>
        <v>0</v>
      </c>
      <c r="D67" s="71" t="s">
        <v>59</v>
      </c>
      <c r="E67" s="65"/>
      <c r="F67" s="90">
        <f>Exh1C!$D$64</f>
        <v>0</v>
      </c>
      <c r="G67" s="73"/>
    </row>
    <row r="68" spans="1:7" ht="15.75" customHeight="1">
      <c r="A68" s="187" t="str">
        <f>Exh3B!$A68</f>
        <v>Item 2</v>
      </c>
      <c r="B68" s="204" t="str">
        <f>Exh3B!$B68</f>
        <v>Direct Earned Premium</v>
      </c>
      <c r="C68" s="62">
        <f>InputC!$I$81</f>
        <v>0</v>
      </c>
      <c r="D68" s="71" t="s">
        <v>59</v>
      </c>
      <c r="E68" s="204"/>
      <c r="F68" s="69">
        <f>Exh1C!$E$64</f>
        <v>0</v>
      </c>
      <c r="G68" s="210"/>
    </row>
    <row r="69" spans="1:7" ht="15.75" customHeight="1">
      <c r="A69" s="187" t="str">
        <f>Exh3B!$A69</f>
        <v>Item 3</v>
      </c>
      <c r="B69" s="204" t="str">
        <f>Exh3B!$B69</f>
        <v>Direct Other Acquisition Expense</v>
      </c>
      <c r="C69" s="62">
        <f>InputC!$I$82</f>
        <v>0</v>
      </c>
      <c r="D69" s="55">
        <f>IF(C68=0,0,C69/C68)</f>
        <v>0</v>
      </c>
      <c r="E69" s="65"/>
      <c r="F69" s="69">
        <f>F68*G69</f>
        <v>0</v>
      </c>
      <c r="G69" s="74">
        <f>D69</f>
        <v>0</v>
      </c>
    </row>
    <row r="70" spans="1:7" ht="15.75" customHeight="1">
      <c r="A70" s="187" t="str">
        <f>Exh3B!$A70</f>
        <v>Item 4</v>
      </c>
      <c r="B70" s="204" t="str">
        <f>Exh3B!$B70</f>
        <v>Direct General Expense</v>
      </c>
      <c r="C70" s="62">
        <f>InputC!$I$83</f>
        <v>0</v>
      </c>
      <c r="D70" s="55">
        <f>IF(C68=0,0,C70/C68)</f>
        <v>0</v>
      </c>
      <c r="E70" s="65"/>
      <c r="F70" s="69">
        <f>F68*G70</f>
        <v>0</v>
      </c>
      <c r="G70" s="74">
        <f>D70</f>
        <v>0</v>
      </c>
    </row>
    <row r="71" spans="1:7" ht="15.75" customHeight="1">
      <c r="A71" s="187" t="str">
        <f>Exh3B!$A71</f>
        <v>Item 5</v>
      </c>
      <c r="B71" s="204" t="str">
        <f>Exh3B!$B71</f>
        <v>Direct Commission &amp; Brokerage</v>
      </c>
      <c r="C71" s="62">
        <f>InputC!$I$84</f>
        <v>0</v>
      </c>
      <c r="D71" s="55">
        <f>IF(C67=0,0,C71/C67)</f>
        <v>0</v>
      </c>
      <c r="E71" s="204"/>
      <c r="F71" s="62">
        <f>InputC!$I$89</f>
        <v>0</v>
      </c>
      <c r="G71" s="74">
        <f>IF(F67=0,0,F71/F67)</f>
        <v>0</v>
      </c>
    </row>
    <row r="72" spans="1:7" ht="15.75" customHeight="1">
      <c r="A72" s="187" t="str">
        <f>Exh3B!$A72</f>
        <v>Item 6a</v>
      </c>
      <c r="B72" s="204" t="str">
        <f>Exh3B!$B72</f>
        <v>Expenses subject to Capping (Items 3-5)</v>
      </c>
      <c r="C72" s="154" t="s">
        <v>70</v>
      </c>
      <c r="D72" s="385" t="s">
        <v>70</v>
      </c>
      <c r="E72" s="65"/>
      <c r="F72" s="69">
        <f>SUM(F69:F71)</f>
        <v>0</v>
      </c>
      <c r="G72" s="74">
        <f>SUM(G69:G71)</f>
        <v>0</v>
      </c>
    </row>
    <row r="73" spans="1:7" ht="15.75" customHeight="1">
      <c r="A73" s="187" t="str">
        <f>Exh3B!$A73</f>
        <v>Item 6b</v>
      </c>
      <c r="B73" s="204" t="str">
        <f>Exh3B!$B73</f>
        <v>Allowable Capped Expense</v>
      </c>
      <c r="C73" s="154" t="s">
        <v>70</v>
      </c>
      <c r="D73" s="385" t="s">
        <v>70</v>
      </c>
      <c r="E73" s="65"/>
      <c r="F73" s="69">
        <f>IF(G72=0,0,(G73/G72)*F72)</f>
        <v>0</v>
      </c>
      <c r="G73" s="74">
        <f>IF(InsMarketMethod="D",InputTOTAL!$F$12,IF(InsMarketMethod="C",InputTOTAL!$G$12,InputTOTAL!$H$12))</f>
        <v>0.273</v>
      </c>
    </row>
    <row r="74" spans="1:7" ht="15.75" customHeight="1">
      <c r="A74" s="187" t="str">
        <f>Exh3B!$A74</f>
        <v>Item 6</v>
      </c>
      <c r="B74" s="204" t="str">
        <f>Exh3B!$B74</f>
        <v>Additional Allowable Efficiency Expense</v>
      </c>
      <c r="C74" s="154" t="s">
        <v>70</v>
      </c>
      <c r="D74" s="385" t="s">
        <v>70</v>
      </c>
      <c r="E74" s="65"/>
      <c r="F74" s="69">
        <f>MAX(F73-F72,0)</f>
        <v>0</v>
      </c>
      <c r="G74" s="74">
        <f>MAX(G73-G72,0)</f>
        <v>0.273</v>
      </c>
    </row>
    <row r="75" spans="1:7" ht="15.75" customHeight="1">
      <c r="A75" s="187" t="str">
        <f>Exh3B!$A75</f>
        <v>Item 7</v>
      </c>
      <c r="B75" s="204" t="str">
        <f>Exh3B!$B75</f>
        <v>Direct Taxes, Licenses &amp; Fees</v>
      </c>
      <c r="C75" s="62">
        <f>InputC!$I$85</f>
        <v>0</v>
      </c>
      <c r="D75" s="55">
        <f>IF(C67=0,0,C75/C67)</f>
        <v>0</v>
      </c>
      <c r="E75" s="204"/>
      <c r="F75" s="62">
        <f>InputC!$I$90</f>
        <v>0</v>
      </c>
      <c r="G75" s="74">
        <f>IF(F67=0,0,F75/F67)</f>
        <v>0</v>
      </c>
    </row>
    <row r="76" spans="1:7" ht="15.75" customHeight="1">
      <c r="A76" s="187" t="str">
        <f>Exh3B!$A76</f>
        <v>Item 8</v>
      </c>
      <c r="B76" s="204" t="str">
        <f>Exh3B!$B76</f>
        <v>Direct Prepaid Expenses</v>
      </c>
      <c r="C76" s="418">
        <f>IF(SUM(C69:C71)=0,0,0.5*(C69+C70)+C74*(C69+C70)/(C69+C70+C71)+C71+C75)</f>
        <v>0</v>
      </c>
      <c r="D76" s="55">
        <f>IF(C68=0,0,C76/C68)</f>
        <v>0</v>
      </c>
      <c r="E76" s="65"/>
      <c r="F76" s="418">
        <f>IF(SUM(F69:F71)=0,0,0.5*(F69+F70)+F74*(F69+F70)/(F69+F70+F71)+F71+F75)</f>
        <v>0</v>
      </c>
      <c r="G76" s="74">
        <f>IF(F68=0,0,F76/F68)</f>
        <v>0</v>
      </c>
    </row>
    <row r="77" spans="1:7" ht="15.75" customHeight="1">
      <c r="A77" s="187" t="str">
        <f>Exh3B!$A77</f>
        <v>Item 9</v>
      </c>
      <c r="B77" s="204" t="str">
        <f>Exh3B!$B77</f>
        <v>Net Catastrophe Reinsurance</v>
      </c>
      <c r="C77" s="62">
        <f>InputC!$I$86</f>
        <v>0</v>
      </c>
      <c r="D77" s="55">
        <f>IF(C67=0,0,C77/C67)</f>
        <v>0</v>
      </c>
      <c r="E77" s="65"/>
      <c r="F77" s="418">
        <f>G77*F67</f>
        <v>0</v>
      </c>
      <c r="G77" s="74">
        <f>D77</f>
        <v>0</v>
      </c>
    </row>
    <row r="78" spans="1:7" ht="15.75" customHeight="1">
      <c r="A78" s="187" t="str">
        <f>Exh3B!$A78</f>
        <v>Item 10</v>
      </c>
      <c r="B78" s="204" t="str">
        <f>Exh3B!$B78</f>
        <v>LAD Fees Paid</v>
      </c>
      <c r="C78" s="69" t="s">
        <v>70</v>
      </c>
      <c r="D78" s="385" t="s">
        <v>70</v>
      </c>
      <c r="E78" s="204"/>
      <c r="F78" s="62">
        <f>InputC!$I$92</f>
        <v>0</v>
      </c>
      <c r="G78" s="74">
        <f>IF(F67=0,0,F78/F67)</f>
        <v>0</v>
      </c>
    </row>
    <row r="79" spans="1:7" ht="15.75" customHeight="1">
      <c r="A79" s="206"/>
      <c r="B79" s="204"/>
      <c r="C79" s="204"/>
      <c r="D79" s="204"/>
      <c r="E79" s="204"/>
      <c r="F79" s="204"/>
      <c r="G79" s="210"/>
    </row>
    <row r="80" spans="1:7" ht="15.75" customHeight="1">
      <c r="A80" s="202"/>
      <c r="B80" s="204"/>
      <c r="C80" s="390" t="str">
        <f>Exh3B!$C80</f>
        <v>Part 1  -  Countrywide</v>
      </c>
      <c r="D80" s="203"/>
      <c r="E80" s="204"/>
      <c r="F80" s="390" t="str">
        <f>Exh3B!$F80</f>
        <v>Part 2  -  New Jersey</v>
      </c>
      <c r="G80" s="205"/>
    </row>
    <row r="81" spans="1:7" ht="15.75" customHeight="1">
      <c r="A81" s="206"/>
      <c r="B81" s="209" t="str">
        <f>Exh3B!$B81</f>
        <v>Calendar Year 2018</v>
      </c>
      <c r="C81" s="189" t="str">
        <f>Exh3B!$C81</f>
        <v>Col (1)</v>
      </c>
      <c r="D81" s="189" t="str">
        <f>Exh3B!$D81</f>
        <v>Col (2)</v>
      </c>
      <c r="E81" s="204"/>
      <c r="F81" s="189" t="str">
        <f>Exh3B!$F81</f>
        <v>Col (3)</v>
      </c>
      <c r="G81" s="207" t="str">
        <f>Exh3B!$G81</f>
        <v>Col (4)</v>
      </c>
    </row>
    <row r="82" spans="1:7" ht="15.75" customHeight="1">
      <c r="A82" s="187" t="str">
        <f>Exh3B!$A82</f>
        <v>Item 1</v>
      </c>
      <c r="B82" s="204" t="str">
        <f>Exh3B!$B82</f>
        <v>Direct Written Premium</v>
      </c>
      <c r="C82" s="90">
        <f>InputC!$J$80</f>
        <v>0</v>
      </c>
      <c r="D82" s="71" t="s">
        <v>59</v>
      </c>
      <c r="E82" s="65"/>
      <c r="F82" s="90">
        <f>Exh1C!$D$76</f>
        <v>0</v>
      </c>
      <c r="G82" s="73"/>
    </row>
    <row r="83" spans="1:7" ht="15.75" customHeight="1">
      <c r="A83" s="187" t="str">
        <f>Exh3B!$A83</f>
        <v>Item 2</v>
      </c>
      <c r="B83" s="204" t="str">
        <f>Exh3B!$B83</f>
        <v>Direct Earned Premium</v>
      </c>
      <c r="C83" s="62">
        <f>InputC!$J$81</f>
        <v>0</v>
      </c>
      <c r="D83" s="71" t="s">
        <v>59</v>
      </c>
      <c r="E83" s="204"/>
      <c r="F83" s="69">
        <f>Exh1C!$E$76</f>
        <v>0</v>
      </c>
      <c r="G83" s="210"/>
    </row>
    <row r="84" spans="1:7" ht="15.75" customHeight="1">
      <c r="A84" s="187" t="str">
        <f>Exh3B!$A84</f>
        <v>Item 3</v>
      </c>
      <c r="B84" s="204" t="str">
        <f>Exh3B!$B84</f>
        <v>Direct Other Acquisition Expense</v>
      </c>
      <c r="C84" s="62">
        <f>InputC!$J$82</f>
        <v>0</v>
      </c>
      <c r="D84" s="55">
        <f>IF(C83=0,0,C84/C83)</f>
        <v>0</v>
      </c>
      <c r="E84" s="65"/>
      <c r="F84" s="69">
        <f>F83*G84</f>
        <v>0</v>
      </c>
      <c r="G84" s="74">
        <f>D84</f>
        <v>0</v>
      </c>
    </row>
    <row r="85" spans="1:7" ht="15.75" customHeight="1">
      <c r="A85" s="187" t="str">
        <f>Exh3B!$A85</f>
        <v>Item 4</v>
      </c>
      <c r="B85" s="204" t="str">
        <f>Exh3B!$B85</f>
        <v>Direct General Expense</v>
      </c>
      <c r="C85" s="62">
        <f>InputC!$J$83</f>
        <v>0</v>
      </c>
      <c r="D85" s="55">
        <f>IF(C83=0,0,C85/C83)</f>
        <v>0</v>
      </c>
      <c r="E85" s="65"/>
      <c r="F85" s="69">
        <f>F83*G85</f>
        <v>0</v>
      </c>
      <c r="G85" s="74">
        <f>D85</f>
        <v>0</v>
      </c>
    </row>
    <row r="86" spans="1:7" ht="15.75" customHeight="1">
      <c r="A86" s="187" t="str">
        <f>Exh3B!$A86</f>
        <v>Item 5</v>
      </c>
      <c r="B86" s="204" t="str">
        <f>Exh3B!$B86</f>
        <v>Direct Commission &amp; Brokerage</v>
      </c>
      <c r="C86" s="62">
        <f>InputC!$J$84</f>
        <v>0</v>
      </c>
      <c r="D86" s="55">
        <f>IF(C82=0,0,C86/C82)</f>
        <v>0</v>
      </c>
      <c r="E86" s="204"/>
      <c r="F86" s="62">
        <f>InputC!$J$89</f>
        <v>0</v>
      </c>
      <c r="G86" s="74">
        <f>IF(F82=0,0,F86/F82)</f>
        <v>0</v>
      </c>
    </row>
    <row r="87" spans="1:7" ht="15.75" customHeight="1">
      <c r="A87" s="187" t="str">
        <f>Exh3B!$A87</f>
        <v>Item 6a</v>
      </c>
      <c r="B87" s="204" t="str">
        <f>Exh3B!$B87</f>
        <v>Expenses subject to Capping (Items 3-5)</v>
      </c>
      <c r="C87" s="154" t="s">
        <v>70</v>
      </c>
      <c r="D87" s="385" t="s">
        <v>70</v>
      </c>
      <c r="E87" s="65"/>
      <c r="F87" s="69">
        <f>SUM(F84:F86)</f>
        <v>0</v>
      </c>
      <c r="G87" s="74">
        <f>SUM(G84:G86)</f>
        <v>0</v>
      </c>
    </row>
    <row r="88" spans="1:7" ht="15.75" customHeight="1">
      <c r="A88" s="187" t="str">
        <f>Exh3B!$A88</f>
        <v>Item 6b</v>
      </c>
      <c r="B88" s="204" t="str">
        <f>Exh3B!$B88</f>
        <v>Allowable Capped Expense</v>
      </c>
      <c r="C88" s="154" t="s">
        <v>70</v>
      </c>
      <c r="D88" s="385" t="s">
        <v>70</v>
      </c>
      <c r="E88" s="65"/>
      <c r="F88" s="69">
        <f>IF(G87=0,0,(G88/G87)*F87)</f>
        <v>0</v>
      </c>
      <c r="G88" s="74">
        <f>IF(InsMarketMethod="D",InputTOTAL!$F$12,IF(InsMarketMethod="C",InputTOTAL!$G$12,InputTOTAL!$H$12))</f>
        <v>0.273</v>
      </c>
    </row>
    <row r="89" spans="1:7" ht="15.75" customHeight="1">
      <c r="A89" s="187" t="str">
        <f>Exh3B!$A89</f>
        <v>Item 6</v>
      </c>
      <c r="B89" s="204" t="str">
        <f>Exh3B!$B89</f>
        <v>Additional Allowable Efficiency Expense</v>
      </c>
      <c r="C89" s="154" t="s">
        <v>70</v>
      </c>
      <c r="D89" s="385" t="s">
        <v>70</v>
      </c>
      <c r="E89" s="65"/>
      <c r="F89" s="69">
        <f>MAX(F88-F87,0)</f>
        <v>0</v>
      </c>
      <c r="G89" s="74">
        <f>MAX(G88-G87,0)</f>
        <v>0.273</v>
      </c>
    </row>
    <row r="90" spans="1:7" ht="15.75" customHeight="1">
      <c r="A90" s="187" t="str">
        <f>Exh3B!$A90</f>
        <v>Item 7</v>
      </c>
      <c r="B90" s="204" t="str">
        <f>Exh3B!$B90</f>
        <v>Direct Taxes, Licenses &amp; Fees</v>
      </c>
      <c r="C90" s="62">
        <f>InputC!$J$85</f>
        <v>0</v>
      </c>
      <c r="D90" s="55">
        <f>IF(C82=0,0,C90/C82)</f>
        <v>0</v>
      </c>
      <c r="E90" s="204"/>
      <c r="F90" s="62">
        <f>InputC!$J$90</f>
        <v>0</v>
      </c>
      <c r="G90" s="74">
        <f>IF(F82=0,0,F90/F82)</f>
        <v>0</v>
      </c>
    </row>
    <row r="91" spans="1:7" ht="15.75" customHeight="1">
      <c r="A91" s="187" t="str">
        <f>Exh3B!$A91</f>
        <v>Item 8</v>
      </c>
      <c r="B91" s="204" t="str">
        <f>Exh3B!$B91</f>
        <v>Direct Prepaid Expenses</v>
      </c>
      <c r="C91" s="418">
        <f>IF(SUM(C84:C86)=0,0,0.5*(C84+C85)+C89*(C84+C85)/(C84+C85+C86)+C86+C90)</f>
        <v>0</v>
      </c>
      <c r="D91" s="55">
        <f>IF(C83=0,0,C91/C83)</f>
        <v>0</v>
      </c>
      <c r="E91" s="65"/>
      <c r="F91" s="418">
        <f>IF(SUM(F84:F86)=0,0,0.5*(F84+F85)+F89*(F84+F85)/(F84+F85+F86)+F86+F90)</f>
        <v>0</v>
      </c>
      <c r="G91" s="74">
        <f>IF(F83=0,0,F91/F83)</f>
        <v>0</v>
      </c>
    </row>
    <row r="92" spans="1:7" ht="15.75" customHeight="1">
      <c r="A92" s="187" t="str">
        <f>Exh3B!$A92</f>
        <v>Item 9</v>
      </c>
      <c r="B92" s="204" t="str">
        <f>Exh3B!$B92</f>
        <v>Net Catastrophe Reinsurance</v>
      </c>
      <c r="C92" s="62">
        <f>InputC!$J$86</f>
        <v>0</v>
      </c>
      <c r="D92" s="55">
        <f>IF(C82=0,0,C92/C82)</f>
        <v>0</v>
      </c>
      <c r="E92" s="65"/>
      <c r="F92" s="418">
        <f>G92*F82</f>
        <v>0</v>
      </c>
      <c r="G92" s="74">
        <f>D92</f>
        <v>0</v>
      </c>
    </row>
    <row r="93" spans="1:7" ht="15.75" customHeight="1">
      <c r="A93" s="187" t="str">
        <f>Exh3B!$A93</f>
        <v>Item 10</v>
      </c>
      <c r="B93" s="204" t="str">
        <f>Exh3B!$B93</f>
        <v>LAD Fees Paid</v>
      </c>
      <c r="C93" s="69" t="s">
        <v>70</v>
      </c>
      <c r="D93" s="385" t="s">
        <v>70</v>
      </c>
      <c r="E93" s="204"/>
      <c r="F93" s="62">
        <f>InputC!$J$92</f>
        <v>0</v>
      </c>
      <c r="G93" s="74">
        <f>IF(F82=0,0,F93/F82)</f>
        <v>0</v>
      </c>
    </row>
    <row r="94" spans="1:7" ht="15.75" customHeight="1">
      <c r="A94" s="206"/>
      <c r="B94" s="204"/>
      <c r="C94" s="204"/>
      <c r="D94" s="204"/>
      <c r="E94" s="204"/>
      <c r="F94" s="204"/>
      <c r="G94" s="210"/>
    </row>
    <row r="95" spans="1:7" ht="15.75" customHeight="1">
      <c r="A95" s="202"/>
      <c r="B95" s="204"/>
      <c r="C95" s="390" t="str">
        <f>Exh3B!$C95</f>
        <v>Part 1  -  Countrywide</v>
      </c>
      <c r="D95" s="203"/>
      <c r="E95" s="204"/>
      <c r="F95" s="390" t="str">
        <f>Exh3B!$F95</f>
        <v>Part 2  -  New Jersey</v>
      </c>
      <c r="G95" s="205"/>
    </row>
    <row r="96" spans="1:7" ht="15.75" customHeight="1">
      <c r="A96" s="206"/>
      <c r="B96" s="209" t="str">
        <f>Exh3B!$B96</f>
        <v>Calendar Year 2017</v>
      </c>
      <c r="C96" s="189" t="str">
        <f>Exh3B!$C96</f>
        <v>Col (1)</v>
      </c>
      <c r="D96" s="189" t="str">
        <f>Exh3B!$D96</f>
        <v>Col (2)</v>
      </c>
      <c r="E96" s="204"/>
      <c r="F96" s="189" t="str">
        <f>Exh3B!$F96</f>
        <v>Col (3)</v>
      </c>
      <c r="G96" s="207" t="str">
        <f>Exh3B!$G96</f>
        <v>Col (4)</v>
      </c>
    </row>
    <row r="97" spans="1:7" ht="15.75" customHeight="1">
      <c r="A97" s="187" t="str">
        <f>Exh3B!$A97</f>
        <v>Item 1</v>
      </c>
      <c r="B97" s="204" t="str">
        <f>Exh3B!$B97</f>
        <v>Direct Written Premium</v>
      </c>
      <c r="C97" s="90">
        <f>InputC!$K$80</f>
        <v>0</v>
      </c>
      <c r="D97" s="71" t="s">
        <v>59</v>
      </c>
      <c r="E97" s="65"/>
      <c r="F97" s="90">
        <f>Exh1C!$D$93</f>
        <v>0</v>
      </c>
      <c r="G97" s="73"/>
    </row>
    <row r="98" spans="1:7" ht="15.75" customHeight="1">
      <c r="A98" s="187" t="str">
        <f>Exh3B!$A98</f>
        <v>Item 2</v>
      </c>
      <c r="B98" s="204" t="str">
        <f>Exh3B!$B98</f>
        <v>Direct Earned Premium</v>
      </c>
      <c r="C98" s="62">
        <f>InputC!$K$81</f>
        <v>0</v>
      </c>
      <c r="D98" s="71" t="s">
        <v>59</v>
      </c>
      <c r="E98" s="204"/>
      <c r="F98" s="69">
        <f>Exh1C!$E$93</f>
        <v>0</v>
      </c>
      <c r="G98" s="210"/>
    </row>
    <row r="99" spans="1:7" ht="15.75" customHeight="1">
      <c r="A99" s="187" t="str">
        <f>Exh3B!$A99</f>
        <v>Item 3</v>
      </c>
      <c r="B99" s="204" t="str">
        <f>Exh3B!$B99</f>
        <v>Direct Other Acquisition Expense</v>
      </c>
      <c r="C99" s="62">
        <f>InputC!$K$82</f>
        <v>0</v>
      </c>
      <c r="D99" s="55">
        <f>IF(C98=0,0,C99/C98)</f>
        <v>0</v>
      </c>
      <c r="E99" s="65"/>
      <c r="F99" s="69">
        <f>F98*G99</f>
        <v>0</v>
      </c>
      <c r="G99" s="74">
        <f>D99</f>
        <v>0</v>
      </c>
    </row>
    <row r="100" spans="1:7" ht="15.75" customHeight="1">
      <c r="A100" s="187" t="str">
        <f>Exh3B!$A100</f>
        <v>Item 4</v>
      </c>
      <c r="B100" s="204" t="str">
        <f>Exh3B!$B100</f>
        <v>Direct General Expense</v>
      </c>
      <c r="C100" s="62">
        <f>InputC!$K$83</f>
        <v>0</v>
      </c>
      <c r="D100" s="55">
        <f>IF(C98=0,0,C100/C98)</f>
        <v>0</v>
      </c>
      <c r="E100" s="65"/>
      <c r="F100" s="69">
        <f>F98*G100</f>
        <v>0</v>
      </c>
      <c r="G100" s="74">
        <f>D100</f>
        <v>0</v>
      </c>
    </row>
    <row r="101" spans="1:7" ht="15.75" customHeight="1">
      <c r="A101" s="187" t="str">
        <f>Exh3B!$A101</f>
        <v>Item 5</v>
      </c>
      <c r="B101" s="204" t="str">
        <f>Exh3B!$B101</f>
        <v>Direct Commission &amp; Brokerage</v>
      </c>
      <c r="C101" s="62">
        <f>InputC!$K$84</f>
        <v>0</v>
      </c>
      <c r="D101" s="55">
        <f>IF(C97=0,0,C101/C97)</f>
        <v>0</v>
      </c>
      <c r="E101" s="204"/>
      <c r="F101" s="62">
        <f>InputC!$K$89</f>
        <v>0</v>
      </c>
      <c r="G101" s="74">
        <f>IF(F97=0,0,F101/F97)</f>
        <v>0</v>
      </c>
    </row>
    <row r="102" spans="1:7" ht="15.75" customHeight="1">
      <c r="A102" s="187" t="str">
        <f>Exh3B!$A102</f>
        <v>Item 6a</v>
      </c>
      <c r="B102" s="204" t="str">
        <f>Exh3B!$B102</f>
        <v>Expenses subject to Capping (Items 3-5)</v>
      </c>
      <c r="C102" s="154" t="s">
        <v>70</v>
      </c>
      <c r="D102" s="385" t="s">
        <v>70</v>
      </c>
      <c r="E102" s="65"/>
      <c r="F102" s="69">
        <f>SUM(F99:F101)</f>
        <v>0</v>
      </c>
      <c r="G102" s="74">
        <f>SUM(G99:G101)</f>
        <v>0</v>
      </c>
    </row>
    <row r="103" spans="1:7" ht="15.75" customHeight="1">
      <c r="A103" s="187" t="str">
        <f>Exh3B!$A103</f>
        <v>Item 6b</v>
      </c>
      <c r="B103" s="204" t="str">
        <f>Exh3B!$B103</f>
        <v>Allowable Capped Expense</v>
      </c>
      <c r="C103" s="154" t="s">
        <v>70</v>
      </c>
      <c r="D103" s="385" t="s">
        <v>70</v>
      </c>
      <c r="E103" s="65"/>
      <c r="F103" s="69">
        <f>IF(G102=0,0,(G103/G102)*F102)</f>
        <v>0</v>
      </c>
      <c r="G103" s="74">
        <f>IF(InsMarketMethod="D",InputTOTAL!$F$12,IF(InsMarketMethod="C",InputTOTAL!$G$12,InputTOTAL!$H$12))</f>
        <v>0.273</v>
      </c>
    </row>
    <row r="104" spans="1:7" ht="15.75" customHeight="1">
      <c r="A104" s="187" t="str">
        <f>Exh3B!$A104</f>
        <v>Item 6</v>
      </c>
      <c r="B104" s="204" t="str">
        <f>Exh3B!$B104</f>
        <v>Additional Allowable Efficiency Expense</v>
      </c>
      <c r="C104" s="154" t="s">
        <v>70</v>
      </c>
      <c r="D104" s="385" t="s">
        <v>70</v>
      </c>
      <c r="E104" s="65"/>
      <c r="F104" s="69">
        <f>MAX(F103-F102,0)</f>
        <v>0</v>
      </c>
      <c r="G104" s="74">
        <f>MAX(G103-G102,0)</f>
        <v>0.273</v>
      </c>
    </row>
    <row r="105" spans="1:7" ht="15.75" customHeight="1">
      <c r="A105" s="187" t="str">
        <f>Exh3B!$A105</f>
        <v>Item 7</v>
      </c>
      <c r="B105" s="204" t="str">
        <f>Exh3B!$B105</f>
        <v>Direct Taxes, Licenses &amp; Fees</v>
      </c>
      <c r="C105" s="62">
        <f>InputC!$K$85</f>
        <v>0</v>
      </c>
      <c r="D105" s="55">
        <f>IF(C97=0,0,C105/C97)</f>
        <v>0</v>
      </c>
      <c r="E105" s="204"/>
      <c r="F105" s="62">
        <f>InputC!$K$90</f>
        <v>0</v>
      </c>
      <c r="G105" s="74">
        <f>IF(F97=0,0,F105/F97)</f>
        <v>0</v>
      </c>
    </row>
    <row r="106" spans="1:7" ht="15.75" customHeight="1">
      <c r="A106" s="187" t="str">
        <f>Exh3B!$A106</f>
        <v>Item 8</v>
      </c>
      <c r="B106" s="204" t="str">
        <f>Exh3B!$B106</f>
        <v>Direct Prepaid Expenses</v>
      </c>
      <c r="C106" s="418">
        <f>IF(SUM(C99:C101)=0,0,0.5*(C99+C100)+C104*(C99+C100)/(C99+C100+C101)+C101+C105)</f>
        <v>0</v>
      </c>
      <c r="D106" s="55">
        <f>IF(C98=0,0,C106/C98)</f>
        <v>0</v>
      </c>
      <c r="E106" s="65"/>
      <c r="F106" s="418">
        <f>IF(SUM(F99:F101)=0,0,0.5*(F99+F100)+F104*(F99+F100)/(F99+F100+F101)+F101+F105)</f>
        <v>0</v>
      </c>
      <c r="G106" s="74">
        <f>IF(F98=0,0,F106/F98)</f>
        <v>0</v>
      </c>
    </row>
    <row r="107" spans="1:7" ht="15.75" customHeight="1">
      <c r="A107" s="187" t="str">
        <f>Exh3B!$A107</f>
        <v>Item 9</v>
      </c>
      <c r="B107" s="204" t="str">
        <f>Exh3B!$B107</f>
        <v>Net Catastrophe Reinsurance</v>
      </c>
      <c r="C107" s="62">
        <f>InputC!$K$86</f>
        <v>0</v>
      </c>
      <c r="D107" s="55">
        <f>IF(C97=0,0,C107/C97)</f>
        <v>0</v>
      </c>
      <c r="E107" s="65"/>
      <c r="F107" s="418">
        <f>G107*F97</f>
        <v>0</v>
      </c>
      <c r="G107" s="74">
        <f>D107</f>
        <v>0</v>
      </c>
    </row>
    <row r="108" spans="1:7" ht="15.75" customHeight="1" thickBot="1">
      <c r="A108" s="216" t="str">
        <f>Exh3B!$A108</f>
        <v>Item 10</v>
      </c>
      <c r="B108" s="217" t="str">
        <f>Exh3B!$B108</f>
        <v>LAD Fees Paid</v>
      </c>
      <c r="C108" s="70" t="s">
        <v>70</v>
      </c>
      <c r="D108" s="386" t="s">
        <v>70</v>
      </c>
      <c r="E108" s="217"/>
      <c r="F108" s="63">
        <f>InputC!$K$92</f>
        <v>0</v>
      </c>
      <c r="G108" s="75">
        <f>IF(F97=0,0,F108/F97)</f>
        <v>0</v>
      </c>
    </row>
  </sheetData>
  <sheetProtection password="DCE9" sheet="1" objects="1" scenarios="1"/>
  <printOptions headings="1"/>
  <pageMargins left="0.5" right="0.5" top="0.5" bottom="0.5" header="0.5" footer="0.5"/>
  <pageSetup firstPageNumber="96" useFirstPageNumber="1" horizontalDpi="300" verticalDpi="300" orientation="landscape" scale="65" r:id="rId1"/>
  <headerFooter alignWithMargins="0">
    <oddFooter>&amp;L&amp;D&amp;RPage &amp;P of &amp;N</oddFooter>
  </headerFooter>
  <rowBreaks count="2" manualBreakCount="2">
    <brk id="49" max="6" man="1"/>
    <brk id="94" max="6" man="1"/>
  </rowBreaks>
</worksheet>
</file>

<file path=xl/worksheets/sheet18.xml><?xml version="1.0" encoding="utf-8"?>
<worksheet xmlns="http://schemas.openxmlformats.org/spreadsheetml/2006/main" xmlns:r="http://schemas.openxmlformats.org/officeDocument/2006/relationships">
  <sheetPr codeName="Sheet25" transitionEvaluation="1"/>
  <dimension ref="A1:G108"/>
  <sheetViews>
    <sheetView view="pageBreakPreview" zoomScale="85" zoomScaleNormal="85" zoomScaleSheetLayoutView="85" zoomScalePageLayoutView="0" workbookViewId="0" topLeftCell="A1">
      <selection activeCell="J8" sqref="J8"/>
    </sheetView>
  </sheetViews>
  <sheetFormatPr defaultColWidth="11.7109375" defaultRowHeight="15.75" customHeight="1"/>
  <cols>
    <col min="1" max="1" width="20.7109375" style="3" customWidth="1"/>
    <col min="2" max="2" width="44.8515625" style="3" customWidth="1"/>
    <col min="3" max="3" width="18.7109375" style="3" customWidth="1"/>
    <col min="4" max="4" width="18.574218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51</v>
      </c>
    </row>
    <row r="2" spans="1:7" ht="15.75" customHeight="1">
      <c r="A2" s="140" t="str">
        <f>InputB!$A$2</f>
        <v>Group NAIC #:</v>
      </c>
      <c r="B2" s="137" t="str">
        <f>InputB!$C$2</f>
        <v>enter group # here</v>
      </c>
      <c r="C2"/>
      <c r="D2"/>
      <c r="E2"/>
      <c r="F2"/>
      <c r="G2" s="139" t="s">
        <v>384</v>
      </c>
    </row>
    <row r="3" spans="1:6" ht="15.75" customHeight="1">
      <c r="A3" s="197" t="str">
        <f>InputB!$A$3</f>
        <v>Year Filed:</v>
      </c>
      <c r="B3" s="141">
        <f>InputB!$C$3</f>
        <v>2024</v>
      </c>
      <c r="C3"/>
      <c r="D3"/>
      <c r="E3"/>
      <c r="F3"/>
    </row>
    <row r="4" ht="15.75" customHeight="1" thickBot="1"/>
    <row r="5" spans="1:7" ht="15.75" customHeight="1">
      <c r="A5" s="198"/>
      <c r="B5" s="199"/>
      <c r="C5" s="384" t="str">
        <f>Exh3B!$C5</f>
        <v>Part 1  -  Countrywide</v>
      </c>
      <c r="D5" s="200"/>
      <c r="E5" s="199"/>
      <c r="F5" s="384" t="str">
        <f>Exh3B!$F5</f>
        <v>Part 2  -  New Jersey</v>
      </c>
      <c r="G5" s="201"/>
    </row>
    <row r="6" spans="1:7" ht="15.75" customHeight="1">
      <c r="A6" s="206"/>
      <c r="B6" s="209" t="str">
        <f>Exh3B!$B6</f>
        <v>Calendar Year 2023</v>
      </c>
      <c r="C6" s="189" t="str">
        <f>Exh3B!$C6</f>
        <v>Col (1)</v>
      </c>
      <c r="D6" s="189"/>
      <c r="E6" s="204"/>
      <c r="F6" s="189" t="str">
        <f>Exh3B!$F6</f>
        <v>Col (3)</v>
      </c>
      <c r="G6" s="207"/>
    </row>
    <row r="7" spans="1:7" ht="15.75" customHeight="1">
      <c r="A7" s="187" t="str">
        <f>Exh3B!$A7</f>
        <v>Item 1</v>
      </c>
      <c r="B7" s="204" t="str">
        <f>Exh3B!$B7</f>
        <v>Direct Written Premium</v>
      </c>
      <c r="C7" s="90">
        <f>SUM(Exh3B!C7,Exh3C!C7)</f>
        <v>0</v>
      </c>
      <c r="D7" s="90"/>
      <c r="E7" s="90"/>
      <c r="F7" s="90">
        <f>SUM(Exh3A!F7,Exh3B!F7,Exh3C!F7)</f>
        <v>0</v>
      </c>
      <c r="G7" s="73"/>
    </row>
    <row r="8" spans="1:7" ht="15.75" customHeight="1">
      <c r="A8" s="187" t="str">
        <f>Exh3B!$A8</f>
        <v>Item 2</v>
      </c>
      <c r="B8" s="204" t="str">
        <f>Exh3B!$B8</f>
        <v>Direct Earned Premium</v>
      </c>
      <c r="C8" s="69">
        <f>SUM(Exh3B!C8,Exh3C!C8)</f>
        <v>0</v>
      </c>
      <c r="D8" s="58"/>
      <c r="E8" s="47"/>
      <c r="F8" s="69">
        <f>SUM(Exh3A!F8,Exh3B!F8,Exh3C!F8)</f>
        <v>0</v>
      </c>
      <c r="G8" s="59"/>
    </row>
    <row r="9" spans="1:7" ht="15.75" customHeight="1">
      <c r="A9" s="187" t="str">
        <f>Exh3B!$A9</f>
        <v>Item 3</v>
      </c>
      <c r="B9" s="204" t="str">
        <f>Exh3B!$B9</f>
        <v>Direct Other Acquisition Expense</v>
      </c>
      <c r="C9" s="69">
        <f>SUM(Exh3B!C9,Exh3C!C9)</f>
        <v>0</v>
      </c>
      <c r="D9" s="55"/>
      <c r="E9" s="65"/>
      <c r="F9" s="69">
        <f>SUM(Exh3A!F9,Exh3B!F9,Exh3C!F9)</f>
        <v>0</v>
      </c>
      <c r="G9" s="74"/>
    </row>
    <row r="10" spans="1:7" ht="15.75" customHeight="1">
      <c r="A10" s="187" t="str">
        <f>Exh3B!$A10</f>
        <v>Item 4</v>
      </c>
      <c r="B10" s="204" t="str">
        <f>Exh3B!$B10</f>
        <v>Direct General Expense</v>
      </c>
      <c r="C10" s="69">
        <f>SUM(Exh3B!C10,Exh3C!C10)</f>
        <v>0</v>
      </c>
      <c r="D10" s="55"/>
      <c r="E10" s="65"/>
      <c r="F10" s="69">
        <f>SUM(Exh3A!F10,Exh3B!F10,Exh3C!F10)</f>
        <v>0</v>
      </c>
      <c r="G10" s="74"/>
    </row>
    <row r="11" spans="1:7" ht="15.75" customHeight="1">
      <c r="A11" s="187" t="str">
        <f>Exh3B!$A11</f>
        <v>Item 5</v>
      </c>
      <c r="B11" s="204" t="str">
        <f>Exh3B!$B11</f>
        <v>Direct Commission &amp; Brokerage</v>
      </c>
      <c r="C11" s="69">
        <f>SUM(Exh3B!C11,Exh3C!C11)</f>
        <v>0</v>
      </c>
      <c r="D11" s="55"/>
      <c r="E11" s="47"/>
      <c r="F11" s="62">
        <f>SUM(Exh3A!F11,Exh3B!F11,Exh3C!F11)</f>
        <v>0</v>
      </c>
      <c r="G11" s="74"/>
    </row>
    <row r="12" spans="1:7" ht="15.75" customHeight="1">
      <c r="A12" s="187" t="str">
        <f>Exh3B!$A12</f>
        <v>Item 6a</v>
      </c>
      <c r="B12" s="204" t="str">
        <f>Exh3B!$B12</f>
        <v>Expenses subject to Capping (Items 3-5)</v>
      </c>
      <c r="C12" s="154" t="s">
        <v>70</v>
      </c>
      <c r="D12" s="385"/>
      <c r="E12" s="65"/>
      <c r="F12" s="69">
        <f>SUM(Exh3A!F12,Exh3B!F12,Exh3C!F12)</f>
        <v>0</v>
      </c>
      <c r="G12" s="74"/>
    </row>
    <row r="13" spans="1:7" ht="15.75" customHeight="1">
      <c r="A13" s="187" t="str">
        <f>Exh3B!$A13</f>
        <v>Item 6b</v>
      </c>
      <c r="B13" s="204" t="str">
        <f>Exh3B!$B13</f>
        <v>Allowable Capped Expense</v>
      </c>
      <c r="C13" s="154" t="s">
        <v>70</v>
      </c>
      <c r="D13" s="385"/>
      <c r="E13" s="65"/>
      <c r="F13" s="69">
        <f>SUM(Exh3A!F13,Exh3B!F13,Exh3C!F13)</f>
        <v>0</v>
      </c>
      <c r="G13" s="74"/>
    </row>
    <row r="14" spans="1:7" ht="15.75" customHeight="1">
      <c r="A14" s="187" t="str">
        <f>Exh3B!$A14</f>
        <v>Item 6</v>
      </c>
      <c r="B14" s="204" t="str">
        <f>Exh3B!$B14</f>
        <v>Additional Allowable Efficiency Expense</v>
      </c>
      <c r="C14" s="154" t="s">
        <v>70</v>
      </c>
      <c r="D14" s="385"/>
      <c r="E14" s="65"/>
      <c r="F14" s="69">
        <f>SUM(Exh3A!F14,Exh3B!F14,Exh3C!F14)</f>
        <v>0</v>
      </c>
      <c r="G14" s="74"/>
    </row>
    <row r="15" spans="1:7" ht="15.75" customHeight="1">
      <c r="A15" s="187" t="str">
        <f>Exh3B!$A15</f>
        <v>Item 7</v>
      </c>
      <c r="B15" s="204" t="str">
        <f>Exh3B!$B15</f>
        <v>Direct Taxes, Licenses &amp; Fees</v>
      </c>
      <c r="C15" s="69">
        <f>SUM(Exh3B!C15,Exh3C!C15)</f>
        <v>0</v>
      </c>
      <c r="D15" s="55"/>
      <c r="E15" s="47"/>
      <c r="F15" s="62">
        <f>SUM(Exh3A!F15,Exh3B!F15,Exh3C!F15)</f>
        <v>0</v>
      </c>
      <c r="G15" s="74"/>
    </row>
    <row r="16" spans="1:7" ht="15.75" customHeight="1">
      <c r="A16" s="187" t="str">
        <f>Exh3B!$A16</f>
        <v>Item 8</v>
      </c>
      <c r="B16" s="204" t="str">
        <f>Exh3B!$B16</f>
        <v>Direct Prepaid Expenses</v>
      </c>
      <c r="C16" s="418">
        <f>IF(SUM(C9:C11)=0,0,0.5*(C9+C10)+C14*(C9+C10)/(C9+C10+C11)+C11+C15)</f>
        <v>0</v>
      </c>
      <c r="D16" s="55"/>
      <c r="E16" s="65"/>
      <c r="F16" s="418">
        <f>SUM(Exh3A!F16,Exh3B!F16,Exh3C!F16)</f>
        <v>0</v>
      </c>
      <c r="G16" s="74"/>
    </row>
    <row r="17" spans="1:7" ht="15.75" customHeight="1">
      <c r="A17" s="187" t="str">
        <f>Exh3B!$A17</f>
        <v>Item 9</v>
      </c>
      <c r="B17" s="204" t="str">
        <f>Exh3B!$B17</f>
        <v>Net Catastrophe Reinsurance</v>
      </c>
      <c r="C17" s="69">
        <f>SUM(Exh3B!C17,Exh3C!C17)</f>
        <v>0</v>
      </c>
      <c r="D17" s="55"/>
      <c r="E17" s="65"/>
      <c r="F17" s="418">
        <f>SUM(Exh3A!F17,Exh3B!F17,Exh3C!F17)</f>
        <v>0</v>
      </c>
      <c r="G17" s="74"/>
    </row>
    <row r="18" spans="1:7" ht="15.75" customHeight="1">
      <c r="A18" s="187" t="str">
        <f>Exh3B!$A18</f>
        <v>Item 10</v>
      </c>
      <c r="B18" s="204" t="str">
        <f>Exh3B!$B18</f>
        <v>LAD Fees Paid</v>
      </c>
      <c r="C18" s="69" t="s">
        <v>70</v>
      </c>
      <c r="D18" s="385"/>
      <c r="E18" s="47"/>
      <c r="F18" s="62">
        <f>SUM(Exh3A!F18,Exh3B!F18,Exh3C!F18)</f>
        <v>0</v>
      </c>
      <c r="G18" s="74"/>
    </row>
    <row r="19" spans="1:7" ht="15.75" customHeight="1">
      <c r="A19" s="206"/>
      <c r="B19" s="204"/>
      <c r="C19" s="204"/>
      <c r="D19" s="204"/>
      <c r="E19" s="204"/>
      <c r="F19" s="204"/>
      <c r="G19" s="210"/>
    </row>
    <row r="20" spans="1:7" ht="15.75" customHeight="1">
      <c r="A20" s="202"/>
      <c r="B20" s="204"/>
      <c r="C20" s="390" t="str">
        <f>Exh3B!$C20</f>
        <v>Part 1  -  Countrywide</v>
      </c>
      <c r="D20" s="203"/>
      <c r="E20" s="204"/>
      <c r="F20" s="390" t="str">
        <f>Exh3B!$F20</f>
        <v>Part 2  -  New Jersey</v>
      </c>
      <c r="G20" s="205"/>
    </row>
    <row r="21" spans="1:7" ht="15.75" customHeight="1">
      <c r="A21" s="206"/>
      <c r="B21" s="209" t="str">
        <f>Exh3B!$B21</f>
        <v>Calendar Year 2022</v>
      </c>
      <c r="C21" s="189" t="str">
        <f>Exh3B!$C21</f>
        <v>Col (1)</v>
      </c>
      <c r="D21" s="189"/>
      <c r="E21" s="204"/>
      <c r="F21" s="189" t="str">
        <f>Exh3B!$F21</f>
        <v>Col (3)</v>
      </c>
      <c r="G21" s="207"/>
    </row>
    <row r="22" spans="1:7" ht="15.75" customHeight="1">
      <c r="A22" s="187" t="str">
        <f>Exh3B!$A22</f>
        <v>Item 1</v>
      </c>
      <c r="B22" s="204" t="str">
        <f>Exh3B!$B22</f>
        <v>Direct Written Premium</v>
      </c>
      <c r="C22" s="90">
        <f>SUM(Exh3B!C22,Exh3C!C22)</f>
        <v>0</v>
      </c>
      <c r="D22" s="71"/>
      <c r="E22" s="65"/>
      <c r="F22" s="90">
        <f>SUM(Exh3A!F22,Exh3B!F22,Exh3C!F22)</f>
        <v>0</v>
      </c>
      <c r="G22" s="73"/>
    </row>
    <row r="23" spans="1:7" ht="15.75" customHeight="1">
      <c r="A23" s="187" t="str">
        <f>Exh3B!$A23</f>
        <v>Item 2</v>
      </c>
      <c r="B23" s="204" t="str">
        <f>Exh3B!$B23</f>
        <v>Direct Earned Premium</v>
      </c>
      <c r="C23" s="69">
        <f>SUM(Exh3B!C23,Exh3C!C23)</f>
        <v>0</v>
      </c>
      <c r="D23" s="58"/>
      <c r="E23" s="204"/>
      <c r="F23" s="69">
        <f>SUM(Exh3A!F23,Exh3B!F23,Exh3C!F23)</f>
        <v>0</v>
      </c>
      <c r="G23" s="59"/>
    </row>
    <row r="24" spans="1:7" ht="15.75" customHeight="1">
      <c r="A24" s="187" t="str">
        <f>Exh3B!$A24</f>
        <v>Item 3</v>
      </c>
      <c r="B24" s="204" t="str">
        <f>Exh3B!$B24</f>
        <v>Direct Other Acquisition Expense</v>
      </c>
      <c r="C24" s="69">
        <f>SUM(Exh3B!C24,Exh3C!C24)</f>
        <v>0</v>
      </c>
      <c r="D24" s="55"/>
      <c r="E24" s="65"/>
      <c r="F24" s="69">
        <f>SUM(Exh3A!F24,Exh3B!F24,Exh3C!F24)</f>
        <v>0</v>
      </c>
      <c r="G24" s="74"/>
    </row>
    <row r="25" spans="1:7" ht="15.75" customHeight="1">
      <c r="A25" s="187" t="str">
        <f>Exh3B!$A25</f>
        <v>Item 4</v>
      </c>
      <c r="B25" s="204" t="str">
        <f>Exh3B!$B25</f>
        <v>Direct General Expense</v>
      </c>
      <c r="C25" s="69">
        <f>SUM(Exh3B!C25,Exh3C!C25)</f>
        <v>0</v>
      </c>
      <c r="D25" s="55"/>
      <c r="E25" s="65"/>
      <c r="F25" s="69">
        <f>SUM(Exh3A!F25,Exh3B!F25,Exh3C!F25)</f>
        <v>0</v>
      </c>
      <c r="G25" s="74"/>
    </row>
    <row r="26" spans="1:7" ht="15.75" customHeight="1">
      <c r="A26" s="187" t="str">
        <f>Exh3B!$A26</f>
        <v>Item 5</v>
      </c>
      <c r="B26" s="204" t="str">
        <f>Exh3B!$B26</f>
        <v>Direct Commission &amp; Brokerage</v>
      </c>
      <c r="C26" s="69">
        <f>SUM(Exh3B!C26,Exh3C!C26)</f>
        <v>0</v>
      </c>
      <c r="D26" s="55"/>
      <c r="E26" s="204"/>
      <c r="F26" s="62">
        <f>SUM(Exh3A!F26,Exh3B!F26,Exh3C!F26)</f>
        <v>0</v>
      </c>
      <c r="G26" s="74"/>
    </row>
    <row r="27" spans="1:7" ht="15.75" customHeight="1">
      <c r="A27" s="187" t="str">
        <f>Exh3B!$A27</f>
        <v>Item 6a</v>
      </c>
      <c r="B27" s="204" t="str">
        <f>Exh3B!$B27</f>
        <v>Expenses subject to Capping (Items 3-5)</v>
      </c>
      <c r="C27" s="154" t="s">
        <v>70</v>
      </c>
      <c r="D27" s="385"/>
      <c r="E27" s="65"/>
      <c r="F27" s="69">
        <f>SUM(Exh3A!F27,Exh3B!F27,Exh3C!F27)</f>
        <v>0</v>
      </c>
      <c r="G27" s="74"/>
    </row>
    <row r="28" spans="1:7" ht="15.75" customHeight="1">
      <c r="A28" s="187" t="str">
        <f>Exh3B!$A28</f>
        <v>Item 6b</v>
      </c>
      <c r="B28" s="204" t="str">
        <f>Exh3B!$B28</f>
        <v>Allowable Capped Expense</v>
      </c>
      <c r="C28" s="154" t="s">
        <v>70</v>
      </c>
      <c r="D28" s="385"/>
      <c r="E28" s="65"/>
      <c r="F28" s="69">
        <f>SUM(Exh3A!F28,Exh3B!F28,Exh3C!F28)</f>
        <v>0</v>
      </c>
      <c r="G28" s="74"/>
    </row>
    <row r="29" spans="1:7" ht="15.75" customHeight="1">
      <c r="A29" s="187" t="str">
        <f>Exh3B!$A29</f>
        <v>Item 6</v>
      </c>
      <c r="B29" s="204" t="str">
        <f>Exh3B!$B29</f>
        <v>Additional Allowable Efficiency Expense</v>
      </c>
      <c r="C29" s="154" t="s">
        <v>70</v>
      </c>
      <c r="D29" s="385"/>
      <c r="E29" s="65"/>
      <c r="F29" s="69">
        <f>SUM(Exh3A!F29,Exh3B!F29,Exh3C!F29)</f>
        <v>0</v>
      </c>
      <c r="G29" s="74"/>
    </row>
    <row r="30" spans="1:7" ht="15.75" customHeight="1">
      <c r="A30" s="187" t="str">
        <f>Exh3B!$A30</f>
        <v>Item 7</v>
      </c>
      <c r="B30" s="204" t="str">
        <f>Exh3B!$B30</f>
        <v>Direct Taxes, Licenses &amp; Fees</v>
      </c>
      <c r="C30" s="69">
        <f>SUM(Exh3B!C30,Exh3C!C30)</f>
        <v>0</v>
      </c>
      <c r="D30" s="55"/>
      <c r="E30" s="204"/>
      <c r="F30" s="62">
        <f>SUM(Exh3A!F30,Exh3B!F30,Exh3C!F30)</f>
        <v>0</v>
      </c>
      <c r="G30" s="74"/>
    </row>
    <row r="31" spans="1:7" ht="15.75" customHeight="1">
      <c r="A31" s="187" t="str">
        <f>Exh3B!$A31</f>
        <v>Item 8</v>
      </c>
      <c r="B31" s="204" t="str">
        <f>Exh3B!$B31</f>
        <v>Direct Prepaid Expenses</v>
      </c>
      <c r="C31" s="418">
        <f>IF(SUM(C24:C26)=0,0,0.5*(C24+C25)+C29*(C24+C25)/(C24+C25+C26)+C26+C30)</f>
        <v>0</v>
      </c>
      <c r="D31" s="55"/>
      <c r="E31" s="65"/>
      <c r="F31" s="418">
        <f>SUM(Exh3A!F31,Exh3B!F31,Exh3C!F31)</f>
        <v>0</v>
      </c>
      <c r="G31" s="74"/>
    </row>
    <row r="32" spans="1:7" ht="15.75" customHeight="1">
      <c r="A32" s="187" t="str">
        <f>Exh3B!$A32</f>
        <v>Item 9</v>
      </c>
      <c r="B32" s="204" t="str">
        <f>Exh3B!$B32</f>
        <v>Net Catastrophe Reinsurance</v>
      </c>
      <c r="C32" s="69">
        <f>SUM(Exh3B!C32,Exh3C!C32)</f>
        <v>0</v>
      </c>
      <c r="D32" s="55"/>
      <c r="E32" s="65"/>
      <c r="F32" s="418">
        <f>SUM(Exh3A!F32,Exh3B!F32,Exh3C!F32)</f>
        <v>0</v>
      </c>
      <c r="G32" s="74"/>
    </row>
    <row r="33" spans="1:7" ht="15.75" customHeight="1">
      <c r="A33" s="187" t="str">
        <f>Exh3B!$A33</f>
        <v>Item 10</v>
      </c>
      <c r="B33" s="204" t="str">
        <f>Exh3B!$B33</f>
        <v>LAD Fees Paid</v>
      </c>
      <c r="C33" s="69" t="s">
        <v>70</v>
      </c>
      <c r="D33" s="385"/>
      <c r="E33" s="204"/>
      <c r="F33" s="62">
        <f>SUM(Exh3A!F33,Exh3B!F33,Exh3C!F33)</f>
        <v>0</v>
      </c>
      <c r="G33" s="74"/>
    </row>
    <row r="34" spans="1:7" ht="15.75" customHeight="1">
      <c r="A34" s="206"/>
      <c r="B34" s="204"/>
      <c r="C34" s="204"/>
      <c r="D34" s="204"/>
      <c r="E34" s="204"/>
      <c r="F34" s="204"/>
      <c r="G34" s="210"/>
    </row>
    <row r="35" spans="1:7" ht="15.75" customHeight="1">
      <c r="A35" s="202"/>
      <c r="B35" s="204"/>
      <c r="C35" s="390" t="str">
        <f>Exh3B!$C35</f>
        <v>Part 1  -  Countrywide</v>
      </c>
      <c r="D35" s="203"/>
      <c r="E35" s="204"/>
      <c r="F35" s="390" t="str">
        <f>Exh3B!$F35</f>
        <v>Part 2  -  New Jersey</v>
      </c>
      <c r="G35" s="205"/>
    </row>
    <row r="36" spans="1:7" ht="15.75" customHeight="1">
      <c r="A36" s="206"/>
      <c r="B36" s="209" t="str">
        <f>Exh3B!$B36</f>
        <v>Calendar Year 2021</v>
      </c>
      <c r="C36" s="189" t="str">
        <f>Exh3B!$C36</f>
        <v>Col (1)</v>
      </c>
      <c r="D36" s="189"/>
      <c r="E36" s="204"/>
      <c r="F36" s="189" t="str">
        <f>Exh3B!$F36</f>
        <v>Col (3)</v>
      </c>
      <c r="G36" s="207"/>
    </row>
    <row r="37" spans="1:7" ht="15.75" customHeight="1">
      <c r="A37" s="187" t="str">
        <f>Exh3B!$A37</f>
        <v>Item 1</v>
      </c>
      <c r="B37" s="204" t="str">
        <f>Exh3B!$B37</f>
        <v>Direct Written Premium</v>
      </c>
      <c r="C37" s="90">
        <f>SUM(Exh3B!C37,Exh3C!C37)</f>
        <v>0</v>
      </c>
      <c r="D37" s="71"/>
      <c r="E37" s="65"/>
      <c r="F37" s="90">
        <f>SUM(Exh3A!F37,Exh3B!F37,Exh3C!F37)</f>
        <v>0</v>
      </c>
      <c r="G37" s="73"/>
    </row>
    <row r="38" spans="1:7" ht="15.75" customHeight="1">
      <c r="A38" s="187" t="str">
        <f>Exh3B!$A38</f>
        <v>Item 2</v>
      </c>
      <c r="B38" s="204" t="str">
        <f>Exh3B!$B38</f>
        <v>Direct Earned Premium</v>
      </c>
      <c r="C38" s="69">
        <f>SUM(Exh3B!C38,Exh3C!C38)</f>
        <v>0</v>
      </c>
      <c r="D38" s="71"/>
      <c r="E38" s="204"/>
      <c r="F38" s="69">
        <f>SUM(Exh3A!F38,Exh3B!F38,Exh3C!F38)</f>
        <v>0</v>
      </c>
      <c r="G38" s="48"/>
    </row>
    <row r="39" spans="1:7" ht="15.75" customHeight="1">
      <c r="A39" s="187" t="str">
        <f>Exh3B!$A39</f>
        <v>Item 3</v>
      </c>
      <c r="B39" s="204" t="str">
        <f>Exh3B!$B39</f>
        <v>Direct Other Acquisition Expense</v>
      </c>
      <c r="C39" s="69">
        <f>SUM(Exh3B!C39,Exh3C!C39)</f>
        <v>0</v>
      </c>
      <c r="D39" s="55"/>
      <c r="E39" s="65"/>
      <c r="F39" s="69">
        <f>SUM(Exh3A!F39,Exh3B!F39,Exh3C!F39)</f>
        <v>0</v>
      </c>
      <c r="G39" s="74"/>
    </row>
    <row r="40" spans="1:7" ht="15.75" customHeight="1">
      <c r="A40" s="187" t="str">
        <f>Exh3B!$A40</f>
        <v>Item 4</v>
      </c>
      <c r="B40" s="204" t="str">
        <f>Exh3B!$B40</f>
        <v>Direct General Expense</v>
      </c>
      <c r="C40" s="69">
        <f>SUM(Exh3B!C40,Exh3C!C40)</f>
        <v>0</v>
      </c>
      <c r="D40" s="55"/>
      <c r="E40" s="65"/>
      <c r="F40" s="69">
        <f>SUM(Exh3A!F40,Exh3B!F40,Exh3C!F40)</f>
        <v>0</v>
      </c>
      <c r="G40" s="74"/>
    </row>
    <row r="41" spans="1:7" ht="15.75" customHeight="1">
      <c r="A41" s="187" t="str">
        <f>Exh3B!$A41</f>
        <v>Item 5</v>
      </c>
      <c r="B41" s="204" t="str">
        <f>Exh3B!$B41</f>
        <v>Direct Commission &amp; Brokerage</v>
      </c>
      <c r="C41" s="69">
        <f>SUM(Exh3B!C41,Exh3C!C41)</f>
        <v>0</v>
      </c>
      <c r="D41" s="55"/>
      <c r="E41" s="204"/>
      <c r="F41" s="62">
        <f>SUM(Exh3A!F41,Exh3B!F41,Exh3C!F41)</f>
        <v>0</v>
      </c>
      <c r="G41" s="74"/>
    </row>
    <row r="42" spans="1:7" ht="15.75" customHeight="1">
      <c r="A42" s="187" t="str">
        <f>Exh3B!$A42</f>
        <v>Item 6a</v>
      </c>
      <c r="B42" s="204" t="str">
        <f>Exh3B!$B42</f>
        <v>Expenses subject to Capping (Items 3-5)</v>
      </c>
      <c r="C42" s="154" t="s">
        <v>70</v>
      </c>
      <c r="D42" s="385"/>
      <c r="E42" s="65"/>
      <c r="F42" s="69">
        <f>SUM(Exh3A!F42,Exh3B!F42,Exh3C!F42)</f>
        <v>0</v>
      </c>
      <c r="G42" s="74"/>
    </row>
    <row r="43" spans="1:7" ht="15.75" customHeight="1">
      <c r="A43" s="187" t="str">
        <f>Exh3B!$A43</f>
        <v>Item 6b</v>
      </c>
      <c r="B43" s="204" t="str">
        <f>Exh3B!$B43</f>
        <v>Allowable Capped Expense</v>
      </c>
      <c r="C43" s="154" t="s">
        <v>70</v>
      </c>
      <c r="D43" s="385"/>
      <c r="E43" s="65"/>
      <c r="F43" s="69">
        <f>SUM(Exh3A!F43,Exh3B!F43,Exh3C!F43)</f>
        <v>0</v>
      </c>
      <c r="G43" s="74"/>
    </row>
    <row r="44" spans="1:7" ht="15.75" customHeight="1">
      <c r="A44" s="187" t="str">
        <f>Exh3B!$A44</f>
        <v>Item 6</v>
      </c>
      <c r="B44" s="204" t="str">
        <f>Exh3B!$B44</f>
        <v>Additional Allowable Efficiency Expense</v>
      </c>
      <c r="C44" s="154" t="s">
        <v>70</v>
      </c>
      <c r="D44" s="385"/>
      <c r="E44" s="65"/>
      <c r="F44" s="69">
        <f>SUM(Exh3A!F44,Exh3B!F44,Exh3C!F44)</f>
        <v>0</v>
      </c>
      <c r="G44" s="74"/>
    </row>
    <row r="45" spans="1:7" ht="15.75" customHeight="1">
      <c r="A45" s="187" t="str">
        <f>Exh3B!$A45</f>
        <v>Item 7</v>
      </c>
      <c r="B45" s="204" t="str">
        <f>Exh3B!$B45</f>
        <v>Direct Taxes, Licenses &amp; Fees</v>
      </c>
      <c r="C45" s="69">
        <f>SUM(Exh3B!C45,Exh3C!C45)</f>
        <v>0</v>
      </c>
      <c r="D45" s="55"/>
      <c r="E45" s="204"/>
      <c r="F45" s="62">
        <f>SUM(Exh3A!F45,Exh3B!F45,Exh3C!F45)</f>
        <v>0</v>
      </c>
      <c r="G45" s="74"/>
    </row>
    <row r="46" spans="1:7" ht="15.75" customHeight="1">
      <c r="A46" s="187" t="str">
        <f>Exh3B!$A46</f>
        <v>Item 8</v>
      </c>
      <c r="B46" s="204" t="str">
        <f>Exh3B!$B46</f>
        <v>Direct Prepaid Expenses</v>
      </c>
      <c r="C46" s="418">
        <f>IF(SUM(C39:C41)=0,0,0.5*(C39+C40)+C44*(C39+C40)/(C39+C40+C41)+C41+C45)</f>
        <v>0</v>
      </c>
      <c r="D46" s="55"/>
      <c r="E46" s="65"/>
      <c r="F46" s="418">
        <f>SUM(Exh3A!F46,Exh3B!F46,Exh3C!F46)</f>
        <v>0</v>
      </c>
      <c r="G46" s="74"/>
    </row>
    <row r="47" spans="1:7" ht="15.75" customHeight="1">
      <c r="A47" s="187" t="str">
        <f>Exh3B!$A47</f>
        <v>Item 9</v>
      </c>
      <c r="B47" s="204" t="str">
        <f>Exh3B!$B47</f>
        <v>Net Catastrophe Reinsurance</v>
      </c>
      <c r="C47" s="69">
        <f>SUM(Exh3B!C47,Exh3C!C47)</f>
        <v>0</v>
      </c>
      <c r="D47" s="55"/>
      <c r="E47" s="65"/>
      <c r="F47" s="418">
        <f>SUM(Exh3A!F47,Exh3B!F47,Exh3C!F47)</f>
        <v>0</v>
      </c>
      <c r="G47" s="74"/>
    </row>
    <row r="48" spans="1:7" ht="15.75" customHeight="1">
      <c r="A48" s="187" t="str">
        <f>Exh3B!$A48</f>
        <v>Item 10</v>
      </c>
      <c r="B48" s="204" t="str">
        <f>Exh3B!$B48</f>
        <v>LAD Fees Paid</v>
      </c>
      <c r="C48" s="69" t="s">
        <v>70</v>
      </c>
      <c r="D48" s="385"/>
      <c r="E48" s="204"/>
      <c r="F48" s="62">
        <f>SUM(Exh3A!F48,Exh3B!F48,Exh3C!F48)</f>
        <v>0</v>
      </c>
      <c r="G48" s="74"/>
    </row>
    <row r="49" spans="1:7" ht="15.75" customHeight="1">
      <c r="A49" s="206"/>
      <c r="B49" s="204"/>
      <c r="C49" s="204"/>
      <c r="D49" s="204"/>
      <c r="E49" s="204"/>
      <c r="F49" s="204"/>
      <c r="G49" s="210"/>
    </row>
    <row r="50" spans="1:7" ht="15.75" customHeight="1">
      <c r="A50" s="202"/>
      <c r="B50" s="204"/>
      <c r="C50" s="390" t="str">
        <f>Exh3B!$C50</f>
        <v>Part 1  -  Countrywide</v>
      </c>
      <c r="D50" s="203"/>
      <c r="E50" s="204"/>
      <c r="F50" s="390" t="str">
        <f>Exh3B!$F50</f>
        <v>Part 2  -  New Jersey</v>
      </c>
      <c r="G50" s="205"/>
    </row>
    <row r="51" spans="1:7" ht="15.75" customHeight="1">
      <c r="A51" s="206"/>
      <c r="B51" s="209" t="str">
        <f>Exh3B!$B51</f>
        <v>Calendar Year 2020</v>
      </c>
      <c r="C51" s="189" t="str">
        <f>Exh3B!$C51</f>
        <v>Col (1)</v>
      </c>
      <c r="D51" s="189"/>
      <c r="E51" s="204"/>
      <c r="F51" s="189" t="str">
        <f>Exh3B!$F51</f>
        <v>Col (3)</v>
      </c>
      <c r="G51" s="207"/>
    </row>
    <row r="52" spans="1:7" ht="15.75" customHeight="1">
      <c r="A52" s="187" t="str">
        <f>Exh3B!$A52</f>
        <v>Item 1</v>
      </c>
      <c r="B52" s="204" t="str">
        <f>Exh3B!$B52</f>
        <v>Direct Written Premium</v>
      </c>
      <c r="C52" s="90">
        <f>SUM(Exh3B!C52,Exh3C!C52)</f>
        <v>0</v>
      </c>
      <c r="D52" s="71"/>
      <c r="E52" s="65"/>
      <c r="F52" s="90">
        <f>SUM(Exh3A!F52,Exh3B!F52,Exh3C!F52)</f>
        <v>0</v>
      </c>
      <c r="G52" s="73"/>
    </row>
    <row r="53" spans="1:7" ht="15.75" customHeight="1">
      <c r="A53" s="187" t="str">
        <f>Exh3B!$A53</f>
        <v>Item 2</v>
      </c>
      <c r="B53" s="204" t="str">
        <f>Exh3B!$B53</f>
        <v>Direct Earned Premium</v>
      </c>
      <c r="C53" s="69">
        <f>SUM(Exh3B!C53,Exh3C!C53)</f>
        <v>0</v>
      </c>
      <c r="D53" s="71"/>
      <c r="E53" s="204"/>
      <c r="F53" s="69">
        <f>SUM(Exh3A!F53,Exh3B!F53,Exh3C!F53)</f>
        <v>0</v>
      </c>
      <c r="G53" s="48"/>
    </row>
    <row r="54" spans="1:7" ht="15.75" customHeight="1">
      <c r="A54" s="187" t="str">
        <f>Exh3B!$A54</f>
        <v>Item 3</v>
      </c>
      <c r="B54" s="204" t="str">
        <f>Exh3B!$B54</f>
        <v>Direct Other Acquisition Expense</v>
      </c>
      <c r="C54" s="69">
        <f>SUM(Exh3B!C54,Exh3C!C54)</f>
        <v>0</v>
      </c>
      <c r="D54" s="55"/>
      <c r="E54" s="65"/>
      <c r="F54" s="69">
        <f>SUM(Exh3A!F54,Exh3B!F54,Exh3C!F54)</f>
        <v>0</v>
      </c>
      <c r="G54" s="74"/>
    </row>
    <row r="55" spans="1:7" ht="15.75" customHeight="1">
      <c r="A55" s="187" t="str">
        <f>Exh3B!$A55</f>
        <v>Item 4</v>
      </c>
      <c r="B55" s="204" t="str">
        <f>Exh3B!$B55</f>
        <v>Direct General Expense</v>
      </c>
      <c r="C55" s="69">
        <f>SUM(Exh3B!C55,Exh3C!C55)</f>
        <v>0</v>
      </c>
      <c r="D55" s="55"/>
      <c r="E55" s="65"/>
      <c r="F55" s="69">
        <f>SUM(Exh3A!F55,Exh3B!F55,Exh3C!F55)</f>
        <v>0</v>
      </c>
      <c r="G55" s="74"/>
    </row>
    <row r="56" spans="1:7" ht="15.75" customHeight="1">
      <c r="A56" s="187" t="str">
        <f>Exh3B!$A56</f>
        <v>Item 5</v>
      </c>
      <c r="B56" s="204" t="str">
        <f>Exh3B!$B56</f>
        <v>Direct Commission &amp; Brokerage</v>
      </c>
      <c r="C56" s="69">
        <f>SUM(Exh3B!C56,Exh3C!C56)</f>
        <v>0</v>
      </c>
      <c r="D56" s="55"/>
      <c r="E56" s="204"/>
      <c r="F56" s="62">
        <f>SUM(Exh3A!F56,Exh3B!F56,Exh3C!F56)</f>
        <v>0</v>
      </c>
      <c r="G56" s="74"/>
    </row>
    <row r="57" spans="1:7" ht="15.75" customHeight="1">
      <c r="A57" s="187" t="str">
        <f>Exh3B!$A57</f>
        <v>Item 6a</v>
      </c>
      <c r="B57" s="204" t="str">
        <f>Exh3B!$B57</f>
        <v>Expenses subject to Capping (Items 3-5)</v>
      </c>
      <c r="C57" s="154" t="s">
        <v>70</v>
      </c>
      <c r="D57" s="385"/>
      <c r="E57" s="65"/>
      <c r="F57" s="69">
        <f>SUM(Exh3A!F57,Exh3B!F57,Exh3C!F57)</f>
        <v>0</v>
      </c>
      <c r="G57" s="74"/>
    </row>
    <row r="58" spans="1:7" ht="15.75" customHeight="1">
      <c r="A58" s="187" t="str">
        <f>Exh3B!$A58</f>
        <v>Item 6b</v>
      </c>
      <c r="B58" s="204" t="str">
        <f>Exh3B!$B58</f>
        <v>Allowable Capped Expense</v>
      </c>
      <c r="C58" s="154" t="s">
        <v>70</v>
      </c>
      <c r="D58" s="385"/>
      <c r="E58" s="65"/>
      <c r="F58" s="69">
        <f>SUM(Exh3A!F58,Exh3B!F58,Exh3C!F58)</f>
        <v>0</v>
      </c>
      <c r="G58" s="74"/>
    </row>
    <row r="59" spans="1:7" ht="15.75" customHeight="1">
      <c r="A59" s="187" t="str">
        <f>Exh3B!$A59</f>
        <v>Item 6</v>
      </c>
      <c r="B59" s="204" t="str">
        <f>Exh3B!$B59</f>
        <v>Additional Allowable Efficiency Expense</v>
      </c>
      <c r="C59" s="154" t="s">
        <v>70</v>
      </c>
      <c r="D59" s="385"/>
      <c r="E59" s="65"/>
      <c r="F59" s="69">
        <f>SUM(Exh3A!F59,Exh3B!F59,Exh3C!F59)</f>
        <v>0</v>
      </c>
      <c r="G59" s="74"/>
    </row>
    <row r="60" spans="1:7" ht="15.75" customHeight="1">
      <c r="A60" s="187" t="str">
        <f>Exh3B!$A60</f>
        <v>Item 7</v>
      </c>
      <c r="B60" s="204" t="str">
        <f>Exh3B!$B60</f>
        <v>Direct Taxes, Licenses &amp; Fees</v>
      </c>
      <c r="C60" s="69">
        <f>SUM(Exh3B!C60,Exh3C!C60)</f>
        <v>0</v>
      </c>
      <c r="D60" s="62"/>
      <c r="E60" s="204"/>
      <c r="F60" s="62">
        <f>SUM(Exh3A!F60,Exh3B!F60,Exh3C!F60)</f>
        <v>0</v>
      </c>
      <c r="G60" s="74"/>
    </row>
    <row r="61" spans="1:7" ht="15.75" customHeight="1">
      <c r="A61" s="187" t="str">
        <f>Exh3B!$A61</f>
        <v>Item 8</v>
      </c>
      <c r="B61" s="204" t="str">
        <f>Exh3B!$B61</f>
        <v>Direct Prepaid Expenses</v>
      </c>
      <c r="C61" s="418">
        <f>IF(SUM(C54:C56)=0,0,0.5*(C54+C55)+C59*(C54+C55)/(C54+C55+C56)+C56+C60)</f>
        <v>0</v>
      </c>
      <c r="D61" s="55"/>
      <c r="E61" s="65"/>
      <c r="F61" s="418">
        <f>SUM(Exh3A!F61,Exh3B!F61,Exh3C!F61)</f>
        <v>0</v>
      </c>
      <c r="G61" s="74"/>
    </row>
    <row r="62" spans="1:7" ht="15.75" customHeight="1">
      <c r="A62" s="187" t="str">
        <f>Exh3B!$A62</f>
        <v>Item 9</v>
      </c>
      <c r="B62" s="204" t="str">
        <f>Exh3B!$B62</f>
        <v>Net Catastrophe Reinsurance</v>
      </c>
      <c r="C62" s="69">
        <f>SUM(Exh3B!C62,Exh3C!C62)</f>
        <v>0</v>
      </c>
      <c r="D62" s="55"/>
      <c r="E62" s="65"/>
      <c r="F62" s="418">
        <f>SUM(Exh3A!F62,Exh3B!F62,Exh3C!F62)</f>
        <v>0</v>
      </c>
      <c r="G62" s="74"/>
    </row>
    <row r="63" spans="1:7" ht="15.75" customHeight="1">
      <c r="A63" s="187" t="str">
        <f>Exh3B!$A63</f>
        <v>Item 10</v>
      </c>
      <c r="B63" s="204" t="str">
        <f>Exh3B!$B63</f>
        <v>LAD Fees Paid</v>
      </c>
      <c r="C63" s="69" t="s">
        <v>70</v>
      </c>
      <c r="D63" s="385"/>
      <c r="E63" s="204"/>
      <c r="F63" s="62">
        <f>SUM(Exh3A!F63,Exh3B!F63,Exh3C!F63)</f>
        <v>0</v>
      </c>
      <c r="G63" s="74"/>
    </row>
    <row r="64" spans="1:7" ht="15.75" customHeight="1">
      <c r="A64" s="206"/>
      <c r="B64" s="204"/>
      <c r="C64" s="204"/>
      <c r="D64" s="204"/>
      <c r="E64" s="204"/>
      <c r="F64" s="204"/>
      <c r="G64" s="210"/>
    </row>
    <row r="65" spans="1:7" ht="15.75" customHeight="1">
      <c r="A65" s="202"/>
      <c r="B65" s="204"/>
      <c r="C65" s="390" t="str">
        <f>Exh3B!$C65</f>
        <v>Part 1  -  Countrywide</v>
      </c>
      <c r="D65" s="203"/>
      <c r="E65" s="204"/>
      <c r="F65" s="390" t="str">
        <f>Exh3B!$F65</f>
        <v>Part 2  -  New Jersey</v>
      </c>
      <c r="G65" s="205"/>
    </row>
    <row r="66" spans="1:7" ht="15.75" customHeight="1">
      <c r="A66" s="206"/>
      <c r="B66" s="209" t="str">
        <f>Exh3B!$B66</f>
        <v>Calendar Year 2019</v>
      </c>
      <c r="C66" s="189" t="str">
        <f>Exh3B!$C66</f>
        <v>Col (1)</v>
      </c>
      <c r="D66" s="189"/>
      <c r="E66" s="204"/>
      <c r="F66" s="189" t="str">
        <f>Exh3B!$F66</f>
        <v>Col (3)</v>
      </c>
      <c r="G66" s="207"/>
    </row>
    <row r="67" spans="1:7" ht="15.75" customHeight="1">
      <c r="A67" s="187" t="str">
        <f>Exh3B!$A67</f>
        <v>Item 1</v>
      </c>
      <c r="B67" s="204" t="str">
        <f>Exh3B!$B67</f>
        <v>Direct Written Premium</v>
      </c>
      <c r="C67" s="90">
        <f>SUM(Exh3B!C67,Exh3C!C67)</f>
        <v>0</v>
      </c>
      <c r="D67" s="71"/>
      <c r="E67" s="65"/>
      <c r="F67" s="90">
        <f>SUM(Exh3A!F67,Exh3B!F67,Exh3C!F67)</f>
        <v>0</v>
      </c>
      <c r="G67" s="73"/>
    </row>
    <row r="68" spans="1:7" ht="15.75" customHeight="1">
      <c r="A68" s="187" t="str">
        <f>Exh3B!$A68</f>
        <v>Item 2</v>
      </c>
      <c r="B68" s="204" t="str">
        <f>Exh3B!$B68</f>
        <v>Direct Earned Premium</v>
      </c>
      <c r="C68" s="69">
        <f>SUM(Exh3B!C68,Exh3C!C68)</f>
        <v>0</v>
      </c>
      <c r="D68" s="71"/>
      <c r="E68" s="204"/>
      <c r="F68" s="69">
        <f>SUM(Exh3A!F68,Exh3B!F68,Exh3C!F68)</f>
        <v>0</v>
      </c>
      <c r="G68" s="48"/>
    </row>
    <row r="69" spans="1:7" ht="15.75" customHeight="1">
      <c r="A69" s="187" t="str">
        <f>Exh3B!$A69</f>
        <v>Item 3</v>
      </c>
      <c r="B69" s="204" t="str">
        <f>Exh3B!$B69</f>
        <v>Direct Other Acquisition Expense</v>
      </c>
      <c r="C69" s="69">
        <f>SUM(Exh3B!C69,Exh3C!C69)</f>
        <v>0</v>
      </c>
      <c r="D69" s="55"/>
      <c r="E69" s="65"/>
      <c r="F69" s="69">
        <f>SUM(Exh3A!F69,Exh3B!F69,Exh3C!F69)</f>
        <v>0</v>
      </c>
      <c r="G69" s="74"/>
    </row>
    <row r="70" spans="1:7" ht="15.75" customHeight="1">
      <c r="A70" s="187" t="str">
        <f>Exh3B!$A70</f>
        <v>Item 4</v>
      </c>
      <c r="B70" s="204" t="str">
        <f>Exh3B!$B70</f>
        <v>Direct General Expense</v>
      </c>
      <c r="C70" s="69">
        <f>SUM(Exh3B!C70,Exh3C!C70)</f>
        <v>0</v>
      </c>
      <c r="D70" s="55"/>
      <c r="E70" s="65"/>
      <c r="F70" s="69">
        <f>SUM(Exh3A!F70,Exh3B!F70,Exh3C!F70)</f>
        <v>0</v>
      </c>
      <c r="G70" s="74"/>
    </row>
    <row r="71" spans="1:7" ht="15.75" customHeight="1">
      <c r="A71" s="187" t="str">
        <f>Exh3B!$A71</f>
        <v>Item 5</v>
      </c>
      <c r="B71" s="204" t="str">
        <f>Exh3B!$B71</f>
        <v>Direct Commission &amp; Brokerage</v>
      </c>
      <c r="C71" s="69">
        <f>SUM(Exh3B!C71,Exh3C!C71)</f>
        <v>0</v>
      </c>
      <c r="D71" s="55"/>
      <c r="E71" s="204"/>
      <c r="F71" s="62">
        <f>SUM(Exh3A!F71,Exh3B!F71,Exh3C!F71)</f>
        <v>0</v>
      </c>
      <c r="G71" s="74"/>
    </row>
    <row r="72" spans="1:7" ht="15.75" customHeight="1">
      <c r="A72" s="187" t="str">
        <f>Exh3B!$A72</f>
        <v>Item 6a</v>
      </c>
      <c r="B72" s="204" t="str">
        <f>Exh3B!$B72</f>
        <v>Expenses subject to Capping (Items 3-5)</v>
      </c>
      <c r="C72" s="154" t="s">
        <v>70</v>
      </c>
      <c r="D72" s="385"/>
      <c r="E72" s="65"/>
      <c r="F72" s="69">
        <f>SUM(Exh3A!F72,Exh3B!F72,Exh3C!F72)</f>
        <v>0</v>
      </c>
      <c r="G72" s="74"/>
    </row>
    <row r="73" spans="1:7" ht="15.75" customHeight="1">
      <c r="A73" s="187" t="str">
        <f>Exh3B!$A73</f>
        <v>Item 6b</v>
      </c>
      <c r="B73" s="204" t="str">
        <f>Exh3B!$B73</f>
        <v>Allowable Capped Expense</v>
      </c>
      <c r="C73" s="154" t="s">
        <v>70</v>
      </c>
      <c r="D73" s="385"/>
      <c r="E73" s="65"/>
      <c r="F73" s="69">
        <f>SUM(Exh3A!F73,Exh3B!F73,Exh3C!F73)</f>
        <v>0</v>
      </c>
      <c r="G73" s="74"/>
    </row>
    <row r="74" spans="1:7" ht="15.75" customHeight="1">
      <c r="A74" s="187" t="str">
        <f>Exh3B!$A74</f>
        <v>Item 6</v>
      </c>
      <c r="B74" s="204" t="str">
        <f>Exh3B!$B74</f>
        <v>Additional Allowable Efficiency Expense</v>
      </c>
      <c r="C74" s="154" t="s">
        <v>70</v>
      </c>
      <c r="D74" s="385"/>
      <c r="E74" s="65"/>
      <c r="F74" s="69">
        <f>SUM(Exh3A!F74,Exh3B!F74,Exh3C!F74)</f>
        <v>0</v>
      </c>
      <c r="G74" s="74"/>
    </row>
    <row r="75" spans="1:7" ht="15.75" customHeight="1">
      <c r="A75" s="187" t="str">
        <f>Exh3B!$A75</f>
        <v>Item 7</v>
      </c>
      <c r="B75" s="204" t="str">
        <f>Exh3B!$B75</f>
        <v>Direct Taxes, Licenses &amp; Fees</v>
      </c>
      <c r="C75" s="69">
        <f>SUM(Exh3B!C75,Exh3C!C75)</f>
        <v>0</v>
      </c>
      <c r="D75" s="55"/>
      <c r="E75" s="204"/>
      <c r="F75" s="62">
        <f>SUM(Exh3A!F75,Exh3B!F75,Exh3C!F75)</f>
        <v>0</v>
      </c>
      <c r="G75" s="74"/>
    </row>
    <row r="76" spans="1:7" ht="15.75" customHeight="1">
      <c r="A76" s="187" t="str">
        <f>Exh3B!$A76</f>
        <v>Item 8</v>
      </c>
      <c r="B76" s="204" t="str">
        <f>Exh3B!$B76</f>
        <v>Direct Prepaid Expenses</v>
      </c>
      <c r="C76" s="418">
        <f>IF(SUM(C69:C71)=0,0,0.5*(C69+C70)+C74*(C69+C70)/(C69+C70+C71)+C71+C75)</f>
        <v>0</v>
      </c>
      <c r="D76" s="55"/>
      <c r="E76" s="65"/>
      <c r="F76" s="418">
        <f>SUM(Exh3A!F76,Exh3B!F76,Exh3C!F76)</f>
        <v>0</v>
      </c>
      <c r="G76" s="74"/>
    </row>
    <row r="77" spans="1:7" ht="15.75" customHeight="1">
      <c r="A77" s="187" t="str">
        <f>Exh3B!$A77</f>
        <v>Item 9</v>
      </c>
      <c r="B77" s="204" t="str">
        <f>Exh3B!$B77</f>
        <v>Net Catastrophe Reinsurance</v>
      </c>
      <c r="C77" s="69">
        <f>SUM(Exh3B!C77,Exh3C!C77)</f>
        <v>0</v>
      </c>
      <c r="D77" s="55"/>
      <c r="E77" s="65"/>
      <c r="F77" s="418">
        <f>SUM(Exh3A!F77,Exh3B!F77,Exh3C!F77)</f>
        <v>0</v>
      </c>
      <c r="G77" s="74"/>
    </row>
    <row r="78" spans="1:7" ht="15.75" customHeight="1">
      <c r="A78" s="187" t="str">
        <f>Exh3B!$A78</f>
        <v>Item 10</v>
      </c>
      <c r="B78" s="204" t="str">
        <f>Exh3B!$B78</f>
        <v>LAD Fees Paid</v>
      </c>
      <c r="C78" s="69" t="s">
        <v>70</v>
      </c>
      <c r="D78" s="385"/>
      <c r="E78" s="204"/>
      <c r="F78" s="62">
        <f>SUM(Exh3A!F78,Exh3B!F78,Exh3C!F78)</f>
        <v>0</v>
      </c>
      <c r="G78" s="74"/>
    </row>
    <row r="79" spans="1:7" ht="15.75" customHeight="1">
      <c r="A79" s="206"/>
      <c r="B79" s="204"/>
      <c r="C79" s="204"/>
      <c r="D79" s="204"/>
      <c r="E79" s="204"/>
      <c r="F79" s="204"/>
      <c r="G79" s="210"/>
    </row>
    <row r="80" spans="1:7" ht="15.75" customHeight="1">
      <c r="A80" s="202"/>
      <c r="B80" s="204"/>
      <c r="C80" s="390" t="str">
        <f>Exh3B!$C80</f>
        <v>Part 1  -  Countrywide</v>
      </c>
      <c r="D80" s="203"/>
      <c r="E80" s="204"/>
      <c r="F80" s="390" t="str">
        <f>Exh3B!$F80</f>
        <v>Part 2  -  New Jersey</v>
      </c>
      <c r="G80" s="205"/>
    </row>
    <row r="81" spans="1:7" ht="15.75" customHeight="1">
      <c r="A81" s="206"/>
      <c r="B81" s="209" t="str">
        <f>Exh3B!$B81</f>
        <v>Calendar Year 2018</v>
      </c>
      <c r="C81" s="189" t="str">
        <f>Exh3B!$C81</f>
        <v>Col (1)</v>
      </c>
      <c r="D81" s="189"/>
      <c r="E81" s="204"/>
      <c r="F81" s="189" t="str">
        <f>Exh3B!$F81</f>
        <v>Col (3)</v>
      </c>
      <c r="G81" s="207"/>
    </row>
    <row r="82" spans="1:7" ht="15.75" customHeight="1">
      <c r="A82" s="187" t="str">
        <f>Exh3B!$A82</f>
        <v>Item 1</v>
      </c>
      <c r="B82" s="204" t="str">
        <f>Exh3B!$B82</f>
        <v>Direct Written Premium</v>
      </c>
      <c r="C82" s="90">
        <f>SUM(Exh3B!C82,Exh3C!C82)</f>
        <v>0</v>
      </c>
      <c r="D82" s="71"/>
      <c r="E82" s="65"/>
      <c r="F82" s="90">
        <f>SUM(Exh3A!F82,Exh3B!F82,Exh3C!F82)</f>
        <v>0</v>
      </c>
      <c r="G82" s="73"/>
    </row>
    <row r="83" spans="1:7" ht="15.75" customHeight="1">
      <c r="A83" s="187" t="str">
        <f>Exh3B!$A83</f>
        <v>Item 2</v>
      </c>
      <c r="B83" s="204" t="str">
        <f>Exh3B!$B83</f>
        <v>Direct Earned Premium</v>
      </c>
      <c r="C83" s="69">
        <f>SUM(Exh3B!C83,Exh3C!C83)</f>
        <v>0</v>
      </c>
      <c r="D83" s="71"/>
      <c r="E83" s="204"/>
      <c r="F83" s="69">
        <f>SUM(Exh3A!F83,Exh3B!F83,Exh3C!F83)</f>
        <v>0</v>
      </c>
      <c r="G83" s="48"/>
    </row>
    <row r="84" spans="1:7" ht="15.75" customHeight="1">
      <c r="A84" s="187" t="str">
        <f>Exh3B!$A84</f>
        <v>Item 3</v>
      </c>
      <c r="B84" s="204" t="str">
        <f>Exh3B!$B84</f>
        <v>Direct Other Acquisition Expense</v>
      </c>
      <c r="C84" s="69">
        <f>SUM(Exh3B!C84,Exh3C!C84)</f>
        <v>0</v>
      </c>
      <c r="D84" s="55"/>
      <c r="E84" s="65"/>
      <c r="F84" s="69">
        <f>SUM(Exh3A!F84,Exh3B!F84,Exh3C!F84)</f>
        <v>0</v>
      </c>
      <c r="G84" s="74"/>
    </row>
    <row r="85" spans="1:7" ht="15.75" customHeight="1">
      <c r="A85" s="187" t="str">
        <f>Exh3B!$A85</f>
        <v>Item 4</v>
      </c>
      <c r="B85" s="204" t="str">
        <f>Exh3B!$B85</f>
        <v>Direct General Expense</v>
      </c>
      <c r="C85" s="69">
        <f>SUM(Exh3B!C85,Exh3C!C85)</f>
        <v>0</v>
      </c>
      <c r="D85" s="55"/>
      <c r="E85" s="65"/>
      <c r="F85" s="69">
        <f>SUM(Exh3A!F85,Exh3B!F85,Exh3C!F85)</f>
        <v>0</v>
      </c>
      <c r="G85" s="74"/>
    </row>
    <row r="86" spans="1:7" ht="15.75" customHeight="1">
      <c r="A86" s="187" t="str">
        <f>Exh3B!$A86</f>
        <v>Item 5</v>
      </c>
      <c r="B86" s="204" t="str">
        <f>Exh3B!$B86</f>
        <v>Direct Commission &amp; Brokerage</v>
      </c>
      <c r="C86" s="69">
        <f>SUM(Exh3B!C86,Exh3C!C86)</f>
        <v>0</v>
      </c>
      <c r="D86" s="55"/>
      <c r="E86" s="204"/>
      <c r="F86" s="62">
        <f>SUM(Exh3A!F86,Exh3B!F86,Exh3C!F86)</f>
        <v>0</v>
      </c>
      <c r="G86" s="74"/>
    </row>
    <row r="87" spans="1:7" ht="15.75" customHeight="1">
      <c r="A87" s="187" t="str">
        <f>Exh3B!$A87</f>
        <v>Item 6a</v>
      </c>
      <c r="B87" s="204" t="str">
        <f>Exh3B!$B87</f>
        <v>Expenses subject to Capping (Items 3-5)</v>
      </c>
      <c r="C87" s="154" t="s">
        <v>70</v>
      </c>
      <c r="D87" s="385"/>
      <c r="E87" s="65"/>
      <c r="F87" s="69">
        <f>SUM(Exh3A!F87,Exh3B!F87,Exh3C!F87)</f>
        <v>0</v>
      </c>
      <c r="G87" s="74"/>
    </row>
    <row r="88" spans="1:7" ht="15.75" customHeight="1">
      <c r="A88" s="187" t="str">
        <f>Exh3B!$A88</f>
        <v>Item 6b</v>
      </c>
      <c r="B88" s="204" t="str">
        <f>Exh3B!$B88</f>
        <v>Allowable Capped Expense</v>
      </c>
      <c r="C88" s="154" t="s">
        <v>70</v>
      </c>
      <c r="D88" s="385"/>
      <c r="E88" s="65"/>
      <c r="F88" s="69">
        <f>SUM(Exh3A!F88,Exh3B!F88,Exh3C!F88)</f>
        <v>0</v>
      </c>
      <c r="G88" s="74"/>
    </row>
    <row r="89" spans="1:7" ht="15.75" customHeight="1">
      <c r="A89" s="187" t="str">
        <f>Exh3B!$A89</f>
        <v>Item 6</v>
      </c>
      <c r="B89" s="204" t="str">
        <f>Exh3B!$B89</f>
        <v>Additional Allowable Efficiency Expense</v>
      </c>
      <c r="C89" s="154" t="s">
        <v>70</v>
      </c>
      <c r="D89" s="385"/>
      <c r="E89" s="65"/>
      <c r="F89" s="69">
        <f>SUM(Exh3A!F89,Exh3B!F89,Exh3C!F89)</f>
        <v>0</v>
      </c>
      <c r="G89" s="74"/>
    </row>
    <row r="90" spans="1:7" ht="15.75" customHeight="1">
      <c r="A90" s="187" t="str">
        <f>Exh3B!$A90</f>
        <v>Item 7</v>
      </c>
      <c r="B90" s="204" t="str">
        <f>Exh3B!$B90</f>
        <v>Direct Taxes, Licenses &amp; Fees</v>
      </c>
      <c r="C90" s="69">
        <f>SUM(Exh3B!C90,Exh3C!C90)</f>
        <v>0</v>
      </c>
      <c r="D90" s="55"/>
      <c r="E90" s="204"/>
      <c r="F90" s="62">
        <f>SUM(Exh3A!F90,Exh3B!F90,Exh3C!F90)</f>
        <v>0</v>
      </c>
      <c r="G90" s="74"/>
    </row>
    <row r="91" spans="1:7" ht="15.75" customHeight="1">
      <c r="A91" s="187" t="str">
        <f>Exh3B!$A91</f>
        <v>Item 8</v>
      </c>
      <c r="B91" s="204" t="str">
        <f>Exh3B!$B91</f>
        <v>Direct Prepaid Expenses</v>
      </c>
      <c r="C91" s="418">
        <f>IF(SUM(C84:C86)=0,0,0.5*(C84+C85)+C89*(C84+C85)/(C84+C85+C86)+C86+C90)</f>
        <v>0</v>
      </c>
      <c r="D91" s="55"/>
      <c r="E91" s="65"/>
      <c r="F91" s="418">
        <f>SUM(Exh3A!F91,Exh3B!F91,Exh3C!F91)</f>
        <v>0</v>
      </c>
      <c r="G91" s="74"/>
    </row>
    <row r="92" spans="1:7" ht="15.75" customHeight="1">
      <c r="A92" s="187" t="str">
        <f>Exh3B!$A92</f>
        <v>Item 9</v>
      </c>
      <c r="B92" s="204" t="str">
        <f>Exh3B!$B92</f>
        <v>Net Catastrophe Reinsurance</v>
      </c>
      <c r="C92" s="69">
        <f>SUM(Exh3B!C92,Exh3C!C92)</f>
        <v>0</v>
      </c>
      <c r="D92" s="55"/>
      <c r="E92" s="65"/>
      <c r="F92" s="418">
        <f>SUM(Exh3A!F92,Exh3B!F92,Exh3C!F92)</f>
        <v>0</v>
      </c>
      <c r="G92" s="74"/>
    </row>
    <row r="93" spans="1:7" ht="15.75" customHeight="1">
      <c r="A93" s="187" t="str">
        <f>Exh3B!$A93</f>
        <v>Item 10</v>
      </c>
      <c r="B93" s="204" t="str">
        <f>Exh3B!$B93</f>
        <v>LAD Fees Paid</v>
      </c>
      <c r="C93" s="69" t="s">
        <v>70</v>
      </c>
      <c r="D93" s="385"/>
      <c r="E93" s="204"/>
      <c r="F93" s="62">
        <f>SUM(Exh3A!F93,Exh3B!F93,Exh3C!F93)</f>
        <v>0</v>
      </c>
      <c r="G93" s="74"/>
    </row>
    <row r="94" spans="1:7" ht="15.75" customHeight="1">
      <c r="A94" s="206"/>
      <c r="B94" s="204"/>
      <c r="C94" s="204"/>
      <c r="D94" s="204"/>
      <c r="E94" s="204"/>
      <c r="F94" s="204"/>
      <c r="G94" s="210"/>
    </row>
    <row r="95" spans="1:7" ht="15.75" customHeight="1">
      <c r="A95" s="202"/>
      <c r="B95" s="204"/>
      <c r="C95" s="390" t="str">
        <f>Exh3B!$C95</f>
        <v>Part 1  -  Countrywide</v>
      </c>
      <c r="D95" s="203"/>
      <c r="E95" s="204"/>
      <c r="F95" s="390" t="str">
        <f>Exh3B!$F95</f>
        <v>Part 2  -  New Jersey</v>
      </c>
      <c r="G95" s="205"/>
    </row>
    <row r="96" spans="1:7" ht="15.75" customHeight="1">
      <c r="A96" s="206"/>
      <c r="B96" s="209" t="str">
        <f>Exh3B!$B96</f>
        <v>Calendar Year 2017</v>
      </c>
      <c r="C96" s="189" t="str">
        <f>Exh3B!$C96</f>
        <v>Col (1)</v>
      </c>
      <c r="D96" s="189"/>
      <c r="E96" s="204"/>
      <c r="F96" s="189" t="str">
        <f>Exh3B!$F96</f>
        <v>Col (3)</v>
      </c>
      <c r="G96" s="207"/>
    </row>
    <row r="97" spans="1:7" ht="15.75" customHeight="1">
      <c r="A97" s="187" t="str">
        <f>Exh3B!$A97</f>
        <v>Item 1</v>
      </c>
      <c r="B97" s="204" t="str">
        <f>Exh3B!$B97</f>
        <v>Direct Written Premium</v>
      </c>
      <c r="C97" s="90">
        <f>SUM(Exh3B!C97,Exh3C!C97)</f>
        <v>0</v>
      </c>
      <c r="D97" s="71"/>
      <c r="E97" s="65"/>
      <c r="F97" s="90">
        <f>SUM(Exh3A!F97,Exh3B!F97,Exh3C!F97)</f>
        <v>0</v>
      </c>
      <c r="G97" s="73"/>
    </row>
    <row r="98" spans="1:7" ht="15.75" customHeight="1">
      <c r="A98" s="187" t="str">
        <f>Exh3B!$A98</f>
        <v>Item 2</v>
      </c>
      <c r="B98" s="204" t="str">
        <f>Exh3B!$B98</f>
        <v>Direct Earned Premium</v>
      </c>
      <c r="C98" s="69">
        <f>SUM(Exh3B!C98,Exh3C!C98)</f>
        <v>0</v>
      </c>
      <c r="D98" s="71"/>
      <c r="E98" s="204"/>
      <c r="F98" s="69">
        <f>SUM(Exh3A!F98,Exh3B!F98,Exh3C!F98)</f>
        <v>0</v>
      </c>
      <c r="G98" s="48"/>
    </row>
    <row r="99" spans="1:7" ht="15.75" customHeight="1">
      <c r="A99" s="187" t="str">
        <f>Exh3B!$A99</f>
        <v>Item 3</v>
      </c>
      <c r="B99" s="204" t="str">
        <f>Exh3B!$B99</f>
        <v>Direct Other Acquisition Expense</v>
      </c>
      <c r="C99" s="69">
        <f>SUM(Exh3B!C99,Exh3C!C99)</f>
        <v>0</v>
      </c>
      <c r="D99" s="55"/>
      <c r="E99" s="65"/>
      <c r="F99" s="69">
        <f>SUM(Exh3A!F99,Exh3B!F99,Exh3C!F99)</f>
        <v>0</v>
      </c>
      <c r="G99" s="74"/>
    </row>
    <row r="100" spans="1:7" ht="15.75" customHeight="1">
      <c r="A100" s="187" t="str">
        <f>Exh3B!$A100</f>
        <v>Item 4</v>
      </c>
      <c r="B100" s="204" t="str">
        <f>Exh3B!$B100</f>
        <v>Direct General Expense</v>
      </c>
      <c r="C100" s="69">
        <f>SUM(Exh3B!C100,Exh3C!C100)</f>
        <v>0</v>
      </c>
      <c r="D100" s="55"/>
      <c r="E100" s="65"/>
      <c r="F100" s="69">
        <f>SUM(Exh3A!F100,Exh3B!F100,Exh3C!F100)</f>
        <v>0</v>
      </c>
      <c r="G100" s="74"/>
    </row>
    <row r="101" spans="1:7" ht="15.75" customHeight="1">
      <c r="A101" s="187" t="str">
        <f>Exh3B!$A101</f>
        <v>Item 5</v>
      </c>
      <c r="B101" s="204" t="str">
        <f>Exh3B!$B101</f>
        <v>Direct Commission &amp; Brokerage</v>
      </c>
      <c r="C101" s="69">
        <f>SUM(Exh3B!C101,Exh3C!C101)</f>
        <v>0</v>
      </c>
      <c r="D101" s="55"/>
      <c r="E101" s="204"/>
      <c r="F101" s="62">
        <f>SUM(Exh3A!F101,Exh3B!F101,Exh3C!F101)</f>
        <v>0</v>
      </c>
      <c r="G101" s="74"/>
    </row>
    <row r="102" spans="1:7" ht="15.75" customHeight="1">
      <c r="A102" s="187" t="str">
        <f>Exh3B!$A102</f>
        <v>Item 6a</v>
      </c>
      <c r="B102" s="204" t="str">
        <f>Exh3B!$B102</f>
        <v>Expenses subject to Capping (Items 3-5)</v>
      </c>
      <c r="C102" s="154" t="s">
        <v>70</v>
      </c>
      <c r="D102" s="385"/>
      <c r="E102" s="65"/>
      <c r="F102" s="69">
        <f>SUM(Exh3A!F102,Exh3B!F102,Exh3C!F102)</f>
        <v>0</v>
      </c>
      <c r="G102" s="74"/>
    </row>
    <row r="103" spans="1:7" ht="15.75" customHeight="1">
      <c r="A103" s="187" t="str">
        <f>Exh3B!$A103</f>
        <v>Item 6b</v>
      </c>
      <c r="B103" s="204" t="str">
        <f>Exh3B!$B103</f>
        <v>Allowable Capped Expense</v>
      </c>
      <c r="C103" s="154" t="s">
        <v>70</v>
      </c>
      <c r="D103" s="385"/>
      <c r="E103" s="65"/>
      <c r="F103" s="69">
        <f>SUM(Exh3A!F103,Exh3B!F103,Exh3C!F103)</f>
        <v>0</v>
      </c>
      <c r="G103" s="74"/>
    </row>
    <row r="104" spans="1:7" ht="15.75" customHeight="1">
      <c r="A104" s="187" t="str">
        <f>Exh3B!$A104</f>
        <v>Item 6</v>
      </c>
      <c r="B104" s="204" t="str">
        <f>Exh3B!$B104</f>
        <v>Additional Allowable Efficiency Expense</v>
      </c>
      <c r="C104" s="154" t="s">
        <v>70</v>
      </c>
      <c r="D104" s="385"/>
      <c r="E104" s="65"/>
      <c r="F104" s="69">
        <f>SUM(Exh3A!F104,Exh3B!F104,Exh3C!F104)</f>
        <v>0</v>
      </c>
      <c r="G104" s="74"/>
    </row>
    <row r="105" spans="1:7" ht="15.75" customHeight="1">
      <c r="A105" s="187" t="str">
        <f>Exh3B!$A105</f>
        <v>Item 7</v>
      </c>
      <c r="B105" s="204" t="str">
        <f>Exh3B!$B105</f>
        <v>Direct Taxes, Licenses &amp; Fees</v>
      </c>
      <c r="C105" s="69">
        <f>SUM(Exh3B!C105,Exh3C!C105)</f>
        <v>0</v>
      </c>
      <c r="D105" s="55"/>
      <c r="E105" s="204"/>
      <c r="F105" s="62">
        <f>SUM(Exh3A!F105,Exh3B!F105,Exh3C!F105)</f>
        <v>0</v>
      </c>
      <c r="G105" s="74"/>
    </row>
    <row r="106" spans="1:7" ht="15.75" customHeight="1">
      <c r="A106" s="187" t="str">
        <f>Exh3B!$A106</f>
        <v>Item 8</v>
      </c>
      <c r="B106" s="204" t="str">
        <f>Exh3B!$B106</f>
        <v>Direct Prepaid Expenses</v>
      </c>
      <c r="C106" s="418">
        <f>IF(SUM(C99:C101)=0,0,0.5*(C99+C100)+C104*(C99+C100)/(C99+C100+C101)+C101+C105)</f>
        <v>0</v>
      </c>
      <c r="D106" s="55"/>
      <c r="E106" s="65"/>
      <c r="F106" s="418">
        <f>SUM(Exh3A!F106,Exh3B!F106,Exh3C!F106)</f>
        <v>0</v>
      </c>
      <c r="G106" s="74"/>
    </row>
    <row r="107" spans="1:7" ht="15.75" customHeight="1">
      <c r="A107" s="187" t="str">
        <f>Exh3B!$A107</f>
        <v>Item 9</v>
      </c>
      <c r="B107" s="204" t="str">
        <f>Exh3B!$B107</f>
        <v>Net Catastrophe Reinsurance</v>
      </c>
      <c r="C107" s="69">
        <f>SUM(Exh3B!C107,Exh3C!C107)</f>
        <v>0</v>
      </c>
      <c r="D107" s="55"/>
      <c r="E107" s="65"/>
      <c r="F107" s="418">
        <f>SUM(Exh3A!F107,Exh3B!F107,Exh3C!F107)</f>
        <v>0</v>
      </c>
      <c r="G107" s="74"/>
    </row>
    <row r="108" spans="1:7" ht="15.75" customHeight="1" thickBot="1">
      <c r="A108" s="216" t="str">
        <f>Exh3B!$A108</f>
        <v>Item 10</v>
      </c>
      <c r="B108" s="217" t="str">
        <f>Exh3B!$B108</f>
        <v>LAD Fees Paid</v>
      </c>
      <c r="C108" s="70" t="s">
        <v>70</v>
      </c>
      <c r="D108" s="386"/>
      <c r="E108" s="217"/>
      <c r="F108" s="63">
        <f>SUM(Exh3A!F108,Exh3B!F108,Exh3C!F108)</f>
        <v>0</v>
      </c>
      <c r="G108" s="75"/>
    </row>
  </sheetData>
  <sheetProtection password="DCE9" sheet="1" objects="1" scenarios="1"/>
  <printOptions headings="1"/>
  <pageMargins left="0.5" right="0.5" top="0.5" bottom="0.5" header="0.5" footer="0.5"/>
  <pageSetup firstPageNumber="96" useFirstPageNumber="1" horizontalDpi="300" verticalDpi="300" orientation="landscape" scale="65" r:id="rId1"/>
  <headerFooter alignWithMargins="0">
    <oddFooter>&amp;L&amp;D&amp;RPage &amp;P of &amp;N</oddFooter>
  </headerFooter>
  <rowBreaks count="2" manualBreakCount="2">
    <brk id="49" max="6" man="1"/>
    <brk id="94" max="6" man="1"/>
  </rowBreaks>
</worksheet>
</file>

<file path=xl/worksheets/sheet19.xml><?xml version="1.0" encoding="utf-8"?>
<worksheet xmlns="http://schemas.openxmlformats.org/spreadsheetml/2006/main" xmlns:r="http://schemas.openxmlformats.org/officeDocument/2006/relationships">
  <sheetPr codeName="Sheet15" transitionEvaluation="1">
    <pageSetUpPr fitToPage="1"/>
  </sheetPr>
  <dimension ref="A1:K45"/>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140625" style="3" bestFit="1" customWidth="1"/>
    <col min="2" max="2" width="27.7109375" style="3" customWidth="1"/>
    <col min="3" max="11" width="16.7109375" style="3" customWidth="1"/>
    <col min="12" max="16384" width="9.7109375" style="3" customWidth="1"/>
  </cols>
  <sheetData>
    <row r="1" spans="1:11" ht="15.75" customHeight="1">
      <c r="A1" s="197" t="str">
        <f>InputB!$A$1</f>
        <v>Group Name:</v>
      </c>
      <c r="B1" s="137" t="str">
        <f>InputB!$C$1</f>
        <v>enter group name here</v>
      </c>
      <c r="C1" s="137"/>
      <c r="D1" s="137"/>
      <c r="E1" s="137"/>
      <c r="F1" s="137"/>
      <c r="G1" s="137"/>
      <c r="J1" s="139"/>
      <c r="K1" s="139" t="s">
        <v>64</v>
      </c>
    </row>
    <row r="2" spans="1:11" ht="15.75" customHeight="1">
      <c r="A2" s="140" t="str">
        <f>InputB!$A$2</f>
        <v>Group NAIC #:</v>
      </c>
      <c r="B2" s="137" t="str">
        <f>InputB!$C$2</f>
        <v>enter group # here</v>
      </c>
      <c r="C2" s="137"/>
      <c r="D2" s="137"/>
      <c r="E2" s="137"/>
      <c r="F2" s="137"/>
      <c r="G2" s="137"/>
      <c r="J2" s="166"/>
      <c r="K2" s="166"/>
    </row>
    <row r="3" spans="1:7" ht="15.75" customHeight="1">
      <c r="A3" s="197" t="str">
        <f>InputB!$A$3</f>
        <v>Year Filed:</v>
      </c>
      <c r="B3" s="141">
        <f>InputB!$C$3</f>
        <v>2024</v>
      </c>
      <c r="C3" s="141"/>
      <c r="D3" s="141"/>
      <c r="E3" s="141"/>
      <c r="F3" s="141"/>
      <c r="G3" s="141"/>
    </row>
    <row r="4" ht="15.75" customHeight="1" thickBot="1"/>
    <row r="5" spans="1:11" ht="15.75" customHeight="1">
      <c r="A5" s="222"/>
      <c r="B5" s="199"/>
      <c r="C5" s="199"/>
      <c r="D5" s="223" t="s">
        <v>17</v>
      </c>
      <c r="E5" s="223"/>
      <c r="F5" s="223"/>
      <c r="G5" s="223"/>
      <c r="H5" s="223"/>
      <c r="I5" s="223"/>
      <c r="J5" s="223"/>
      <c r="K5" s="224" t="s">
        <v>59</v>
      </c>
    </row>
    <row r="6" spans="1:11" ht="15.75" customHeight="1">
      <c r="A6" s="229"/>
      <c r="B6" s="230" t="s">
        <v>134</v>
      </c>
      <c r="C6" s="230"/>
      <c r="D6" s="209">
        <f aca="true" t="shared" si="0" ref="D6:I6">E6-1</f>
        <v>2017</v>
      </c>
      <c r="E6" s="209">
        <f t="shared" si="0"/>
        <v>2018</v>
      </c>
      <c r="F6" s="209">
        <f t="shared" si="0"/>
        <v>2019</v>
      </c>
      <c r="G6" s="209">
        <f t="shared" si="0"/>
        <v>2020</v>
      </c>
      <c r="H6" s="209">
        <f t="shared" si="0"/>
        <v>2021</v>
      </c>
      <c r="I6" s="209">
        <f t="shared" si="0"/>
        <v>2022</v>
      </c>
      <c r="J6" s="231">
        <f>$B$3-1</f>
        <v>2023</v>
      </c>
      <c r="K6" s="232" t="s">
        <v>226</v>
      </c>
    </row>
    <row r="7" spans="1:11" ht="15.75" customHeight="1">
      <c r="A7" s="696" t="str">
        <f>InputTOTAL!$A18</f>
        <v>Item 1</v>
      </c>
      <c r="B7" s="211" t="str">
        <f>InputTOTAL!$C18</f>
        <v>Interest, Dividends &amp; Real Estate Income</v>
      </c>
      <c r="C7" s="211"/>
      <c r="D7" s="47">
        <f>InputTOTAL!$K18</f>
        <v>0</v>
      </c>
      <c r="E7" s="47">
        <f>InputTOTAL!$J18</f>
        <v>0</v>
      </c>
      <c r="F7" s="47">
        <f>InputTOTAL!$I18</f>
        <v>0</v>
      </c>
      <c r="G7" s="47">
        <f>InputTOTAL!$H18</f>
        <v>0</v>
      </c>
      <c r="H7" s="47">
        <f>InputTOTAL!$G18</f>
        <v>0</v>
      </c>
      <c r="I7" s="47">
        <f>InputTOTAL!$F18</f>
        <v>0</v>
      </c>
      <c r="J7" s="47">
        <f>InputTOTAL!$E18</f>
        <v>0</v>
      </c>
      <c r="K7" s="48">
        <f aca="true" t="shared" si="1" ref="K7:K16">SUM(D7:J7)</f>
        <v>0</v>
      </c>
    </row>
    <row r="8" spans="1:11" ht="15.75" customHeight="1">
      <c r="A8" s="696" t="str">
        <f>InputTOTAL!$A19</f>
        <v>Item 2.1</v>
      </c>
      <c r="B8" s="211" t="str">
        <f>InputTOTAL!$C19</f>
        <v>Investment Expense Incurred</v>
      </c>
      <c r="C8" s="211"/>
      <c r="D8" s="47">
        <f>InputTOTAL!$K19</f>
        <v>0</v>
      </c>
      <c r="E8" s="47">
        <f>InputTOTAL!$J19</f>
        <v>0</v>
      </c>
      <c r="F8" s="47">
        <f>InputTOTAL!$I19</f>
        <v>0</v>
      </c>
      <c r="G8" s="47">
        <f>InputTOTAL!$H19</f>
        <v>0</v>
      </c>
      <c r="H8" s="47">
        <f>InputTOTAL!$G19</f>
        <v>0</v>
      </c>
      <c r="I8" s="47">
        <f>InputTOTAL!$F19</f>
        <v>0</v>
      </c>
      <c r="J8" s="47">
        <f>InputTOTAL!$E19</f>
        <v>0</v>
      </c>
      <c r="K8" s="48">
        <f t="shared" si="1"/>
        <v>0</v>
      </c>
    </row>
    <row r="9" spans="1:11" ht="15.75" customHeight="1">
      <c r="A9" s="696" t="str">
        <f>InputTOTAL!$A20</f>
        <v>Item 2.2</v>
      </c>
      <c r="B9" s="211" t="str">
        <f>InputTOTAL!$C20</f>
        <v>Depreciation on Real Estate</v>
      </c>
      <c r="C9" s="211"/>
      <c r="D9" s="47">
        <f>InputTOTAL!$K20</f>
        <v>0</v>
      </c>
      <c r="E9" s="47">
        <f>InputTOTAL!$J20</f>
        <v>0</v>
      </c>
      <c r="F9" s="47">
        <f>InputTOTAL!$I20</f>
        <v>0</v>
      </c>
      <c r="G9" s="47">
        <f>InputTOTAL!$H20</f>
        <v>0</v>
      </c>
      <c r="H9" s="47">
        <f>InputTOTAL!$G20</f>
        <v>0</v>
      </c>
      <c r="I9" s="47">
        <f>InputTOTAL!$F20</f>
        <v>0</v>
      </c>
      <c r="J9" s="47">
        <f>InputTOTAL!$E20</f>
        <v>0</v>
      </c>
      <c r="K9" s="48">
        <f t="shared" si="1"/>
        <v>0</v>
      </c>
    </row>
    <row r="10" spans="1:11" ht="15.75" customHeight="1">
      <c r="A10" s="696" t="str">
        <f>InputTOTAL!$A21</f>
        <v>Item 2.3</v>
      </c>
      <c r="B10" s="211" t="str">
        <f>InputTOTAL!$C21</f>
        <v>Unaffiliated Preferred Stock</v>
      </c>
      <c r="C10" s="211"/>
      <c r="D10" s="47">
        <f>InputTOTAL!$K21</f>
        <v>0</v>
      </c>
      <c r="E10" s="47">
        <f>InputTOTAL!$J21</f>
        <v>0</v>
      </c>
      <c r="F10" s="47">
        <f>InputTOTAL!$I21</f>
        <v>0</v>
      </c>
      <c r="G10" s="47">
        <f>InputTOTAL!$H21</f>
        <v>0</v>
      </c>
      <c r="H10" s="47">
        <f>InputTOTAL!$G21</f>
        <v>0</v>
      </c>
      <c r="I10" s="47">
        <f>InputTOTAL!$F21</f>
        <v>0</v>
      </c>
      <c r="J10" s="47">
        <f>InputTOTAL!$E21</f>
        <v>0</v>
      </c>
      <c r="K10" s="48">
        <f t="shared" si="1"/>
        <v>0</v>
      </c>
    </row>
    <row r="11" spans="1:11" ht="15.75" customHeight="1">
      <c r="A11" s="696" t="str">
        <f>InputTOTAL!$A22</f>
        <v>Item 2.4</v>
      </c>
      <c r="B11" s="211" t="str">
        <f>InputTOTAL!$C22</f>
        <v>Affiliated Preferred Stock</v>
      </c>
      <c r="C11" s="211"/>
      <c r="D11" s="47">
        <f>InputTOTAL!$K22</f>
        <v>0</v>
      </c>
      <c r="E11" s="47">
        <f>InputTOTAL!$J22</f>
        <v>0</v>
      </c>
      <c r="F11" s="47">
        <f>InputTOTAL!$I22</f>
        <v>0</v>
      </c>
      <c r="G11" s="47">
        <f>InputTOTAL!$H22</f>
        <v>0</v>
      </c>
      <c r="H11" s="47">
        <f>InputTOTAL!$G22</f>
        <v>0</v>
      </c>
      <c r="I11" s="47">
        <f>InputTOTAL!$F22</f>
        <v>0</v>
      </c>
      <c r="J11" s="47">
        <f>InputTOTAL!$E22</f>
        <v>0</v>
      </c>
      <c r="K11" s="48">
        <f t="shared" si="1"/>
        <v>0</v>
      </c>
    </row>
    <row r="12" spans="1:11" ht="15.75" customHeight="1">
      <c r="A12" s="696" t="str">
        <f>InputTOTAL!$A23</f>
        <v>Item 2.5</v>
      </c>
      <c r="B12" s="211" t="str">
        <f>InputTOTAL!$C23</f>
        <v>Unaffiliated Common Stock</v>
      </c>
      <c r="C12" s="211"/>
      <c r="D12" s="47">
        <f>InputTOTAL!$K23</f>
        <v>0</v>
      </c>
      <c r="E12" s="47">
        <f>InputTOTAL!$J23</f>
        <v>0</v>
      </c>
      <c r="F12" s="47">
        <f>InputTOTAL!$I23</f>
        <v>0</v>
      </c>
      <c r="G12" s="47">
        <f>InputTOTAL!$H23</f>
        <v>0</v>
      </c>
      <c r="H12" s="47">
        <f>InputTOTAL!$G23</f>
        <v>0</v>
      </c>
      <c r="I12" s="47">
        <f>InputTOTAL!$F23</f>
        <v>0</v>
      </c>
      <c r="J12" s="47">
        <f>InputTOTAL!$E23</f>
        <v>0</v>
      </c>
      <c r="K12" s="48">
        <f t="shared" si="1"/>
        <v>0</v>
      </c>
    </row>
    <row r="13" spans="1:11" ht="15.75" customHeight="1">
      <c r="A13" s="696" t="str">
        <f>InputTOTAL!$A24</f>
        <v>Item 2.6</v>
      </c>
      <c r="B13" s="211" t="str">
        <f>InputTOTAL!$C24</f>
        <v>Affiliated Common Stock</v>
      </c>
      <c r="C13" s="211"/>
      <c r="D13" s="47">
        <f>InputTOTAL!$K24</f>
        <v>0</v>
      </c>
      <c r="E13" s="47">
        <f>InputTOTAL!$J24</f>
        <v>0</v>
      </c>
      <c r="F13" s="47">
        <f>InputTOTAL!$I24</f>
        <v>0</v>
      </c>
      <c r="G13" s="47">
        <f>InputTOTAL!$H24</f>
        <v>0</v>
      </c>
      <c r="H13" s="47">
        <f>InputTOTAL!$G24</f>
        <v>0</v>
      </c>
      <c r="I13" s="47">
        <f>InputTOTAL!$F24</f>
        <v>0</v>
      </c>
      <c r="J13" s="47">
        <f>InputTOTAL!$E24</f>
        <v>0</v>
      </c>
      <c r="K13" s="48">
        <f t="shared" si="1"/>
        <v>0</v>
      </c>
    </row>
    <row r="14" spans="1:11" ht="15.75" customHeight="1">
      <c r="A14" s="696" t="str">
        <f>InputTOTAL!$A25</f>
        <v>Item 2.7</v>
      </c>
      <c r="B14" s="211" t="str">
        <f>InputTOTAL!$C25</f>
        <v>Derivative Instruments</v>
      </c>
      <c r="C14" s="211"/>
      <c r="D14" s="47">
        <f>InputTOTAL!$K25</f>
        <v>0</v>
      </c>
      <c r="E14" s="47">
        <f>InputTOTAL!$J25</f>
        <v>0</v>
      </c>
      <c r="F14" s="47">
        <f>InputTOTAL!$I25</f>
        <v>0</v>
      </c>
      <c r="G14" s="47">
        <f>InputTOTAL!$H25</f>
        <v>0</v>
      </c>
      <c r="H14" s="47">
        <f>InputTOTAL!$G25</f>
        <v>0</v>
      </c>
      <c r="I14" s="47">
        <f>InputTOTAL!$F25</f>
        <v>0</v>
      </c>
      <c r="J14" s="47">
        <f>InputTOTAL!$E25</f>
        <v>0</v>
      </c>
      <c r="K14" s="48">
        <f>SUM(D14:J14)</f>
        <v>0</v>
      </c>
    </row>
    <row r="15" spans="1:11" ht="15.75" customHeight="1">
      <c r="A15" s="696" t="str">
        <f>InputTOTAL!$A26</f>
        <v>Item 2.8</v>
      </c>
      <c r="B15" s="211" t="str">
        <f>InputTOTAL!$C26</f>
        <v>Other Invested Assets</v>
      </c>
      <c r="C15" s="211"/>
      <c r="D15" s="47">
        <f>InputTOTAL!$K26</f>
        <v>0</v>
      </c>
      <c r="E15" s="47">
        <f>InputTOTAL!$J26</f>
        <v>0</v>
      </c>
      <c r="F15" s="47">
        <f>InputTOTAL!$I26</f>
        <v>0</v>
      </c>
      <c r="G15" s="47">
        <f>InputTOTAL!$H26</f>
        <v>0</v>
      </c>
      <c r="H15" s="47">
        <f>InputTOTAL!$G26</f>
        <v>0</v>
      </c>
      <c r="I15" s="47">
        <f>InputTOTAL!$F26</f>
        <v>0</v>
      </c>
      <c r="J15" s="47">
        <f>InputTOTAL!$E26</f>
        <v>0</v>
      </c>
      <c r="K15" s="48">
        <f t="shared" si="1"/>
        <v>0</v>
      </c>
    </row>
    <row r="16" spans="1:11" ht="15.75" customHeight="1">
      <c r="A16" s="696" t="str">
        <f>InputTOTAL!$A27</f>
        <v>Item 2.9</v>
      </c>
      <c r="B16" s="211" t="str">
        <f>InputTOTAL!$C27</f>
        <v>Real Estate for Co's Own Occupancy</v>
      </c>
      <c r="C16" s="211"/>
      <c r="D16" s="47">
        <f>InputTOTAL!$K27</f>
        <v>0</v>
      </c>
      <c r="E16" s="47">
        <f>InputTOTAL!$J27</f>
        <v>0</v>
      </c>
      <c r="F16" s="47">
        <f>InputTOTAL!$I27</f>
        <v>0</v>
      </c>
      <c r="G16" s="47">
        <f>InputTOTAL!$H27</f>
        <v>0</v>
      </c>
      <c r="H16" s="47">
        <f>InputTOTAL!$G27</f>
        <v>0</v>
      </c>
      <c r="I16" s="47">
        <f>InputTOTAL!$F27</f>
        <v>0</v>
      </c>
      <c r="J16" s="47">
        <f>InputTOTAL!$E27</f>
        <v>0</v>
      </c>
      <c r="K16" s="48">
        <f t="shared" si="1"/>
        <v>0</v>
      </c>
    </row>
    <row r="17" spans="1:11" ht="15.75" customHeight="1">
      <c r="A17" s="171" t="s">
        <v>1</v>
      </c>
      <c r="B17" s="204" t="s">
        <v>63</v>
      </c>
      <c r="C17" s="204"/>
      <c r="D17" s="47">
        <f aca="true" t="shared" si="2" ref="D17:K17">SUM(D8:D16)</f>
        <v>0</v>
      </c>
      <c r="E17" s="47">
        <f t="shared" si="2"/>
        <v>0</v>
      </c>
      <c r="F17" s="47">
        <f t="shared" si="2"/>
        <v>0</v>
      </c>
      <c r="G17" s="47">
        <f t="shared" si="2"/>
        <v>0</v>
      </c>
      <c r="H17" s="47">
        <f t="shared" si="2"/>
        <v>0</v>
      </c>
      <c r="I17" s="47">
        <f t="shared" si="2"/>
        <v>0</v>
      </c>
      <c r="J17" s="47">
        <f t="shared" si="2"/>
        <v>0</v>
      </c>
      <c r="K17" s="48">
        <f t="shared" si="2"/>
        <v>0</v>
      </c>
    </row>
    <row r="18" spans="1:11" ht="15.75" customHeight="1" thickBot="1">
      <c r="A18" s="233" t="s">
        <v>2</v>
      </c>
      <c r="B18" s="234" t="str">
        <f>"Net Investment Income ["&amp;A7&amp;" - "&amp;A17&amp;"]"</f>
        <v>Net Investment Income [Item 1 - Item 2]</v>
      </c>
      <c r="C18" s="234"/>
      <c r="D18" s="49">
        <f aca="true" t="shared" si="3" ref="D18:K18">D7-D17</f>
        <v>0</v>
      </c>
      <c r="E18" s="49">
        <f t="shared" si="3"/>
        <v>0</v>
      </c>
      <c r="F18" s="49">
        <f t="shared" si="3"/>
        <v>0</v>
      </c>
      <c r="G18" s="49">
        <f t="shared" si="3"/>
        <v>0</v>
      </c>
      <c r="H18" s="49">
        <f t="shared" si="3"/>
        <v>0</v>
      </c>
      <c r="I18" s="49">
        <f t="shared" si="3"/>
        <v>0</v>
      </c>
      <c r="J18" s="49">
        <f t="shared" si="3"/>
        <v>0</v>
      </c>
      <c r="K18" s="50">
        <f t="shared" si="3"/>
        <v>0</v>
      </c>
    </row>
    <row r="19" ht="15.75" customHeight="1" thickBot="1"/>
    <row r="20" spans="1:11" ht="15.75" customHeight="1">
      <c r="A20" s="222"/>
      <c r="B20" s="199"/>
      <c r="C20" s="199"/>
      <c r="D20" s="223" t="str">
        <f>D5</f>
        <v>Calendar Year</v>
      </c>
      <c r="E20" s="223"/>
      <c r="F20" s="223"/>
      <c r="G20" s="223"/>
      <c r="H20" s="223"/>
      <c r="I20" s="223"/>
      <c r="J20" s="223"/>
      <c r="K20" s="224" t="s">
        <v>59</v>
      </c>
    </row>
    <row r="21" spans="1:11" ht="15.75" customHeight="1">
      <c r="A21" s="187"/>
      <c r="B21" s="230" t="s">
        <v>32</v>
      </c>
      <c r="C21" s="209">
        <f>D21-1</f>
        <v>2016</v>
      </c>
      <c r="D21" s="209">
        <f aca="true" t="shared" si="4" ref="D21:I21">D$6</f>
        <v>2017</v>
      </c>
      <c r="E21" s="209">
        <f t="shared" si="4"/>
        <v>2018</v>
      </c>
      <c r="F21" s="209">
        <f t="shared" si="4"/>
        <v>2019</v>
      </c>
      <c r="G21" s="209">
        <f t="shared" si="4"/>
        <v>2020</v>
      </c>
      <c r="H21" s="209">
        <f t="shared" si="4"/>
        <v>2021</v>
      </c>
      <c r="I21" s="209">
        <f t="shared" si="4"/>
        <v>2022</v>
      </c>
      <c r="J21" s="231">
        <f>J6</f>
        <v>2023</v>
      </c>
      <c r="K21" s="178" t="str">
        <f>K6</f>
        <v>7-Yr Total</v>
      </c>
    </row>
    <row r="22" spans="1:11" ht="15.75" customHeight="1">
      <c r="A22" s="171" t="s">
        <v>68</v>
      </c>
      <c r="B22" s="458" t="s">
        <v>65</v>
      </c>
      <c r="C22" s="459">
        <f>InputTOTAL!$L29</f>
        <v>0</v>
      </c>
      <c r="D22" s="459">
        <f>InputTOTAL!$K29</f>
        <v>0</v>
      </c>
      <c r="E22" s="459">
        <f>InputTOTAL!$J29</f>
        <v>0</v>
      </c>
      <c r="F22" s="459">
        <f>InputTOTAL!$I29</f>
        <v>0</v>
      </c>
      <c r="G22" s="459">
        <f>InputTOTAL!$H29</f>
        <v>0</v>
      </c>
      <c r="H22" s="459">
        <f>InputTOTAL!$G29</f>
        <v>0</v>
      </c>
      <c r="I22" s="459">
        <f>InputTOTAL!$F29</f>
        <v>0</v>
      </c>
      <c r="J22" s="459">
        <f>InputTOTAL!$E29</f>
        <v>0</v>
      </c>
      <c r="K22" s="48">
        <f aca="true" t="shared" si="5" ref="K22:K27">SUM(D22:J22)</f>
        <v>0</v>
      </c>
    </row>
    <row r="23" spans="1:11" ht="15.75" customHeight="1">
      <c r="A23" s="171" t="s">
        <v>69</v>
      </c>
      <c r="B23" s="458" t="s">
        <v>263</v>
      </c>
      <c r="C23" s="459">
        <f>InputTOTAL!$L30</f>
        <v>0</v>
      </c>
      <c r="D23" s="459">
        <f>InputTOTAL!$K30</f>
        <v>0</v>
      </c>
      <c r="E23" s="459">
        <f>InputTOTAL!$J30</f>
        <v>0</v>
      </c>
      <c r="F23" s="459">
        <f>InputTOTAL!$I30</f>
        <v>0</v>
      </c>
      <c r="G23" s="459">
        <f>InputTOTAL!$H30</f>
        <v>0</v>
      </c>
      <c r="H23" s="459">
        <f>InputTOTAL!$G30</f>
        <v>0</v>
      </c>
      <c r="I23" s="459">
        <f>InputTOTAL!$F30</f>
        <v>0</v>
      </c>
      <c r="J23" s="459">
        <f>InputTOTAL!$E30</f>
        <v>0</v>
      </c>
      <c r="K23" s="48">
        <f t="shared" si="5"/>
        <v>0</v>
      </c>
    </row>
    <row r="24" spans="1:11" ht="15.75" customHeight="1">
      <c r="A24" s="171" t="s">
        <v>135</v>
      </c>
      <c r="B24" s="458" t="s">
        <v>404</v>
      </c>
      <c r="C24" s="459">
        <f>InputTOTAL!$L31</f>
        <v>0</v>
      </c>
      <c r="D24" s="459">
        <f>InputTOTAL!$K31</f>
        <v>0</v>
      </c>
      <c r="E24" s="459">
        <f>InputTOTAL!$J31</f>
        <v>0</v>
      </c>
      <c r="F24" s="459">
        <f>InputTOTAL!$I31</f>
        <v>0</v>
      </c>
      <c r="G24" s="459">
        <f>InputTOTAL!$H31</f>
        <v>0</v>
      </c>
      <c r="H24" s="459">
        <f>InputTOTAL!$G31</f>
        <v>0</v>
      </c>
      <c r="I24" s="459">
        <f>InputTOTAL!$F31</f>
        <v>0</v>
      </c>
      <c r="J24" s="459">
        <f>InputTOTAL!$E31</f>
        <v>0</v>
      </c>
      <c r="K24" s="48">
        <f t="shared" si="5"/>
        <v>0</v>
      </c>
    </row>
    <row r="25" spans="1:11" ht="15.75" customHeight="1">
      <c r="A25" s="171" t="s">
        <v>136</v>
      </c>
      <c r="B25" s="458" t="s">
        <v>15</v>
      </c>
      <c r="C25" s="459">
        <f>InputTOTAL!$L32</f>
        <v>0</v>
      </c>
      <c r="D25" s="459">
        <f>InputTOTAL!$K32</f>
        <v>0</v>
      </c>
      <c r="E25" s="459">
        <f>InputTOTAL!$J32</f>
        <v>0</v>
      </c>
      <c r="F25" s="459">
        <f>InputTOTAL!$I32</f>
        <v>0</v>
      </c>
      <c r="G25" s="459">
        <f>InputTOTAL!$H32</f>
        <v>0</v>
      </c>
      <c r="H25" s="459">
        <f>InputTOTAL!$G32</f>
        <v>0</v>
      </c>
      <c r="I25" s="459">
        <f>InputTOTAL!$F32</f>
        <v>0</v>
      </c>
      <c r="J25" s="459">
        <f>InputTOTAL!$E32</f>
        <v>0</v>
      </c>
      <c r="K25" s="48">
        <f t="shared" si="5"/>
        <v>0</v>
      </c>
    </row>
    <row r="26" spans="1:11" ht="15.75" customHeight="1">
      <c r="A26" s="171" t="s">
        <v>137</v>
      </c>
      <c r="B26" s="458" t="s">
        <v>264</v>
      </c>
      <c r="C26" s="459">
        <f>InputTOTAL!$L33</f>
        <v>0</v>
      </c>
      <c r="D26" s="459">
        <f>InputTOTAL!$K33</f>
        <v>0</v>
      </c>
      <c r="E26" s="459">
        <f>InputTOTAL!$J33</f>
        <v>0</v>
      </c>
      <c r="F26" s="459">
        <f>InputTOTAL!$I33</f>
        <v>0</v>
      </c>
      <c r="G26" s="459">
        <f>InputTOTAL!$H33</f>
        <v>0</v>
      </c>
      <c r="H26" s="459">
        <f>InputTOTAL!$G33</f>
        <v>0</v>
      </c>
      <c r="I26" s="459">
        <f>InputTOTAL!$F33</f>
        <v>0</v>
      </c>
      <c r="J26" s="459">
        <f>InputTOTAL!$E33</f>
        <v>0</v>
      </c>
      <c r="K26" s="48">
        <f t="shared" si="5"/>
        <v>0</v>
      </c>
    </row>
    <row r="27" spans="1:11" ht="15.75" customHeight="1">
      <c r="A27" s="171" t="s">
        <v>7</v>
      </c>
      <c r="B27" s="528" t="s">
        <v>138</v>
      </c>
      <c r="C27" s="459">
        <f aca="true" t="shared" si="6" ref="C27:J27">SUM(C22:C26)</f>
        <v>0</v>
      </c>
      <c r="D27" s="459">
        <f t="shared" si="6"/>
        <v>0</v>
      </c>
      <c r="E27" s="459">
        <f t="shared" si="6"/>
        <v>0</v>
      </c>
      <c r="F27" s="459">
        <f t="shared" si="6"/>
        <v>0</v>
      </c>
      <c r="G27" s="459">
        <f t="shared" si="6"/>
        <v>0</v>
      </c>
      <c r="H27" s="459">
        <f t="shared" si="6"/>
        <v>0</v>
      </c>
      <c r="I27" s="459">
        <f t="shared" si="6"/>
        <v>0</v>
      </c>
      <c r="J27" s="459">
        <f t="shared" si="6"/>
        <v>0</v>
      </c>
      <c r="K27" s="48">
        <f t="shared" si="5"/>
        <v>0</v>
      </c>
    </row>
    <row r="28" spans="1:11" ht="15.75" customHeight="1" thickBot="1">
      <c r="A28" s="233" t="s">
        <v>3</v>
      </c>
      <c r="B28" s="529" t="str">
        <f>"Average Invested Assets [Avg. Item 4]"</f>
        <v>Average Invested Assets [Avg. Item 4]</v>
      </c>
      <c r="C28" s="529"/>
      <c r="D28" s="530">
        <f>(C27+D27)/2</f>
        <v>0</v>
      </c>
      <c r="E28" s="530">
        <f aca="true" t="shared" si="7" ref="E28:J28">(D27+E27)/2</f>
        <v>0</v>
      </c>
      <c r="F28" s="530">
        <f t="shared" si="7"/>
        <v>0</v>
      </c>
      <c r="G28" s="530">
        <f t="shared" si="7"/>
        <v>0</v>
      </c>
      <c r="H28" s="530">
        <f t="shared" si="7"/>
        <v>0</v>
      </c>
      <c r="I28" s="530">
        <f t="shared" si="7"/>
        <v>0</v>
      </c>
      <c r="J28" s="530">
        <f t="shared" si="7"/>
        <v>0</v>
      </c>
      <c r="K28" s="50">
        <f>SUM(D28:J28)</f>
        <v>0</v>
      </c>
    </row>
    <row r="29" spans="1:11" ht="15.75" customHeight="1" thickBot="1">
      <c r="A29" s="160"/>
      <c r="B29" s="194"/>
      <c r="C29" s="194"/>
      <c r="D29" s="194"/>
      <c r="E29" s="194"/>
      <c r="F29" s="194"/>
      <c r="G29" s="194"/>
      <c r="H29" s="47"/>
      <c r="I29" s="47"/>
      <c r="J29" s="47"/>
      <c r="K29" s="47"/>
    </row>
    <row r="30" spans="1:11" ht="15.75" customHeight="1">
      <c r="A30" s="222"/>
      <c r="B30" s="199"/>
      <c r="C30" s="199"/>
      <c r="D30" s="223" t="str">
        <f>D5</f>
        <v>Calendar Year</v>
      </c>
      <c r="E30" s="223"/>
      <c r="F30" s="223"/>
      <c r="G30" s="223"/>
      <c r="H30" s="223"/>
      <c r="I30" s="223"/>
      <c r="J30" s="223"/>
      <c r="K30" s="236"/>
    </row>
    <row r="31" spans="1:11" ht="15.75" customHeight="1">
      <c r="A31" s="206"/>
      <c r="B31" s="209" t="s">
        <v>391</v>
      </c>
      <c r="C31" s="204"/>
      <c r="D31" s="231">
        <f aca="true" t="shared" si="8" ref="D31:I31">D$6</f>
        <v>2017</v>
      </c>
      <c r="E31" s="231">
        <f t="shared" si="8"/>
        <v>2018</v>
      </c>
      <c r="F31" s="231">
        <f t="shared" si="8"/>
        <v>2019</v>
      </c>
      <c r="G31" s="231">
        <f t="shared" si="8"/>
        <v>2020</v>
      </c>
      <c r="H31" s="231">
        <f t="shared" si="8"/>
        <v>2021</v>
      </c>
      <c r="I31" s="231">
        <f t="shared" si="8"/>
        <v>2022</v>
      </c>
      <c r="J31" s="231">
        <f>J6</f>
        <v>2023</v>
      </c>
      <c r="K31" s="178" t="str">
        <f>K6</f>
        <v>7-Yr Total</v>
      </c>
    </row>
    <row r="32" spans="1:11" ht="15.75" customHeight="1">
      <c r="A32" s="171" t="s">
        <v>4</v>
      </c>
      <c r="B32" s="204" t="str">
        <f>"Net Investment Income ["&amp;A18&amp;"]"</f>
        <v>Net Investment Income [Item 3]</v>
      </c>
      <c r="C32" s="204"/>
      <c r="D32" s="47">
        <f aca="true" t="shared" si="9" ref="D32:K32">D18</f>
        <v>0</v>
      </c>
      <c r="E32" s="47">
        <f t="shared" si="9"/>
        <v>0</v>
      </c>
      <c r="F32" s="47">
        <f t="shared" si="9"/>
        <v>0</v>
      </c>
      <c r="G32" s="47">
        <f t="shared" si="9"/>
        <v>0</v>
      </c>
      <c r="H32" s="47">
        <f t="shared" si="9"/>
        <v>0</v>
      </c>
      <c r="I32" s="47">
        <f t="shared" si="9"/>
        <v>0</v>
      </c>
      <c r="J32" s="47">
        <f t="shared" si="9"/>
        <v>0</v>
      </c>
      <c r="K32" s="48">
        <f t="shared" si="9"/>
        <v>0</v>
      </c>
    </row>
    <row r="33" spans="1:11" ht="15.75" customHeight="1">
      <c r="A33" s="171" t="s">
        <v>11</v>
      </c>
      <c r="B33" s="204" t="str">
        <f>"Average Invested Assets ["&amp;A28&amp;"]"</f>
        <v>Average Invested Assets [Item 5]</v>
      </c>
      <c r="C33" s="204"/>
      <c r="D33" s="47">
        <f aca="true" t="shared" si="10" ref="D33:K33">D28</f>
        <v>0</v>
      </c>
      <c r="E33" s="47">
        <f t="shared" si="10"/>
        <v>0</v>
      </c>
      <c r="F33" s="47">
        <f t="shared" si="10"/>
        <v>0</v>
      </c>
      <c r="G33" s="47">
        <f t="shared" si="10"/>
        <v>0</v>
      </c>
      <c r="H33" s="47">
        <f t="shared" si="10"/>
        <v>0</v>
      </c>
      <c r="I33" s="47">
        <f t="shared" si="10"/>
        <v>0</v>
      </c>
      <c r="J33" s="47">
        <f t="shared" si="10"/>
        <v>0</v>
      </c>
      <c r="K33" s="48">
        <f t="shared" si="10"/>
        <v>0</v>
      </c>
    </row>
    <row r="34" spans="1:11" ht="15.75" customHeight="1" thickBot="1">
      <c r="A34" s="233" t="s">
        <v>5</v>
      </c>
      <c r="B34" s="217" t="str">
        <f>"Pre-Tax Rate of Return ["&amp;A32&amp;" / "&amp;A33&amp;"]"</f>
        <v>Pre-Tax Rate of Return [Item 6 / Item 7]</v>
      </c>
      <c r="C34" s="217"/>
      <c r="D34" s="60">
        <f aca="true" t="shared" si="11" ref="D34:K34">IF(D33=0,0,D32/D33)</f>
        <v>0</v>
      </c>
      <c r="E34" s="60">
        <f t="shared" si="11"/>
        <v>0</v>
      </c>
      <c r="F34" s="60">
        <f t="shared" si="11"/>
        <v>0</v>
      </c>
      <c r="G34" s="60">
        <f t="shared" si="11"/>
        <v>0</v>
      </c>
      <c r="H34" s="60">
        <f t="shared" si="11"/>
        <v>0</v>
      </c>
      <c r="I34" s="60">
        <f t="shared" si="11"/>
        <v>0</v>
      </c>
      <c r="J34" s="60">
        <f t="shared" si="11"/>
        <v>0</v>
      </c>
      <c r="K34" s="61">
        <f t="shared" si="11"/>
        <v>0</v>
      </c>
    </row>
    <row r="36" spans="2:7" ht="15.75" customHeight="1">
      <c r="B36" s="388"/>
      <c r="C36" s="388"/>
      <c r="D36" s="388"/>
      <c r="E36" s="388"/>
      <c r="F36" s="388"/>
      <c r="G36" s="388"/>
    </row>
    <row r="39" ht="15.75" customHeight="1">
      <c r="A39" s="1"/>
    </row>
    <row r="40" ht="15.75" customHeight="1">
      <c r="A40" s="1"/>
    </row>
    <row r="42" ht="15.75" customHeight="1">
      <c r="A42" s="1"/>
    </row>
    <row r="43" ht="15.75" customHeight="1">
      <c r="A43" s="1"/>
    </row>
    <row r="44" ht="15.75" customHeight="1">
      <c r="A44" s="1"/>
    </row>
    <row r="45" ht="15.75" customHeight="1">
      <c r="A45" s="1"/>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4" r:id="rId1"/>
  <headerFooter alignWithMargins="0">
    <oddFooter>&amp;L&amp;D&amp;RPage &amp;P of &amp;N</oddFooter>
  </headerFooter>
</worksheet>
</file>

<file path=xl/worksheets/sheet2.xml><?xml version="1.0" encoding="utf-8"?>
<worksheet xmlns="http://schemas.openxmlformats.org/spreadsheetml/2006/main" xmlns:r="http://schemas.openxmlformats.org/officeDocument/2006/relationships">
  <sheetPr codeName="Sheet13" transitionEvaluation="1"/>
  <dimension ref="A1:M94"/>
  <sheetViews>
    <sheetView view="pageBreakPreview" zoomScale="85" zoomScaleNormal="75" zoomScaleSheetLayoutView="85" zoomScalePageLayoutView="0" workbookViewId="0" topLeftCell="A13">
      <selection activeCell="B2" sqref="B2"/>
    </sheetView>
  </sheetViews>
  <sheetFormatPr defaultColWidth="9.7109375" defaultRowHeight="15.75" customHeight="1"/>
  <cols>
    <col min="1" max="2" width="14.7109375" style="14" customWidth="1"/>
    <col min="3" max="3" width="14.57421875" style="14" customWidth="1"/>
    <col min="4" max="4" width="28.7109375" style="14" customWidth="1"/>
    <col min="5" max="13" width="20.7109375" style="14" customWidth="1"/>
    <col min="14" max="16384" width="9.7109375" style="14" customWidth="1"/>
  </cols>
  <sheetData>
    <row r="1" spans="1:13" ht="15.75" customHeight="1">
      <c r="A1" s="104" t="str">
        <f>InputB!$A$1</f>
        <v>Group Name:</v>
      </c>
      <c r="B1" s="104"/>
      <c r="C1" s="325" t="str">
        <f>InputB!$C$1</f>
        <v>enter group name here</v>
      </c>
      <c r="D1" s="105"/>
      <c r="E1"/>
      <c r="F1"/>
      <c r="G1"/>
      <c r="H1"/>
      <c r="I1"/>
      <c r="J1"/>
      <c r="K1"/>
      <c r="L1"/>
      <c r="M1" s="193" t="s">
        <v>179</v>
      </c>
    </row>
    <row r="2" spans="1:13" ht="15.75" customHeight="1">
      <c r="A2" s="104" t="str">
        <f>InputB!$A$2</f>
        <v>Group NAIC #:</v>
      </c>
      <c r="B2" s="104"/>
      <c r="C2" s="325" t="str">
        <f>InputB!$C$2</f>
        <v>enter group # here</v>
      </c>
      <c r="D2" s="105"/>
      <c r="E2"/>
      <c r="F2"/>
      <c r="G2"/>
      <c r="H2"/>
      <c r="I2"/>
      <c r="J2"/>
      <c r="K2"/>
      <c r="L2"/>
      <c r="M2" s="380" t="s">
        <v>181</v>
      </c>
    </row>
    <row r="3" spans="1:13" ht="15.75" customHeight="1">
      <c r="A3" s="104" t="str">
        <f>InputB!$A$3</f>
        <v>Year Filed:</v>
      </c>
      <c r="B3" s="104"/>
      <c r="C3" s="337">
        <f>InputB!$C$3</f>
        <v>2024</v>
      </c>
      <c r="D3" s="110"/>
      <c r="E3"/>
      <c r="F3"/>
      <c r="G3"/>
      <c r="H3"/>
      <c r="I3"/>
      <c r="J3"/>
      <c r="K3"/>
      <c r="L3"/>
      <c r="M3" s="193" t="s">
        <v>363</v>
      </c>
    </row>
    <row r="4" spans="1:13" ht="15.75" customHeight="1">
      <c r="A4" s="103"/>
      <c r="B4" s="103"/>
      <c r="C4" s="105"/>
      <c r="D4" s="110"/>
      <c r="E4" s="103"/>
      <c r="F4" s="103"/>
      <c r="G4" s="127"/>
      <c r="H4" s="326"/>
      <c r="I4" s="103"/>
      <c r="J4" s="103"/>
      <c r="K4" s="103"/>
      <c r="L4" s="103"/>
      <c r="M4" s="103"/>
    </row>
    <row r="5" spans="1:13" ht="15.75" customHeight="1" thickBot="1">
      <c r="A5" s="103"/>
      <c r="B5" s="103"/>
      <c r="C5" s="103"/>
      <c r="D5" s="103"/>
      <c r="E5" s="103"/>
      <c r="F5" s="288"/>
      <c r="G5" s="288"/>
      <c r="H5" s="288"/>
      <c r="I5" s="288"/>
      <c r="J5" s="288"/>
      <c r="K5" s="288"/>
      <c r="L5" s="288"/>
      <c r="M5" s="288"/>
    </row>
    <row r="6" spans="1:13" ht="15.75" customHeight="1">
      <c r="A6" s="327" t="str">
        <f>InputB!$A$6</f>
        <v>Exhibit 1</v>
      </c>
      <c r="B6" s="328"/>
      <c r="C6" s="329"/>
      <c r="D6" s="329"/>
      <c r="E6" s="330" t="str">
        <f>InputB!$E$6</f>
        <v>Calendar Year</v>
      </c>
      <c r="F6" s="330"/>
      <c r="G6" s="330"/>
      <c r="H6" s="330"/>
      <c r="I6" s="330"/>
      <c r="J6" s="330"/>
      <c r="K6" s="330"/>
      <c r="L6" s="330"/>
      <c r="M6" s="331"/>
    </row>
    <row r="7" spans="1:13" ht="15.75" customHeight="1">
      <c r="A7" s="340" t="s">
        <v>386</v>
      </c>
      <c r="B7" s="299"/>
      <c r="C7" s="300"/>
      <c r="D7" s="300"/>
      <c r="E7" s="283">
        <f>ReportYear-1</f>
        <v>2023</v>
      </c>
      <c r="F7" s="283">
        <f>ReportYear-2</f>
        <v>2022</v>
      </c>
      <c r="G7" s="283">
        <f>ReportYear-3</f>
        <v>2021</v>
      </c>
      <c r="H7" s="283">
        <f>ReportYear-4</f>
        <v>2020</v>
      </c>
      <c r="I7" s="283">
        <f>ReportYear-5</f>
        <v>2019</v>
      </c>
      <c r="J7" s="283">
        <f>ReportYear-6</f>
        <v>2018</v>
      </c>
      <c r="K7" s="283">
        <f>ReportYear-7</f>
        <v>2017</v>
      </c>
      <c r="L7" s="283">
        <f>ReportYear-8</f>
        <v>2016</v>
      </c>
      <c r="M7" s="301">
        <f>ReportYear-9</f>
        <v>2015</v>
      </c>
    </row>
    <row r="8" spans="1:13" ht="15.75" customHeight="1">
      <c r="A8" s="289"/>
      <c r="B8" s="35"/>
      <c r="C8" s="295"/>
      <c r="D8" s="295"/>
      <c r="E8" s="19"/>
      <c r="F8" s="20"/>
      <c r="G8" s="20"/>
      <c r="H8" s="20"/>
      <c r="I8" s="20"/>
      <c r="J8" s="20"/>
      <c r="K8" s="20"/>
      <c r="L8" s="20"/>
      <c r="M8" s="21"/>
    </row>
    <row r="9" spans="1:13" ht="15.75" customHeight="1">
      <c r="A9" s="291" t="str">
        <f>InputB!$A9</f>
        <v>Direct Written Premium</v>
      </c>
      <c r="B9" s="553"/>
      <c r="C9" s="35"/>
      <c r="D9" s="35"/>
      <c r="E9" s="22"/>
      <c r="F9" s="22"/>
      <c r="G9" s="22"/>
      <c r="H9" s="22"/>
      <c r="I9" s="22"/>
      <c r="J9" s="22"/>
      <c r="K9" s="22"/>
      <c r="L9" s="22"/>
      <c r="M9" s="24"/>
    </row>
    <row r="10" spans="1:13" ht="15.75" customHeight="1">
      <c r="A10" s="292" t="str">
        <f>InputB!$A10</f>
        <v>Col (1)</v>
      </c>
      <c r="B10" s="78" t="str">
        <f>InputB!$B10</f>
        <v>Item 1</v>
      </c>
      <c r="C10" s="290" t="str">
        <f>InputB!$C10</f>
        <v>Total from the Annual Statement</v>
      </c>
      <c r="D10" s="290"/>
      <c r="E10" s="25">
        <v>0</v>
      </c>
      <c r="F10" s="25">
        <v>0</v>
      </c>
      <c r="G10" s="25">
        <v>0</v>
      </c>
      <c r="H10" s="25">
        <v>0</v>
      </c>
      <c r="I10" s="25">
        <v>0</v>
      </c>
      <c r="J10" s="25">
        <v>0</v>
      </c>
      <c r="K10" s="25">
        <v>0</v>
      </c>
      <c r="L10" s="25">
        <v>0</v>
      </c>
      <c r="M10" s="26">
        <v>0</v>
      </c>
    </row>
    <row r="11" spans="1:13" ht="15.75" customHeight="1">
      <c r="A11" s="292" t="str">
        <f>InputB!$A11</f>
        <v>Col (1)</v>
      </c>
      <c r="B11" s="78" t="s">
        <v>1</v>
      </c>
      <c r="C11" s="290" t="str">
        <f>InputB!$C11</f>
        <v>Excluded Types included in Item 1</v>
      </c>
      <c r="D11" s="290"/>
      <c r="E11" s="25">
        <v>0</v>
      </c>
      <c r="F11" s="25">
        <v>0</v>
      </c>
      <c r="G11" s="25">
        <v>0</v>
      </c>
      <c r="H11" s="25">
        <v>0</v>
      </c>
      <c r="I11" s="25">
        <v>0</v>
      </c>
      <c r="J11" s="25">
        <v>0</v>
      </c>
      <c r="K11" s="25">
        <v>0</v>
      </c>
      <c r="L11" s="25">
        <v>0</v>
      </c>
      <c r="M11" s="26">
        <v>0</v>
      </c>
    </row>
    <row r="12" spans="1:13" ht="15.75" customHeight="1">
      <c r="A12" s="292" t="str">
        <f>InputB!$A12</f>
        <v>Col (1)</v>
      </c>
      <c r="B12" s="78" t="str">
        <f>InputB!$B12</f>
        <v>Item 4</v>
      </c>
      <c r="C12" s="290" t="str">
        <f>InputB!$C12</f>
        <v>UCJF Assessments (19.1/PIP only)</v>
      </c>
      <c r="D12" s="290"/>
      <c r="E12" s="25">
        <v>0</v>
      </c>
      <c r="F12" s="25">
        <v>0</v>
      </c>
      <c r="G12" s="25">
        <v>0</v>
      </c>
      <c r="H12" s="25">
        <v>0</v>
      </c>
      <c r="I12" s="25">
        <v>0</v>
      </c>
      <c r="J12" s="25">
        <v>0</v>
      </c>
      <c r="K12" s="25">
        <v>0</v>
      </c>
      <c r="L12" s="25">
        <v>0</v>
      </c>
      <c r="M12" s="26">
        <v>0</v>
      </c>
    </row>
    <row r="13" spans="1:13" ht="15.75" customHeight="1">
      <c r="A13" s="289">
        <f>InputB!$A$13</f>
      </c>
      <c r="B13" s="78"/>
      <c r="C13" s="35"/>
      <c r="D13" s="35"/>
      <c r="E13" s="94"/>
      <c r="F13" s="94"/>
      <c r="G13" s="94"/>
      <c r="H13" s="94"/>
      <c r="I13" s="94"/>
      <c r="J13" s="94"/>
      <c r="K13" s="94"/>
      <c r="L13" s="94"/>
      <c r="M13" s="102"/>
    </row>
    <row r="14" spans="1:13" ht="15.75" customHeight="1">
      <c r="A14" s="291" t="str">
        <f>InputB!$A14</f>
        <v>Direct Earned Premium</v>
      </c>
      <c r="B14" s="553"/>
      <c r="C14" s="35"/>
      <c r="D14" s="35"/>
      <c r="E14" s="94"/>
      <c r="F14" s="94"/>
      <c r="G14" s="94"/>
      <c r="H14" s="94"/>
      <c r="I14" s="94"/>
      <c r="J14" s="94"/>
      <c r="K14" s="94"/>
      <c r="L14" s="94"/>
      <c r="M14" s="102"/>
    </row>
    <row r="15" spans="1:13" ht="15.75" customHeight="1">
      <c r="A15" s="292" t="str">
        <f>InputB!$A15</f>
        <v>Col (2)</v>
      </c>
      <c r="B15" s="78" t="str">
        <f>InputB!$B15</f>
        <v>Item 1</v>
      </c>
      <c r="C15" s="290" t="str">
        <f>InputB!$C15</f>
        <v>Total from the Annual Statement</v>
      </c>
      <c r="D15" s="35"/>
      <c r="E15" s="25">
        <v>0</v>
      </c>
      <c r="F15" s="25">
        <v>0</v>
      </c>
      <c r="G15" s="25">
        <v>0</v>
      </c>
      <c r="H15" s="25">
        <v>0</v>
      </c>
      <c r="I15" s="25">
        <v>0</v>
      </c>
      <c r="J15" s="25">
        <v>0</v>
      </c>
      <c r="K15" s="25">
        <v>0</v>
      </c>
      <c r="L15" s="25">
        <v>0</v>
      </c>
      <c r="M15" s="26">
        <v>0</v>
      </c>
    </row>
    <row r="16" spans="1:13" ht="15.75" customHeight="1">
      <c r="A16" s="292" t="str">
        <f>InputB!$A16</f>
        <v>Col (2)</v>
      </c>
      <c r="B16" s="78" t="str">
        <f>InputB!$B16</f>
        <v>Item 2</v>
      </c>
      <c r="C16" s="290" t="str">
        <f>InputB!$C16</f>
        <v>Excluded Types included in Item 1</v>
      </c>
      <c r="D16" s="35"/>
      <c r="E16" s="25">
        <v>0</v>
      </c>
      <c r="F16" s="25">
        <v>0</v>
      </c>
      <c r="G16" s="25">
        <v>0</v>
      </c>
      <c r="H16" s="25">
        <v>0</v>
      </c>
      <c r="I16" s="25">
        <v>0</v>
      </c>
      <c r="J16" s="25">
        <v>0</v>
      </c>
      <c r="K16" s="25">
        <v>0</v>
      </c>
      <c r="L16" s="25">
        <v>0</v>
      </c>
      <c r="M16" s="26">
        <v>0</v>
      </c>
    </row>
    <row r="17" spans="1:13" ht="15.75" customHeight="1">
      <c r="A17" s="292" t="str">
        <f>InputB!$A17</f>
        <v>Col (2)</v>
      </c>
      <c r="B17" s="78" t="str">
        <f>InputB!$B17</f>
        <v>Item 4</v>
      </c>
      <c r="C17" s="290" t="str">
        <f>InputB!$C17</f>
        <v>UCJF Assessments (19.1/PIP only)</v>
      </c>
      <c r="D17" s="35"/>
      <c r="E17" s="25">
        <v>0</v>
      </c>
      <c r="F17" s="25">
        <v>0</v>
      </c>
      <c r="G17" s="25">
        <v>0</v>
      </c>
      <c r="H17" s="25">
        <v>0</v>
      </c>
      <c r="I17" s="25">
        <v>0</v>
      </c>
      <c r="J17" s="25">
        <v>0</v>
      </c>
      <c r="K17" s="25">
        <v>0</v>
      </c>
      <c r="L17" s="25">
        <v>0</v>
      </c>
      <c r="M17" s="26">
        <v>0</v>
      </c>
    </row>
    <row r="18" spans="1:13" ht="15.75" customHeight="1">
      <c r="A18" s="292">
        <f>InputB!$A$18</f>
      </c>
      <c r="B18" s="311"/>
      <c r="C18" s="35"/>
      <c r="D18" s="35"/>
      <c r="E18" s="94"/>
      <c r="F18" s="94"/>
      <c r="G18" s="94"/>
      <c r="H18" s="94"/>
      <c r="I18" s="94"/>
      <c r="J18" s="94"/>
      <c r="K18" s="94"/>
      <c r="L18" s="94"/>
      <c r="M18" s="102"/>
    </row>
    <row r="19" spans="1:13" ht="15.75" customHeight="1">
      <c r="A19" s="291" t="str">
        <f>InputB!$A19</f>
        <v>Paid Dividends (incl. Excess Profit Refunds)</v>
      </c>
      <c r="B19" s="553"/>
      <c r="C19" s="35"/>
      <c r="D19" s="35"/>
      <c r="E19" s="94"/>
      <c r="F19" s="94"/>
      <c r="G19" s="94"/>
      <c r="H19" s="94"/>
      <c r="I19" s="94"/>
      <c r="J19" s="94"/>
      <c r="K19" s="94"/>
      <c r="L19" s="94"/>
      <c r="M19" s="102"/>
    </row>
    <row r="20" spans="1:13" ht="15.75" customHeight="1">
      <c r="A20" s="292" t="str">
        <f>InputB!$A20</f>
        <v>Col (3A)</v>
      </c>
      <c r="B20" s="78" t="str">
        <f>InputB!$B20</f>
        <v>Item 1</v>
      </c>
      <c r="C20" s="290" t="str">
        <f>InputB!$C20</f>
        <v>Total from the Annual Statement</v>
      </c>
      <c r="D20" s="35"/>
      <c r="E20" s="25">
        <v>0</v>
      </c>
      <c r="F20" s="25">
        <v>0</v>
      </c>
      <c r="G20" s="25">
        <v>0</v>
      </c>
      <c r="H20" s="25">
        <v>0</v>
      </c>
      <c r="I20" s="25">
        <v>0</v>
      </c>
      <c r="J20" s="25">
        <v>0</v>
      </c>
      <c r="K20" s="25">
        <v>0</v>
      </c>
      <c r="L20" s="25">
        <v>0</v>
      </c>
      <c r="M20" s="26">
        <v>0</v>
      </c>
    </row>
    <row r="21" spans="1:13" ht="15.75" customHeight="1">
      <c r="A21" s="292" t="str">
        <f>InputB!$A21</f>
        <v>Col (3A)</v>
      </c>
      <c r="B21" s="78" t="str">
        <f>InputB!$B21</f>
        <v>Item 2</v>
      </c>
      <c r="C21" s="290" t="str">
        <f>InputB!$C21</f>
        <v>Excluded Types included in Item 1</v>
      </c>
      <c r="D21" s="35"/>
      <c r="E21" s="25">
        <v>0</v>
      </c>
      <c r="F21" s="25">
        <v>0</v>
      </c>
      <c r="G21" s="25">
        <v>0</v>
      </c>
      <c r="H21" s="25">
        <v>0</v>
      </c>
      <c r="I21" s="25">
        <v>0</v>
      </c>
      <c r="J21" s="25">
        <v>0</v>
      </c>
      <c r="K21" s="25">
        <v>0</v>
      </c>
      <c r="L21" s="25">
        <v>0</v>
      </c>
      <c r="M21" s="26">
        <v>0</v>
      </c>
    </row>
    <row r="22" spans="1:13" ht="15.75" customHeight="1">
      <c r="A22" s="292">
        <f>InputB!$A$22</f>
      </c>
      <c r="B22" s="78"/>
      <c r="C22" s="35"/>
      <c r="D22" s="35"/>
      <c r="E22" s="94"/>
      <c r="F22" s="94"/>
      <c r="G22" s="94"/>
      <c r="H22" s="94"/>
      <c r="I22" s="94"/>
      <c r="J22" s="94"/>
      <c r="K22" s="94"/>
      <c r="L22" s="94"/>
      <c r="M22" s="95"/>
    </row>
    <row r="23" spans="1:13" ht="15.75" customHeight="1">
      <c r="A23" s="291" t="str">
        <f>InputB!$A23</f>
        <v>Declared, but Unpaid Dividends (incl. Excess Profit Refunds)</v>
      </c>
      <c r="B23" s="553"/>
      <c r="C23" s="35"/>
      <c r="D23" s="35"/>
      <c r="E23" s="94"/>
      <c r="F23" s="94"/>
      <c r="G23" s="94"/>
      <c r="H23" s="94"/>
      <c r="I23" s="94"/>
      <c r="J23" s="94"/>
      <c r="K23" s="94"/>
      <c r="L23" s="94"/>
      <c r="M23" s="95"/>
    </row>
    <row r="24" spans="1:13" ht="15.75" customHeight="1">
      <c r="A24" s="292" t="str">
        <f>InputB!$A24</f>
        <v>Col (3B)</v>
      </c>
      <c r="B24" s="78" t="str">
        <f>InputB!$B24</f>
        <v>Item 1</v>
      </c>
      <c r="C24" s="290" t="s">
        <v>18</v>
      </c>
      <c r="D24" s="35"/>
      <c r="E24" s="25">
        <v>0</v>
      </c>
      <c r="F24" s="25">
        <v>0</v>
      </c>
      <c r="G24" s="25">
        <v>0</v>
      </c>
      <c r="H24" s="25">
        <v>0</v>
      </c>
      <c r="I24" s="25">
        <v>0</v>
      </c>
      <c r="J24" s="25">
        <v>0</v>
      </c>
      <c r="K24" s="25">
        <v>0</v>
      </c>
      <c r="L24" s="25">
        <v>0</v>
      </c>
      <c r="M24" s="27">
        <v>0</v>
      </c>
    </row>
    <row r="25" spans="1:13" ht="15.75" customHeight="1">
      <c r="A25" s="292" t="str">
        <f>InputB!$A25</f>
        <v>Col (3B)</v>
      </c>
      <c r="B25" s="78" t="str">
        <f>InputB!$B25</f>
        <v>Item 2</v>
      </c>
      <c r="C25" s="290" t="str">
        <f>InputB!$C25</f>
        <v>Excluded Types included in Item 1</v>
      </c>
      <c r="D25" s="35"/>
      <c r="E25" s="25">
        <v>0</v>
      </c>
      <c r="F25" s="25">
        <v>0</v>
      </c>
      <c r="G25" s="25">
        <v>0</v>
      </c>
      <c r="H25" s="25">
        <v>0</v>
      </c>
      <c r="I25" s="25">
        <v>0</v>
      </c>
      <c r="J25" s="25">
        <v>0</v>
      </c>
      <c r="K25" s="25">
        <v>0</v>
      </c>
      <c r="L25" s="25">
        <v>0</v>
      </c>
      <c r="M25" s="27">
        <v>0</v>
      </c>
    </row>
    <row r="26" spans="1:13" ht="15.75" customHeight="1">
      <c r="A26" s="289">
        <f>InputB!$A$26</f>
      </c>
      <c r="B26" s="78"/>
      <c r="C26" s="35"/>
      <c r="D26" s="35"/>
      <c r="E26" s="35"/>
      <c r="F26" s="35"/>
      <c r="G26" s="35"/>
      <c r="H26" s="35"/>
      <c r="I26" s="35"/>
      <c r="J26" s="35"/>
      <c r="K26" s="35"/>
      <c r="L26" s="35"/>
      <c r="M26" s="332"/>
    </row>
    <row r="27" spans="1:13" ht="15.75" customHeight="1">
      <c r="A27" s="291" t="str">
        <f>InputB!$A27</f>
        <v>Direct Unearned Premium Reserves</v>
      </c>
      <c r="B27" s="553"/>
      <c r="C27" s="35"/>
      <c r="D27" s="35"/>
      <c r="E27" s="94"/>
      <c r="F27" s="94"/>
      <c r="G27" s="94"/>
      <c r="H27" s="94"/>
      <c r="I27" s="94"/>
      <c r="J27" s="94"/>
      <c r="K27" s="94"/>
      <c r="L27" s="94"/>
      <c r="M27" s="95"/>
    </row>
    <row r="28" spans="1:13" ht="15.75" customHeight="1">
      <c r="A28" s="292" t="str">
        <f>InputB!$A28</f>
        <v>Col (4)</v>
      </c>
      <c r="B28" s="78" t="str">
        <f>InputB!$B28</f>
        <v>Item 1</v>
      </c>
      <c r="C28" s="290" t="str">
        <f>InputB!$C28</f>
        <v>Total from the Annual Statement</v>
      </c>
      <c r="D28" s="35"/>
      <c r="E28" s="25">
        <v>0</v>
      </c>
      <c r="F28" s="25">
        <v>0</v>
      </c>
      <c r="G28" s="25">
        <v>0</v>
      </c>
      <c r="H28" s="25">
        <v>0</v>
      </c>
      <c r="I28" s="25">
        <v>0</v>
      </c>
      <c r="J28" s="25">
        <v>0</v>
      </c>
      <c r="K28" s="25">
        <v>0</v>
      </c>
      <c r="L28" s="25">
        <v>0</v>
      </c>
      <c r="M28" s="27">
        <v>0</v>
      </c>
    </row>
    <row r="29" spans="1:13" ht="15.75" customHeight="1">
      <c r="A29" s="292" t="str">
        <f>InputB!$A29</f>
        <v>Col (4)</v>
      </c>
      <c r="B29" s="78" t="str">
        <f>InputB!$B29</f>
        <v>Item 2</v>
      </c>
      <c r="C29" s="290" t="str">
        <f>InputB!$C29</f>
        <v>Excluded Types included in Item 1</v>
      </c>
      <c r="D29" s="35"/>
      <c r="E29" s="25">
        <v>0</v>
      </c>
      <c r="F29" s="25">
        <v>0</v>
      </c>
      <c r="G29" s="25">
        <v>0</v>
      </c>
      <c r="H29" s="25">
        <v>0</v>
      </c>
      <c r="I29" s="25">
        <v>0</v>
      </c>
      <c r="J29" s="25">
        <v>0</v>
      </c>
      <c r="K29" s="25">
        <v>0</v>
      </c>
      <c r="L29" s="25">
        <v>0</v>
      </c>
      <c r="M29" s="27">
        <v>0</v>
      </c>
    </row>
    <row r="30" spans="1:13" ht="15.75" customHeight="1">
      <c r="A30" s="487" t="str">
        <f>A29</f>
        <v>Col (4)</v>
      </c>
      <c r="B30" s="552" t="str">
        <f>B$12</f>
        <v>Item 4</v>
      </c>
      <c r="C30" s="488" t="str">
        <f>C$12</f>
        <v>UCJF Assessments (19.1/PIP only)</v>
      </c>
      <c r="D30" s="489"/>
      <c r="E30" s="496">
        <v>0</v>
      </c>
      <c r="F30" s="496">
        <v>0</v>
      </c>
      <c r="G30" s="496">
        <v>0</v>
      </c>
      <c r="H30" s="496">
        <v>0</v>
      </c>
      <c r="I30" s="496">
        <v>0</v>
      </c>
      <c r="J30" s="496">
        <v>0</v>
      </c>
      <c r="K30" s="496">
        <v>0</v>
      </c>
      <c r="L30" s="496">
        <v>0</v>
      </c>
      <c r="M30" s="497">
        <v>0</v>
      </c>
    </row>
    <row r="31" spans="1:13" ht="15.75" customHeight="1">
      <c r="A31" s="289">
        <f>InputB!$A$31</f>
      </c>
      <c r="B31" s="78"/>
      <c r="C31" s="35"/>
      <c r="D31" s="35"/>
      <c r="E31" s="94"/>
      <c r="F31" s="94"/>
      <c r="G31" s="94"/>
      <c r="H31" s="94"/>
      <c r="I31" s="94"/>
      <c r="J31" s="94"/>
      <c r="K31" s="94"/>
      <c r="L31" s="94"/>
      <c r="M31" s="95"/>
    </row>
    <row r="32" spans="1:13" ht="15.75" customHeight="1">
      <c r="A32" s="291" t="str">
        <f>InputB!$A32</f>
        <v>Direct Unpaid Loss (Case + Bulk/IBNR)</v>
      </c>
      <c r="B32" s="553"/>
      <c r="C32" s="35"/>
      <c r="D32" s="35"/>
      <c r="E32" s="94"/>
      <c r="F32" s="94"/>
      <c r="G32" s="94"/>
      <c r="H32" s="94"/>
      <c r="I32" s="94"/>
      <c r="J32" s="94"/>
      <c r="K32" s="94"/>
      <c r="L32" s="94"/>
      <c r="M32" s="95"/>
    </row>
    <row r="33" spans="1:13" ht="15.75" customHeight="1">
      <c r="A33" s="292" t="str">
        <f>InputB!$A33</f>
        <v>Col (7)</v>
      </c>
      <c r="B33" s="78" t="str">
        <f>InputB!$B33</f>
        <v>Item 1</v>
      </c>
      <c r="C33" s="290" t="str">
        <f>InputB!$C33</f>
        <v>Total from the Annual Statement</v>
      </c>
      <c r="D33" s="293"/>
      <c r="E33" s="25">
        <v>0</v>
      </c>
      <c r="F33" s="25">
        <v>0</v>
      </c>
      <c r="G33" s="25">
        <v>0</v>
      </c>
      <c r="H33" s="25">
        <v>0</v>
      </c>
      <c r="I33" s="25">
        <v>0</v>
      </c>
      <c r="J33" s="25">
        <v>0</v>
      </c>
      <c r="K33" s="25">
        <v>0</v>
      </c>
      <c r="L33" s="25">
        <v>0</v>
      </c>
      <c r="M33" s="27">
        <v>0</v>
      </c>
    </row>
    <row r="34" spans="1:13" ht="15.75" customHeight="1">
      <c r="A34" s="292" t="str">
        <f>InputB!$A34</f>
        <v>Col (7)</v>
      </c>
      <c r="B34" s="78" t="str">
        <f>InputB!$B34</f>
        <v>Item 2</v>
      </c>
      <c r="C34" s="290" t="str">
        <f>InputB!$C34</f>
        <v>Excluded Types included in Item 1</v>
      </c>
      <c r="D34" s="293"/>
      <c r="E34" s="25">
        <v>0</v>
      </c>
      <c r="F34" s="25">
        <v>0</v>
      </c>
      <c r="G34" s="25">
        <v>0</v>
      </c>
      <c r="H34" s="25">
        <v>0</v>
      </c>
      <c r="I34" s="25">
        <v>0</v>
      </c>
      <c r="J34" s="25">
        <v>0</v>
      </c>
      <c r="K34" s="25">
        <v>0</v>
      </c>
      <c r="L34" s="25">
        <v>0</v>
      </c>
      <c r="M34" s="27">
        <v>0</v>
      </c>
    </row>
    <row r="35" spans="1:13" ht="15.75" customHeight="1">
      <c r="A35" s="292" t="str">
        <f>InputB!$A35</f>
        <v>Col (7)</v>
      </c>
      <c r="B35" s="78" t="str">
        <f>InputB!$B35</f>
        <v>Item 4</v>
      </c>
      <c r="C35" s="290" t="s">
        <v>388</v>
      </c>
      <c r="D35" s="293"/>
      <c r="E35" s="25">
        <v>0</v>
      </c>
      <c r="F35" s="25">
        <v>0</v>
      </c>
      <c r="G35" s="25">
        <v>0</v>
      </c>
      <c r="H35" s="25">
        <v>0</v>
      </c>
      <c r="I35" s="25">
        <v>0</v>
      </c>
      <c r="J35" s="25">
        <v>0</v>
      </c>
      <c r="K35" s="25">
        <v>0</v>
      </c>
      <c r="L35" s="25">
        <v>0</v>
      </c>
      <c r="M35" s="27">
        <v>0</v>
      </c>
    </row>
    <row r="36" spans="1:13" ht="15.75" customHeight="1">
      <c r="A36" s="289">
        <f>InputB!$A$36</f>
      </c>
      <c r="B36" s="78"/>
      <c r="C36" s="35"/>
      <c r="D36" s="35"/>
      <c r="E36" s="94"/>
      <c r="F36" s="94"/>
      <c r="G36" s="94"/>
      <c r="H36" s="94"/>
      <c r="I36" s="94"/>
      <c r="J36" s="94"/>
      <c r="K36" s="94"/>
      <c r="L36" s="94"/>
      <c r="M36" s="95"/>
    </row>
    <row r="37" spans="1:13" ht="15.75" customHeight="1">
      <c r="A37" s="291" t="str">
        <f>InputB!$A37</f>
        <v>Direct Unpaid ALAE (Case +Bulk/IBNR)</v>
      </c>
      <c r="B37" s="78"/>
      <c r="C37" s="35"/>
      <c r="D37" s="35"/>
      <c r="E37" s="94"/>
      <c r="F37" s="94"/>
      <c r="G37" s="94"/>
      <c r="H37" s="94"/>
      <c r="I37" s="94"/>
      <c r="J37" s="94"/>
      <c r="K37" s="94"/>
      <c r="L37" s="94"/>
      <c r="M37" s="95"/>
    </row>
    <row r="38" spans="1:13" ht="15.75" customHeight="1">
      <c r="A38" s="292" t="str">
        <f>InputB!$A38</f>
        <v>Col (10)</v>
      </c>
      <c r="B38" s="78" t="str">
        <f>InputB!$B38</f>
        <v>Item 1</v>
      </c>
      <c r="C38" s="293" t="str">
        <f>InputB!$C38</f>
        <v>Total from the Annual Statement</v>
      </c>
      <c r="D38" s="293"/>
      <c r="E38" s="25">
        <v>0</v>
      </c>
      <c r="F38" s="25">
        <v>0</v>
      </c>
      <c r="G38" s="25">
        <v>0</v>
      </c>
      <c r="H38" s="25">
        <v>0</v>
      </c>
      <c r="I38" s="25">
        <v>0</v>
      </c>
      <c r="J38" s="25">
        <v>0</v>
      </c>
      <c r="K38" s="25">
        <v>0</v>
      </c>
      <c r="L38" s="25">
        <v>0</v>
      </c>
      <c r="M38" s="27">
        <v>0</v>
      </c>
    </row>
    <row r="39" spans="1:13" ht="15.75" customHeight="1">
      <c r="A39" s="292" t="str">
        <f>InputB!$A39</f>
        <v>Col (10)</v>
      </c>
      <c r="B39" s="311" t="str">
        <f>InputB!$B39</f>
        <v>Item 2</v>
      </c>
      <c r="C39" s="293" t="str">
        <f>InputB!$C39</f>
        <v>Excluded Types included in Item 1</v>
      </c>
      <c r="D39" s="293"/>
      <c r="E39" s="25">
        <v>0</v>
      </c>
      <c r="F39" s="25">
        <v>0</v>
      </c>
      <c r="G39" s="25">
        <v>0</v>
      </c>
      <c r="H39" s="25">
        <v>0</v>
      </c>
      <c r="I39" s="25">
        <v>0</v>
      </c>
      <c r="J39" s="25">
        <v>0</v>
      </c>
      <c r="K39" s="25">
        <v>0</v>
      </c>
      <c r="L39" s="25">
        <v>0</v>
      </c>
      <c r="M39" s="27">
        <v>0</v>
      </c>
    </row>
    <row r="40" spans="1:13" ht="15.75" customHeight="1">
      <c r="A40" s="296"/>
      <c r="B40" s="296"/>
      <c r="C40" s="296"/>
      <c r="D40" s="296"/>
      <c r="E40" s="296"/>
      <c r="F40" s="97"/>
      <c r="G40" s="97"/>
      <c r="H40" s="97"/>
      <c r="I40" s="97"/>
      <c r="J40" s="97"/>
      <c r="K40" s="97"/>
      <c r="L40" s="94"/>
      <c r="M40" s="94"/>
    </row>
    <row r="41" spans="1:13" ht="15.75" customHeight="1" thickBot="1">
      <c r="A41" s="296"/>
      <c r="B41" s="296"/>
      <c r="C41" s="296"/>
      <c r="D41" s="296"/>
      <c r="E41" s="296"/>
      <c r="F41" s="97"/>
      <c r="G41" s="97"/>
      <c r="H41" s="97"/>
      <c r="I41" s="97"/>
      <c r="J41" s="97"/>
      <c r="K41" s="97"/>
      <c r="L41" s="94"/>
      <c r="M41" s="94"/>
    </row>
    <row r="42" spans="1:13" ht="15.75" customHeight="1" thickBot="1">
      <c r="A42" s="568" t="s">
        <v>336</v>
      </c>
      <c r="B42" s="425"/>
      <c r="C42" s="85"/>
      <c r="D42" s="319"/>
      <c r="E42" s="555"/>
      <c r="F42" s="424"/>
      <c r="G42" s="310"/>
      <c r="H42" s="310"/>
      <c r="I42" s="307"/>
      <c r="J42" s="307"/>
      <c r="K42" s="307"/>
      <c r="L42" s="307"/>
      <c r="M42" s="335"/>
    </row>
    <row r="43" spans="1:13" s="398" customFormat="1" ht="15.75" customHeight="1" thickBot="1">
      <c r="A43" s="556"/>
      <c r="B43" s="425"/>
      <c r="C43" s="85"/>
      <c r="D43" s="319"/>
      <c r="E43" s="555"/>
      <c r="F43" s="424"/>
      <c r="G43" s="310"/>
      <c r="H43" s="310"/>
      <c r="I43" s="307"/>
      <c r="J43" s="307"/>
      <c r="K43" s="307"/>
      <c r="L43" s="307"/>
      <c r="M43" s="307"/>
    </row>
    <row r="44" spans="1:13" s="398" customFormat="1" ht="15.75" customHeight="1">
      <c r="A44" s="568"/>
      <c r="B44" s="571" t="s">
        <v>52</v>
      </c>
      <c r="C44" s="382"/>
      <c r="D44" s="566" t="s">
        <v>342</v>
      </c>
      <c r="E44" s="223" t="s">
        <v>33</v>
      </c>
      <c r="F44" s="223"/>
      <c r="G44" s="223"/>
      <c r="H44" s="223"/>
      <c r="I44" s="223"/>
      <c r="J44" s="223"/>
      <c r="K44" s="223"/>
      <c r="L44" s="223"/>
      <c r="M44" s="567"/>
    </row>
    <row r="45" spans="1:13" s="398" customFormat="1" ht="15.75" customHeight="1">
      <c r="A45" s="558" t="s">
        <v>410</v>
      </c>
      <c r="D45" s="559" t="s">
        <v>191</v>
      </c>
      <c r="E45" s="177">
        <f aca="true" t="shared" si="0" ref="E45:L45">F45-1</f>
        <v>2015</v>
      </c>
      <c r="F45" s="177">
        <f t="shared" si="0"/>
        <v>2016</v>
      </c>
      <c r="G45" s="177">
        <f t="shared" si="0"/>
        <v>2017</v>
      </c>
      <c r="H45" s="177">
        <f t="shared" si="0"/>
        <v>2018</v>
      </c>
      <c r="I45" s="177">
        <f t="shared" si="0"/>
        <v>2019</v>
      </c>
      <c r="J45" s="177">
        <f t="shared" si="0"/>
        <v>2020</v>
      </c>
      <c r="K45" s="177">
        <f t="shared" si="0"/>
        <v>2021</v>
      </c>
      <c r="L45" s="177">
        <f t="shared" si="0"/>
        <v>2022</v>
      </c>
      <c r="M45" s="178">
        <f>ReportYear-1</f>
        <v>2023</v>
      </c>
    </row>
    <row r="46" spans="1:13" s="398" customFormat="1" ht="15.75" customHeight="1">
      <c r="A46" s="561"/>
      <c r="D46" s="322" t="s">
        <v>34</v>
      </c>
      <c r="E46" s="94">
        <v>0</v>
      </c>
      <c r="F46" s="94">
        <v>0</v>
      </c>
      <c r="G46" s="94">
        <v>0</v>
      </c>
      <c r="H46" s="94">
        <v>0</v>
      </c>
      <c r="I46" s="94">
        <v>0</v>
      </c>
      <c r="J46" s="94">
        <v>0</v>
      </c>
      <c r="K46" s="94">
        <v>0</v>
      </c>
      <c r="L46" s="94">
        <v>0</v>
      </c>
      <c r="M46" s="102">
        <v>0</v>
      </c>
    </row>
    <row r="47" spans="1:13" s="398" customFormat="1" ht="15.75" customHeight="1">
      <c r="A47" s="131"/>
      <c r="D47" s="182" t="s">
        <v>35</v>
      </c>
      <c r="E47" s="94">
        <v>0</v>
      </c>
      <c r="F47" s="94">
        <v>0</v>
      </c>
      <c r="G47" s="94">
        <v>0</v>
      </c>
      <c r="H47" s="563">
        <v>0</v>
      </c>
      <c r="I47" s="563">
        <v>0</v>
      </c>
      <c r="J47" s="563">
        <v>0</v>
      </c>
      <c r="K47" s="563">
        <v>0</v>
      </c>
      <c r="L47" s="563">
        <v>0</v>
      </c>
      <c r="M47" s="492" t="str">
        <f>InputB!$E$12</f>
        <v>XXX</v>
      </c>
    </row>
    <row r="48" spans="1:13" s="398" customFormat="1" ht="15.75" customHeight="1">
      <c r="A48" s="131"/>
      <c r="D48" s="182" t="s">
        <v>36</v>
      </c>
      <c r="E48" s="94">
        <v>0</v>
      </c>
      <c r="F48" s="94">
        <v>0</v>
      </c>
      <c r="G48" s="94">
        <v>0</v>
      </c>
      <c r="H48" s="563">
        <v>0</v>
      </c>
      <c r="I48" s="563">
        <v>0</v>
      </c>
      <c r="J48" s="563">
        <v>0</v>
      </c>
      <c r="K48" s="563">
        <v>0</v>
      </c>
      <c r="L48" s="479" t="str">
        <f>InputB!$E$12</f>
        <v>XXX</v>
      </c>
      <c r="M48" s="492" t="str">
        <f>InputB!$E$12</f>
        <v>XXX</v>
      </c>
    </row>
    <row r="49" spans="1:13" s="398" customFormat="1" ht="15.75" customHeight="1">
      <c r="A49" s="131" t="s">
        <v>331</v>
      </c>
      <c r="D49" s="322" t="s">
        <v>37</v>
      </c>
      <c r="E49" s="94">
        <v>0</v>
      </c>
      <c r="F49" s="94">
        <v>0</v>
      </c>
      <c r="G49" s="94">
        <v>0</v>
      </c>
      <c r="H49" s="563">
        <v>0</v>
      </c>
      <c r="I49" s="563">
        <v>0</v>
      </c>
      <c r="J49" s="563">
        <v>0</v>
      </c>
      <c r="K49" s="479" t="str">
        <f>InputB!$E$12</f>
        <v>XXX</v>
      </c>
      <c r="L49" s="479" t="str">
        <f>InputB!$E$12</f>
        <v>XXX</v>
      </c>
      <c r="M49" s="492" t="str">
        <f>InputB!$E$12</f>
        <v>XXX</v>
      </c>
    </row>
    <row r="50" spans="1:13" s="398" customFormat="1" ht="15.75" customHeight="1">
      <c r="A50" s="131" t="s">
        <v>332</v>
      </c>
      <c r="D50" s="322" t="s">
        <v>38</v>
      </c>
      <c r="E50" s="94">
        <v>0</v>
      </c>
      <c r="F50" s="94">
        <v>0</v>
      </c>
      <c r="G50" s="94">
        <v>0</v>
      </c>
      <c r="H50" s="563">
        <v>0</v>
      </c>
      <c r="I50" s="563">
        <v>0</v>
      </c>
      <c r="J50" s="479" t="str">
        <f>InputB!$E$12</f>
        <v>XXX</v>
      </c>
      <c r="K50" s="479" t="str">
        <f>InputB!$E$12</f>
        <v>XXX</v>
      </c>
      <c r="L50" s="479" t="str">
        <f>InputB!$E$12</f>
        <v>XXX</v>
      </c>
      <c r="M50" s="492" t="str">
        <f>InputB!$E$12</f>
        <v>XXX</v>
      </c>
    </row>
    <row r="51" spans="1:13" s="398" customFormat="1" ht="15.75" customHeight="1">
      <c r="A51" s="131" t="s">
        <v>333</v>
      </c>
      <c r="D51" s="322" t="s">
        <v>39</v>
      </c>
      <c r="E51" s="94">
        <v>0</v>
      </c>
      <c r="F51" s="94">
        <v>0</v>
      </c>
      <c r="G51" s="94">
        <v>0</v>
      </c>
      <c r="H51" s="563">
        <v>0</v>
      </c>
      <c r="I51" s="479" t="str">
        <f>InputB!$E$12</f>
        <v>XXX</v>
      </c>
      <c r="J51" s="479" t="str">
        <f>InputB!$E$12</f>
        <v>XXX</v>
      </c>
      <c r="K51" s="479" t="str">
        <f>InputB!$E$12</f>
        <v>XXX</v>
      </c>
      <c r="L51" s="479" t="str">
        <f>InputB!$E$12</f>
        <v>XXX</v>
      </c>
      <c r="M51" s="492" t="str">
        <f>InputB!$E$12</f>
        <v>XXX</v>
      </c>
    </row>
    <row r="52" spans="1:13" s="398" customFormat="1" ht="15.75" customHeight="1">
      <c r="A52" s="561"/>
      <c r="D52" s="322" t="s">
        <v>40</v>
      </c>
      <c r="E52" s="94">
        <v>0</v>
      </c>
      <c r="F52" s="94">
        <v>0</v>
      </c>
      <c r="G52" s="94">
        <v>0</v>
      </c>
      <c r="H52" s="479" t="str">
        <f>InputB!$E$12</f>
        <v>XXX</v>
      </c>
      <c r="I52" s="479" t="str">
        <f>InputB!$E$12</f>
        <v>XXX</v>
      </c>
      <c r="J52" s="479" t="str">
        <f>InputB!$E$12</f>
        <v>XXX</v>
      </c>
      <c r="K52" s="479" t="str">
        <f>InputB!$E$12</f>
        <v>XXX</v>
      </c>
      <c r="L52" s="479" t="str">
        <f>InputB!$E$12</f>
        <v>XXX</v>
      </c>
      <c r="M52" s="492" t="str">
        <f>InputB!$E$12</f>
        <v>XXX</v>
      </c>
    </row>
    <row r="53" spans="1:13" s="398" customFormat="1" ht="15.75" customHeight="1" thickBot="1">
      <c r="A53" s="562"/>
      <c r="B53" s="379"/>
      <c r="C53" s="379"/>
      <c r="D53" s="560" t="s">
        <v>354</v>
      </c>
      <c r="E53" s="393">
        <v>0</v>
      </c>
      <c r="F53" s="393">
        <v>0</v>
      </c>
      <c r="G53" s="572" t="str">
        <f>InputB!$E$12</f>
        <v>XXX</v>
      </c>
      <c r="H53" s="572" t="str">
        <f>InputB!$E$12</f>
        <v>XXX</v>
      </c>
      <c r="I53" s="572" t="str">
        <f>InputB!$E$12</f>
        <v>XXX</v>
      </c>
      <c r="J53" s="572" t="str">
        <f>InputB!$E$12</f>
        <v>XXX</v>
      </c>
      <c r="K53" s="572" t="str">
        <f>InputB!$E$12</f>
        <v>XXX</v>
      </c>
      <c r="L53" s="572" t="str">
        <f>InputB!$E$12</f>
        <v>XXX</v>
      </c>
      <c r="M53" s="573" t="str">
        <f>InputB!$E$12</f>
        <v>XXX</v>
      </c>
    </row>
    <row r="54" spans="1:13" ht="15.75" customHeight="1" thickBot="1">
      <c r="A54" s="127"/>
      <c r="B54" s="127"/>
      <c r="C54" s="127"/>
      <c r="D54" s="35"/>
      <c r="E54" s="127"/>
      <c r="F54" s="127"/>
      <c r="G54" s="127"/>
      <c r="H54" s="127"/>
      <c r="I54" s="39"/>
      <c r="J54" s="39"/>
      <c r="K54" s="39"/>
      <c r="L54" s="39"/>
      <c r="M54" s="39"/>
    </row>
    <row r="55" spans="1:13" s="398" customFormat="1" ht="15.75" customHeight="1">
      <c r="A55" s="568"/>
      <c r="B55" s="571"/>
      <c r="C55" s="382"/>
      <c r="D55" s="566"/>
      <c r="E55" s="200"/>
      <c r="F55" s="200"/>
      <c r="G55" s="200"/>
      <c r="H55" s="200"/>
      <c r="I55" s="200"/>
      <c r="J55" s="200"/>
      <c r="K55" s="200"/>
      <c r="L55" s="200"/>
      <c r="M55" s="201"/>
    </row>
    <row r="56" spans="1:13" s="398" customFormat="1" ht="15.75" customHeight="1">
      <c r="A56" s="558"/>
      <c r="D56" s="559"/>
      <c r="E56" s="177"/>
      <c r="F56" s="177"/>
      <c r="G56" s="177"/>
      <c r="H56" s="177"/>
      <c r="I56" s="177"/>
      <c r="J56" s="177"/>
      <c r="K56" s="177"/>
      <c r="L56" s="177"/>
      <c r="M56" s="178"/>
    </row>
    <row r="57" spans="1:13" s="398" customFormat="1" ht="15.75" customHeight="1">
      <c r="A57" s="561"/>
      <c r="D57" s="322"/>
      <c r="E57" s="94"/>
      <c r="F57" s="94"/>
      <c r="G57" s="94"/>
      <c r="H57" s="94"/>
      <c r="I57" s="94"/>
      <c r="J57" s="94"/>
      <c r="K57" s="94"/>
      <c r="L57" s="94"/>
      <c r="M57" s="102"/>
    </row>
    <row r="58" spans="1:13" s="398" customFormat="1" ht="15.75" customHeight="1">
      <c r="A58" s="131"/>
      <c r="D58" s="182"/>
      <c r="E58" s="94"/>
      <c r="F58" s="94"/>
      <c r="G58" s="94"/>
      <c r="H58" s="563"/>
      <c r="I58" s="563"/>
      <c r="J58" s="563"/>
      <c r="K58" s="563"/>
      <c r="L58" s="563"/>
      <c r="M58" s="564"/>
    </row>
    <row r="59" spans="1:13" s="398" customFormat="1" ht="15.75" customHeight="1">
      <c r="A59" s="131"/>
      <c r="D59" s="182"/>
      <c r="E59" s="94"/>
      <c r="F59" s="94"/>
      <c r="G59" s="94"/>
      <c r="H59" s="563"/>
      <c r="I59" s="563"/>
      <c r="J59" s="563"/>
      <c r="K59" s="563"/>
      <c r="L59" s="479"/>
      <c r="M59" s="492"/>
    </row>
    <row r="60" spans="1:13" s="398" customFormat="1" ht="15.75" customHeight="1">
      <c r="A60" s="131"/>
      <c r="D60" s="322"/>
      <c r="E60" s="94"/>
      <c r="F60" s="94"/>
      <c r="G60" s="94"/>
      <c r="H60" s="563"/>
      <c r="I60" s="563"/>
      <c r="J60" s="563"/>
      <c r="K60" s="479"/>
      <c r="L60" s="479"/>
      <c r="M60" s="492"/>
    </row>
    <row r="61" spans="1:13" s="398" customFormat="1" ht="15.75" customHeight="1">
      <c r="A61" s="131"/>
      <c r="D61" s="322"/>
      <c r="E61" s="94"/>
      <c r="F61" s="94"/>
      <c r="G61" s="94"/>
      <c r="H61" s="563"/>
      <c r="I61" s="563"/>
      <c r="J61" s="479"/>
      <c r="K61" s="479"/>
      <c r="L61" s="479"/>
      <c r="M61" s="492"/>
    </row>
    <row r="62" spans="1:13" s="398" customFormat="1" ht="15.75" customHeight="1">
      <c r="A62" s="131"/>
      <c r="D62" s="322"/>
      <c r="E62" s="94"/>
      <c r="F62" s="94"/>
      <c r="G62" s="94"/>
      <c r="H62" s="563"/>
      <c r="I62" s="479"/>
      <c r="J62" s="479"/>
      <c r="K62" s="479"/>
      <c r="L62" s="479"/>
      <c r="M62" s="492"/>
    </row>
    <row r="63" spans="1:13" s="398" customFormat="1" ht="15.75" customHeight="1">
      <c r="A63" s="561"/>
      <c r="D63" s="322"/>
      <c r="E63" s="94"/>
      <c r="F63" s="94"/>
      <c r="G63" s="94"/>
      <c r="H63" s="479"/>
      <c r="I63" s="479"/>
      <c r="J63" s="479"/>
      <c r="K63" s="479"/>
      <c r="L63" s="479"/>
      <c r="M63" s="492"/>
    </row>
    <row r="64" spans="1:13" s="398" customFormat="1" ht="15.75" customHeight="1" thickBot="1">
      <c r="A64" s="562"/>
      <c r="B64" s="379"/>
      <c r="C64" s="379"/>
      <c r="D64" s="560"/>
      <c r="E64" s="393"/>
      <c r="F64" s="393"/>
      <c r="G64" s="572"/>
      <c r="H64" s="572"/>
      <c r="I64" s="572"/>
      <c r="J64" s="572"/>
      <c r="K64" s="572"/>
      <c r="L64" s="572"/>
      <c r="M64" s="573"/>
    </row>
    <row r="65" spans="1:13" ht="15.75" customHeight="1" thickBot="1">
      <c r="A65" s="311"/>
      <c r="B65" s="293"/>
      <c r="C65" s="35"/>
      <c r="D65" s="35"/>
      <c r="E65" s="312"/>
      <c r="F65" s="312"/>
      <c r="G65" s="312"/>
      <c r="H65" s="39"/>
      <c r="I65" s="39"/>
      <c r="J65" s="39"/>
      <c r="K65" s="39"/>
      <c r="L65" s="39"/>
      <c r="M65" s="39"/>
    </row>
    <row r="66" spans="1:13" ht="15.75" customHeight="1">
      <c r="A66" s="318"/>
      <c r="B66" s="556" t="s">
        <v>53</v>
      </c>
      <c r="C66" s="85"/>
      <c r="D66" s="566" t="s">
        <v>342</v>
      </c>
      <c r="E66" s="382"/>
      <c r="F66" s="319" t="str">
        <f>InputB!$F66</f>
        <v>Tail Factor (99 months-ultimate)</v>
      </c>
      <c r="G66" s="606">
        <v>1</v>
      </c>
      <c r="H66" s="594" t="s">
        <v>102</v>
      </c>
      <c r="I66" s="334"/>
      <c r="J66" s="98"/>
      <c r="K66" s="98"/>
      <c r="L66" s="98"/>
      <c r="M66" s="99"/>
    </row>
    <row r="67" spans="1:13" ht="15.75" customHeight="1" thickBot="1">
      <c r="A67" s="601"/>
      <c r="B67" s="602"/>
      <c r="C67" s="36"/>
      <c r="D67" s="598"/>
      <c r="E67" s="379"/>
      <c r="F67" s="603"/>
      <c r="G67" s="607"/>
      <c r="H67" s="599"/>
      <c r="I67" s="276"/>
      <c r="J67" s="597"/>
      <c r="K67" s="597"/>
      <c r="L67" s="597"/>
      <c r="M67" s="600"/>
    </row>
    <row r="68" spans="1:13" ht="15.75" customHeight="1" thickBot="1">
      <c r="A68" s="127"/>
      <c r="B68" s="127"/>
      <c r="C68" s="127"/>
      <c r="D68" s="35"/>
      <c r="E68" s="127"/>
      <c r="F68" s="127"/>
      <c r="G68" s="127"/>
      <c r="H68" s="127"/>
      <c r="I68" s="39"/>
      <c r="J68" s="39"/>
      <c r="K68" s="39"/>
      <c r="L68" s="39"/>
      <c r="M68" s="39"/>
    </row>
    <row r="69" spans="1:13" ht="15.75" customHeight="1">
      <c r="A69" s="297"/>
      <c r="B69" s="556" t="s">
        <v>56</v>
      </c>
      <c r="C69" s="471"/>
      <c r="D69" s="298"/>
      <c r="E69" s="98"/>
      <c r="F69" s="98"/>
      <c r="G69" s="98"/>
      <c r="H69" s="98"/>
      <c r="I69" s="98"/>
      <c r="J69" s="98"/>
      <c r="K69" s="98"/>
      <c r="L69" s="98"/>
      <c r="M69" s="99"/>
    </row>
    <row r="70" spans="1:13" ht="15.75" customHeight="1">
      <c r="A70" s="333" t="s">
        <v>337</v>
      </c>
      <c r="B70" s="35"/>
      <c r="C70" s="35"/>
      <c r="D70" s="35"/>
      <c r="E70" s="100" t="str">
        <f>InputB!$E$70</f>
        <v>Calendar Year</v>
      </c>
      <c r="F70" s="100"/>
      <c r="G70" s="100"/>
      <c r="H70" s="100"/>
      <c r="I70" s="100"/>
      <c r="J70" s="100"/>
      <c r="K70" s="100"/>
      <c r="L70" s="100"/>
      <c r="M70" s="101"/>
    </row>
    <row r="71" spans="1:13" ht="15.75" customHeight="1">
      <c r="A71" s="381" t="s">
        <v>382</v>
      </c>
      <c r="B71" s="127"/>
      <c r="C71" s="127"/>
      <c r="D71" s="472" t="s">
        <v>338</v>
      </c>
      <c r="E71" s="283">
        <f>ReportYear-1</f>
        <v>2023</v>
      </c>
      <c r="F71" s="283">
        <f>ReportYear-2</f>
        <v>2022</v>
      </c>
      <c r="G71" s="283">
        <f>ReportYear-3</f>
        <v>2021</v>
      </c>
      <c r="H71" s="283">
        <f>ReportYear-4</f>
        <v>2020</v>
      </c>
      <c r="I71" s="283">
        <f>ReportYear-5</f>
        <v>2019</v>
      </c>
      <c r="J71" s="283">
        <f>ReportYear-6</f>
        <v>2018</v>
      </c>
      <c r="K71" s="283">
        <f>ReportYear-7</f>
        <v>2017</v>
      </c>
      <c r="L71" s="283">
        <f>ReportYear-8</f>
        <v>2016</v>
      </c>
      <c r="M71" s="301">
        <f>ReportYear-9</f>
        <v>2015</v>
      </c>
    </row>
    <row r="72" spans="1:13" ht="15.75" customHeight="1">
      <c r="A72" s="317" t="s">
        <v>118</v>
      </c>
      <c r="B72" s="293" t="s">
        <v>339</v>
      </c>
      <c r="C72" s="295"/>
      <c r="D72" s="295"/>
      <c r="E72" s="35">
        <f>InputB!E72</f>
        <v>0</v>
      </c>
      <c r="F72" s="35">
        <f>InputB!F72</f>
        <v>0</v>
      </c>
      <c r="G72" s="35">
        <f>InputB!G72</f>
        <v>0</v>
      </c>
      <c r="H72" s="35">
        <f>InputB!H72</f>
        <v>0</v>
      </c>
      <c r="I72" s="35">
        <f>InputB!I72</f>
        <v>0</v>
      </c>
      <c r="J72" s="41">
        <f>InputB!J72</f>
        <v>0</v>
      </c>
      <c r="K72" s="41">
        <f>InputB!K72</f>
        <v>0</v>
      </c>
      <c r="L72" s="41">
        <f>InputB!L72</f>
        <v>0</v>
      </c>
      <c r="M72" s="80">
        <f>InputB!M72</f>
        <v>0</v>
      </c>
    </row>
    <row r="73" spans="1:13" ht="15.75" customHeight="1">
      <c r="A73" s="302" t="s">
        <v>119</v>
      </c>
      <c r="B73" s="344" t="s">
        <v>340</v>
      </c>
      <c r="C73" s="285"/>
      <c r="D73" s="41"/>
      <c r="E73" s="41">
        <f>InputB!E73</f>
        <v>0</v>
      </c>
      <c r="F73" s="41">
        <f>InputB!F73</f>
        <v>0</v>
      </c>
      <c r="G73" s="41">
        <f>InputB!G73</f>
        <v>0</v>
      </c>
      <c r="H73" s="41">
        <f>InputB!H73</f>
        <v>0</v>
      </c>
      <c r="I73" s="41">
        <f>InputB!I73</f>
        <v>0</v>
      </c>
      <c r="J73" s="41">
        <f>InputB!J73</f>
        <v>0</v>
      </c>
      <c r="K73" s="41">
        <f>InputB!K73</f>
        <v>0</v>
      </c>
      <c r="L73" s="41">
        <f>InputB!L73</f>
        <v>0</v>
      </c>
      <c r="M73" s="80">
        <f>InputB!M73</f>
        <v>0</v>
      </c>
    </row>
    <row r="74" spans="1:13" ht="15.75" customHeight="1" thickBot="1">
      <c r="A74" s="304" t="s">
        <v>121</v>
      </c>
      <c r="B74" s="569" t="s">
        <v>341</v>
      </c>
      <c r="C74" s="350"/>
      <c r="D74" s="130"/>
      <c r="E74" s="130">
        <f>InputB!E74</f>
        <v>0</v>
      </c>
      <c r="F74" s="130">
        <f>InputB!F74</f>
        <v>0</v>
      </c>
      <c r="G74" s="130">
        <f>InputB!G74</f>
        <v>0</v>
      </c>
      <c r="H74" s="130">
        <f>InputB!H74</f>
        <v>0</v>
      </c>
      <c r="I74" s="130">
        <f>InputB!I74</f>
        <v>0</v>
      </c>
      <c r="J74" s="130">
        <f>InputB!J74</f>
        <v>0</v>
      </c>
      <c r="K74" s="130">
        <f>InputB!K74</f>
        <v>0</v>
      </c>
      <c r="L74" s="130">
        <f>InputB!L74</f>
        <v>0</v>
      </c>
      <c r="M74" s="474">
        <f>InputB!M74</f>
        <v>0</v>
      </c>
    </row>
    <row r="75" spans="1:13" ht="15.75" customHeight="1">
      <c r="A75" s="305"/>
      <c r="B75" s="470"/>
      <c r="C75" s="329"/>
      <c r="D75" s="308"/>
      <c r="E75" s="309"/>
      <c r="F75" s="309"/>
      <c r="G75" s="309"/>
      <c r="H75" s="309"/>
      <c r="I75" s="309"/>
      <c r="J75" s="310"/>
      <c r="K75" s="310"/>
      <c r="L75" s="310"/>
      <c r="M75" s="310"/>
    </row>
    <row r="76" spans="1:13" s="15" customFormat="1" ht="15.75" customHeight="1" thickBot="1">
      <c r="A76" s="246"/>
      <c r="B76" s="246"/>
      <c r="C76" s="246"/>
      <c r="D76" s="246"/>
      <c r="E76" s="246"/>
      <c r="F76" s="246"/>
      <c r="G76" s="246"/>
      <c r="H76" s="246"/>
      <c r="I76" s="246"/>
      <c r="J76" s="246"/>
      <c r="K76" s="246"/>
      <c r="L76" s="41"/>
      <c r="M76" s="41"/>
    </row>
    <row r="77" spans="1:13" ht="15.75" customHeight="1">
      <c r="A77" s="297" t="str">
        <f>InputB!$A$77</f>
        <v>Exhibit 3</v>
      </c>
      <c r="B77" s="313"/>
      <c r="C77" s="298"/>
      <c r="D77" s="298"/>
      <c r="E77" s="314" t="str">
        <f>InputB!$E$77</f>
        <v>Calendar Year</v>
      </c>
      <c r="F77" s="314"/>
      <c r="G77" s="314"/>
      <c r="H77" s="314"/>
      <c r="I77" s="314"/>
      <c r="J77" s="314"/>
      <c r="K77" s="314"/>
      <c r="L77" s="314"/>
      <c r="M77" s="315"/>
    </row>
    <row r="78" spans="1:13" ht="15.75" customHeight="1">
      <c r="A78" s="340" t="str">
        <f>A70</f>
        <v>Source: Countrywide Insurance Expense Exhibit (IEE) Part 3</v>
      </c>
      <c r="B78" s="360"/>
      <c r="C78" s="353"/>
      <c r="D78" s="41"/>
      <c r="E78" s="283">
        <f>ReportYear-1</f>
        <v>2023</v>
      </c>
      <c r="F78" s="283">
        <f>ReportYear-2</f>
        <v>2022</v>
      </c>
      <c r="G78" s="283">
        <f>ReportYear-3</f>
        <v>2021</v>
      </c>
      <c r="H78" s="283">
        <f>ReportYear-4</f>
        <v>2020</v>
      </c>
      <c r="I78" s="283">
        <f>ReportYear-5</f>
        <v>2019</v>
      </c>
      <c r="J78" s="283">
        <f>ReportYear-6</f>
        <v>2018</v>
      </c>
      <c r="K78" s="283">
        <f>ReportYear-7</f>
        <v>2017</v>
      </c>
      <c r="L78" s="283">
        <f>ReportYear-8</f>
        <v>2016</v>
      </c>
      <c r="M78" s="301">
        <f>ReportYear-9</f>
        <v>2015</v>
      </c>
    </row>
    <row r="79" spans="1:13" ht="15.75" customHeight="1">
      <c r="A79" s="381" t="str">
        <f>A71</f>
        <v>   Line 19.1 (except Item 9)</v>
      </c>
      <c r="B79" s="127"/>
      <c r="C79" s="127"/>
      <c r="D79" s="472" t="s">
        <v>338</v>
      </c>
      <c r="E79" s="103"/>
      <c r="F79" s="103"/>
      <c r="G79" s="103"/>
      <c r="H79" s="103"/>
      <c r="I79" s="103"/>
      <c r="J79" s="103"/>
      <c r="K79" s="103"/>
      <c r="L79" s="127"/>
      <c r="M79" s="316"/>
    </row>
    <row r="80" spans="1:13" ht="15.75" customHeight="1">
      <c r="A80" s="317" t="str">
        <f>InputB!$A80</f>
        <v>Col (1)</v>
      </c>
      <c r="B80" s="78" t="str">
        <f>InputB!$B80</f>
        <v>Item 1</v>
      </c>
      <c r="C80" s="35" t="str">
        <f>InputB!$C80</f>
        <v>Direct Written Premium - CW</v>
      </c>
      <c r="D80" s="35"/>
      <c r="E80" s="25">
        <v>0</v>
      </c>
      <c r="F80" s="25">
        <v>0</v>
      </c>
      <c r="G80" s="25">
        <v>0</v>
      </c>
      <c r="H80" s="25">
        <v>0</v>
      </c>
      <c r="I80" s="25">
        <v>0</v>
      </c>
      <c r="J80" s="25">
        <v>0</v>
      </c>
      <c r="K80" s="25">
        <v>0</v>
      </c>
      <c r="L80" s="39" t="str">
        <f>InputB!$E$12</f>
        <v>XXX</v>
      </c>
      <c r="M80" s="287" t="str">
        <f>InputB!$E$12</f>
        <v>XXX</v>
      </c>
    </row>
    <row r="81" spans="1:13" ht="15.75" customHeight="1">
      <c r="A81" s="317" t="str">
        <f>InputB!$A81</f>
        <v>Col (1)</v>
      </c>
      <c r="B81" s="78" t="str">
        <f>InputB!$B81</f>
        <v>Item 2</v>
      </c>
      <c r="C81" s="35" t="str">
        <f>InputB!$C81</f>
        <v>Direct Earned Premium - CW</v>
      </c>
      <c r="D81" s="35"/>
      <c r="E81" s="25">
        <v>0</v>
      </c>
      <c r="F81" s="25">
        <v>0</v>
      </c>
      <c r="G81" s="25">
        <v>0</v>
      </c>
      <c r="H81" s="25">
        <v>0</v>
      </c>
      <c r="I81" s="25">
        <v>0</v>
      </c>
      <c r="J81" s="25">
        <v>0</v>
      </c>
      <c r="K81" s="25">
        <v>0</v>
      </c>
      <c r="L81" s="39" t="str">
        <f>InputB!$E$12</f>
        <v>XXX</v>
      </c>
      <c r="M81" s="40" t="str">
        <f>InputB!$E$12</f>
        <v>XXX</v>
      </c>
    </row>
    <row r="82" spans="1:13" ht="15.75" customHeight="1">
      <c r="A82" s="317" t="str">
        <f>InputB!$A82</f>
        <v>Col (1)</v>
      </c>
      <c r="B82" s="78" t="str">
        <f>InputB!$B82</f>
        <v>Item 3</v>
      </c>
      <c r="C82" s="35" t="str">
        <f>InputB!$C82</f>
        <v>Direct Other Acquisition Expense - CW</v>
      </c>
      <c r="D82" s="35"/>
      <c r="E82" s="25">
        <v>0</v>
      </c>
      <c r="F82" s="25">
        <v>0</v>
      </c>
      <c r="G82" s="25">
        <v>0</v>
      </c>
      <c r="H82" s="25">
        <v>0</v>
      </c>
      <c r="I82" s="25">
        <v>0</v>
      </c>
      <c r="J82" s="25">
        <v>0</v>
      </c>
      <c r="K82" s="25">
        <v>0</v>
      </c>
      <c r="L82" s="39" t="str">
        <f>InputB!$E$12</f>
        <v>XXX</v>
      </c>
      <c r="M82" s="40" t="str">
        <f>InputB!$E$12</f>
        <v>XXX</v>
      </c>
    </row>
    <row r="83" spans="1:13" ht="15.75" customHeight="1">
      <c r="A83" s="317" t="str">
        <f>InputB!$A83</f>
        <v>Col (1)</v>
      </c>
      <c r="B83" s="78" t="str">
        <f>InputB!$B83</f>
        <v>Item 4</v>
      </c>
      <c r="C83" s="35" t="str">
        <f>InputB!$C83</f>
        <v>Direct General Expense - CW</v>
      </c>
      <c r="D83" s="35"/>
      <c r="E83" s="25">
        <v>0</v>
      </c>
      <c r="F83" s="25">
        <v>0</v>
      </c>
      <c r="G83" s="25">
        <v>0</v>
      </c>
      <c r="H83" s="25">
        <v>0</v>
      </c>
      <c r="I83" s="25">
        <v>0</v>
      </c>
      <c r="J83" s="25">
        <v>0</v>
      </c>
      <c r="K83" s="25">
        <v>0</v>
      </c>
      <c r="L83" s="39" t="str">
        <f>InputB!$E$12</f>
        <v>XXX</v>
      </c>
      <c r="M83" s="40" t="str">
        <f>InputB!$E$12</f>
        <v>XXX</v>
      </c>
    </row>
    <row r="84" spans="1:13" ht="15.75" customHeight="1">
      <c r="A84" s="317" t="str">
        <f>InputB!$A84</f>
        <v>Col (1)</v>
      </c>
      <c r="B84" s="78" t="str">
        <f>InputB!$B84</f>
        <v>Item 5</v>
      </c>
      <c r="C84" s="35" t="str">
        <f>InputB!$C84</f>
        <v>Direct Commission &amp; Brokerage - CW</v>
      </c>
      <c r="D84" s="35"/>
      <c r="E84" s="25">
        <v>0</v>
      </c>
      <c r="F84" s="25">
        <v>0</v>
      </c>
      <c r="G84" s="25">
        <v>0</v>
      </c>
      <c r="H84" s="25">
        <v>0</v>
      </c>
      <c r="I84" s="25">
        <v>0</v>
      </c>
      <c r="J84" s="25">
        <v>0</v>
      </c>
      <c r="K84" s="25">
        <v>0</v>
      </c>
      <c r="L84" s="39" t="str">
        <f>InputB!$E$12</f>
        <v>XXX</v>
      </c>
      <c r="M84" s="40" t="str">
        <f>InputB!$E$12</f>
        <v>XXX</v>
      </c>
    </row>
    <row r="85" spans="1:13" ht="15.75" customHeight="1">
      <c r="A85" s="317" t="str">
        <f>InputB!$A85</f>
        <v>Col (1)</v>
      </c>
      <c r="B85" s="78" t="str">
        <f>InputB!$B85</f>
        <v>Item 7</v>
      </c>
      <c r="C85" s="35" t="str">
        <f>InputB!$C85</f>
        <v>Direct Taxes, Licenses &amp; Fees - CW</v>
      </c>
      <c r="D85" s="35"/>
      <c r="E85" s="25">
        <v>0</v>
      </c>
      <c r="F85" s="25">
        <v>0</v>
      </c>
      <c r="G85" s="25">
        <v>0</v>
      </c>
      <c r="H85" s="25">
        <v>0</v>
      </c>
      <c r="I85" s="25">
        <v>0</v>
      </c>
      <c r="J85" s="25">
        <v>0</v>
      </c>
      <c r="K85" s="25">
        <v>0</v>
      </c>
      <c r="L85" s="39" t="str">
        <f>InputB!$E$12</f>
        <v>XXX</v>
      </c>
      <c r="M85" s="40" t="str">
        <f>InputB!$E$12</f>
        <v>XXX</v>
      </c>
    </row>
    <row r="86" spans="1:13" ht="15.75" customHeight="1">
      <c r="A86" s="317" t="str">
        <f>InputB!$A86</f>
        <v>Col (1)</v>
      </c>
      <c r="B86" s="78" t="str">
        <f>InputB!$B86</f>
        <v>Item 9</v>
      </c>
      <c r="C86" s="35" t="str">
        <f>InputB!$C86</f>
        <v>Net Catastrophe Reinsurance Exp. - CW</v>
      </c>
      <c r="D86" s="35"/>
      <c r="E86" s="25">
        <v>0</v>
      </c>
      <c r="F86" s="25">
        <v>0</v>
      </c>
      <c r="G86" s="25">
        <v>0</v>
      </c>
      <c r="H86" s="25">
        <v>0</v>
      </c>
      <c r="I86" s="25">
        <v>0</v>
      </c>
      <c r="J86" s="25">
        <v>0</v>
      </c>
      <c r="K86" s="25">
        <v>0</v>
      </c>
      <c r="L86" s="39" t="str">
        <f>InputB!$E$12</f>
        <v>XXX</v>
      </c>
      <c r="M86" s="40" t="str">
        <f>InputB!$E$12</f>
        <v>XXX</v>
      </c>
    </row>
    <row r="87" spans="1:13" ht="15.75" customHeight="1">
      <c r="A87" s="289"/>
      <c r="B87" s="35"/>
      <c r="C87" s="35"/>
      <c r="D87" s="35"/>
      <c r="E87" s="183"/>
      <c r="F87" s="183"/>
      <c r="G87" s="183"/>
      <c r="H87" s="94"/>
      <c r="I87" s="39"/>
      <c r="J87" s="39"/>
      <c r="K87" s="39"/>
      <c r="L87" s="39"/>
      <c r="M87" s="40"/>
    </row>
    <row r="88" spans="1:13" ht="15.75" customHeight="1">
      <c r="A88" s="340" t="s">
        <v>380</v>
      </c>
      <c r="B88" s="35"/>
      <c r="C88" s="35"/>
      <c r="D88" s="35"/>
      <c r="E88" s="183"/>
      <c r="F88" s="183"/>
      <c r="G88" s="183"/>
      <c r="H88" s="94"/>
      <c r="I88" s="39"/>
      <c r="J88" s="39"/>
      <c r="K88" s="39"/>
      <c r="L88" s="39"/>
      <c r="M88" s="40"/>
    </row>
    <row r="89" spans="1:13" ht="15.75" customHeight="1">
      <c r="A89" s="317" t="str">
        <f>InputB!$A89</f>
        <v>Col (3)</v>
      </c>
      <c r="B89" s="78" t="str">
        <f>InputB!$B89</f>
        <v>Item 5</v>
      </c>
      <c r="C89" s="35" t="str">
        <f>InputB!$C89</f>
        <v>Direct Commission &amp; Brokerage - NJ</v>
      </c>
      <c r="D89" s="35"/>
      <c r="E89" s="25">
        <v>0</v>
      </c>
      <c r="F89" s="25">
        <v>0</v>
      </c>
      <c r="G89" s="25">
        <v>0</v>
      </c>
      <c r="H89" s="25">
        <v>0</v>
      </c>
      <c r="I89" s="25">
        <v>0</v>
      </c>
      <c r="J89" s="25">
        <v>0</v>
      </c>
      <c r="K89" s="25">
        <v>0</v>
      </c>
      <c r="L89" s="39" t="str">
        <f>InputB!$E$12</f>
        <v>XXX</v>
      </c>
      <c r="M89" s="40" t="str">
        <f>InputB!$E$12</f>
        <v>XXX</v>
      </c>
    </row>
    <row r="90" spans="1:13" ht="15.75" customHeight="1">
      <c r="A90" s="317" t="str">
        <f>InputB!$A90</f>
        <v>Col (3)</v>
      </c>
      <c r="B90" s="78" t="str">
        <f>InputB!$B90</f>
        <v>Item 7</v>
      </c>
      <c r="C90" s="35" t="str">
        <f>InputB!$C90</f>
        <v>Direct Taxes, Licenses &amp; Fees - NJ</v>
      </c>
      <c r="D90" s="35"/>
      <c r="E90" s="25">
        <v>0</v>
      </c>
      <c r="F90" s="25">
        <v>0</v>
      </c>
      <c r="G90" s="25">
        <v>0</v>
      </c>
      <c r="H90" s="25">
        <v>0</v>
      </c>
      <c r="I90" s="25">
        <v>0</v>
      </c>
      <c r="J90" s="25">
        <v>0</v>
      </c>
      <c r="K90" s="25">
        <v>0</v>
      </c>
      <c r="L90" s="39" t="str">
        <f>InputB!$E$12</f>
        <v>XXX</v>
      </c>
      <c r="M90" s="40" t="str">
        <f>InputB!$E$12</f>
        <v>XXX</v>
      </c>
    </row>
    <row r="91" spans="1:13" ht="15.75" customHeight="1">
      <c r="A91" s="317" t="str">
        <f>InputB!$A91</f>
        <v>Col (3)</v>
      </c>
      <c r="B91" s="78" t="str">
        <f>InputB!$B91</f>
        <v>Item 9</v>
      </c>
      <c r="C91" s="35" t="str">
        <f>InputB!$C91</f>
        <v>Net Catastrophe Reinsurance Exp. - NJ</v>
      </c>
      <c r="D91" s="35"/>
      <c r="E91" s="25">
        <v>0</v>
      </c>
      <c r="F91" s="25">
        <v>0</v>
      </c>
      <c r="G91" s="25">
        <v>0</v>
      </c>
      <c r="H91" s="25">
        <v>0</v>
      </c>
      <c r="I91" s="25">
        <v>0</v>
      </c>
      <c r="J91" s="25">
        <v>0</v>
      </c>
      <c r="K91" s="25">
        <v>0</v>
      </c>
      <c r="L91" s="39" t="str">
        <f>InputB!$E$12</f>
        <v>XXX</v>
      </c>
      <c r="M91" s="40" t="str">
        <f>InputB!$E$12</f>
        <v>XXX</v>
      </c>
    </row>
    <row r="92" spans="1:13" ht="15.75" customHeight="1">
      <c r="A92" s="317" t="str">
        <f>InputB!$A92</f>
        <v>Col (3)</v>
      </c>
      <c r="B92" s="78" t="str">
        <f>InputB!$B92</f>
        <v>Item 10</v>
      </c>
      <c r="C92" s="35" t="str">
        <f>InputB!$C92</f>
        <v>LAD Fees Paid - NJ</v>
      </c>
      <c r="D92" s="41"/>
      <c r="E92" s="25">
        <v>0</v>
      </c>
      <c r="F92" s="25">
        <v>0</v>
      </c>
      <c r="G92" s="25">
        <v>0</v>
      </c>
      <c r="H92" s="25">
        <v>0</v>
      </c>
      <c r="I92" s="25">
        <v>0</v>
      </c>
      <c r="J92" s="25">
        <v>0</v>
      </c>
      <c r="K92" s="25">
        <v>0</v>
      </c>
      <c r="L92" s="39" t="str">
        <f>InputB!$E$12</f>
        <v>XXX</v>
      </c>
      <c r="M92" s="40" t="str">
        <f>InputB!$E$12</f>
        <v>XXX</v>
      </c>
    </row>
    <row r="93" spans="1:13" ht="15.75" customHeight="1">
      <c r="A93" s="176"/>
      <c r="B93" s="182"/>
      <c r="C93" s="125"/>
      <c r="D93" s="41"/>
      <c r="E93" s="25"/>
      <c r="F93" s="25"/>
      <c r="G93" s="25"/>
      <c r="H93" s="39"/>
      <c r="I93" s="39"/>
      <c r="J93" s="39"/>
      <c r="K93" s="39"/>
      <c r="L93" s="39"/>
      <c r="M93" s="40"/>
    </row>
    <row r="94" spans="1:13" ht="15.75" customHeight="1">
      <c r="A94" s="176"/>
      <c r="B94" s="182"/>
      <c r="C94" s="303"/>
      <c r="D94" s="41"/>
      <c r="E94" s="33"/>
      <c r="F94" s="25"/>
      <c r="G94" s="25"/>
      <c r="H94" s="39"/>
      <c r="I94" s="39"/>
      <c r="J94" s="39"/>
      <c r="K94" s="39"/>
      <c r="L94" s="39"/>
      <c r="M94" s="40"/>
    </row>
  </sheetData>
  <sheetProtection/>
  <protectedRanges>
    <protectedRange sqref="E80:K92" name="Range11"/>
    <protectedRange sqref="G66:G67" name="Range10"/>
    <protectedRange sqref="E53:F53" name="Range9"/>
    <protectedRange sqref="E52:G52" name="Range8"/>
    <protectedRange sqref="E51:H51" name="Range7"/>
    <protectedRange sqref="E50:I50" name="Range6"/>
    <protectedRange sqref="E49:J49" name="Range5"/>
    <protectedRange sqref="E48:K48" name="Range4"/>
    <protectedRange sqref="E47:L47" name="Range3"/>
    <protectedRange sqref="E46:M46" name="Range2"/>
    <protectedRange sqref="E10:M39" name="Range1"/>
  </protectedRanges>
  <printOptions headings="1"/>
  <pageMargins left="0.5" right="0.5" top="0.5" bottom="0.5" header="0.5" footer="0.5"/>
  <pageSetup horizontalDpi="600" verticalDpi="600" orientation="landscape" scale="48" r:id="rId1"/>
  <headerFooter alignWithMargins="0">
    <oddFooter>&amp;L&amp;D&amp;RPage &amp;P of &amp;N</oddFooter>
  </headerFooter>
  <rowBreaks count="2" manualBreakCount="2">
    <brk id="41" max="12" man="1"/>
    <brk id="76" max="255" man="1"/>
  </rowBreaks>
</worksheet>
</file>

<file path=xl/worksheets/sheet20.xml><?xml version="1.0" encoding="utf-8"?>
<worksheet xmlns="http://schemas.openxmlformats.org/spreadsheetml/2006/main" xmlns:r="http://schemas.openxmlformats.org/officeDocument/2006/relationships">
  <sheetPr codeName="Sheet17" transitionEvaluation="1">
    <pageSetUpPr fitToPage="1"/>
  </sheetPr>
  <dimension ref="A1:I29"/>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157</v>
      </c>
    </row>
    <row r="2" spans="1:9" ht="15.75" customHeight="1">
      <c r="A2" s="140" t="str">
        <f>InputB!$A$2</f>
        <v>Group NAIC #:</v>
      </c>
      <c r="B2" s="137" t="str">
        <f>InputB!$C$2</f>
        <v>enter group # here</v>
      </c>
      <c r="C2"/>
      <c r="D2"/>
      <c r="E2"/>
      <c r="F2"/>
      <c r="G2"/>
      <c r="H2"/>
      <c r="I2" s="138" t="s">
        <v>363</v>
      </c>
    </row>
    <row r="3" spans="1:8" ht="15.75" customHeight="1">
      <c r="A3" s="197" t="str">
        <f>InputB!$A$3</f>
        <v>Year Filed:</v>
      </c>
      <c r="B3" s="141">
        <f>InputB!$C$3</f>
        <v>2024</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f>Exh5B!$B6</f>
      </c>
      <c r="C6" s="227">
        <f>ReportYear-7</f>
        <v>2017</v>
      </c>
      <c r="D6" s="227">
        <f>ReportYear-6</f>
        <v>2018</v>
      </c>
      <c r="E6" s="227">
        <f>ReportYear-5</f>
        <v>2019</v>
      </c>
      <c r="F6" s="227">
        <f>ReportYear-4</f>
        <v>2020</v>
      </c>
      <c r="G6" s="227">
        <f>ReportYear-3</f>
        <v>2021</v>
      </c>
      <c r="H6" s="227">
        <f>ReportYear-2</f>
        <v>2022</v>
      </c>
      <c r="I6" s="228">
        <f>ReportYear-1</f>
        <v>2023</v>
      </c>
    </row>
    <row r="7" spans="1:9" ht="15.75" customHeight="1">
      <c r="A7" s="187" t="str">
        <f>Exh5B!$A7</f>
        <v>Item 1</v>
      </c>
      <c r="B7" s="204" t="str">
        <f>InputTOTAL!$C$39</f>
        <v>Agents Balances</v>
      </c>
      <c r="C7" s="47">
        <f>InputTOTAL!$K$39</f>
        <v>0</v>
      </c>
      <c r="D7" s="47">
        <f>InputTOTAL!$J$39</f>
        <v>0</v>
      </c>
      <c r="E7" s="47">
        <f>InputTOTAL!$I$39</f>
        <v>0</v>
      </c>
      <c r="F7" s="47">
        <f>InputTOTAL!$H$39</f>
        <v>0</v>
      </c>
      <c r="G7" s="47">
        <f>InputTOTAL!$G$39</f>
        <v>0</v>
      </c>
      <c r="H7" s="47">
        <f>InputTOTAL!$F$39</f>
        <v>0</v>
      </c>
      <c r="I7" s="48">
        <f>InputTOTAL!$E$39</f>
        <v>0</v>
      </c>
    </row>
    <row r="8" spans="1:9" ht="15.75" customHeight="1">
      <c r="A8" s="187" t="str">
        <f>Exh5B!$A8</f>
        <v>Item 2</v>
      </c>
      <c r="B8" s="204" t="str">
        <f>InputTOTAL!$C$40</f>
        <v>Unearned Premium Reserve</v>
      </c>
      <c r="C8" s="47">
        <f>InputTOTAL!$K$40</f>
        <v>0</v>
      </c>
      <c r="D8" s="47">
        <f>InputTOTAL!$J$40</f>
        <v>0</v>
      </c>
      <c r="E8" s="47">
        <f>InputTOTAL!$I$40</f>
        <v>0</v>
      </c>
      <c r="F8" s="47">
        <f>InputTOTAL!$H$40</f>
        <v>0</v>
      </c>
      <c r="G8" s="47">
        <f>InputTOTAL!$G$40</f>
        <v>0</v>
      </c>
      <c r="H8" s="47">
        <f>InputTOTAL!$F$40</f>
        <v>0</v>
      </c>
      <c r="I8" s="48">
        <f>InputTOTAL!$E$40</f>
        <v>0</v>
      </c>
    </row>
    <row r="9" spans="1:9" ht="15.75" customHeight="1">
      <c r="A9" s="187" t="str">
        <f>Exh5B!$A9</f>
        <v>Item 3</v>
      </c>
      <c r="B9" s="194" t="str">
        <f>"Agents Balance Ratio ["&amp;A7&amp;" / "&amp;A8&amp;"]"</f>
        <v>Agents Balance Ratio [Item 1 / Item 2]</v>
      </c>
      <c r="C9" s="51">
        <f aca="true" t="shared" si="0" ref="C9:I9">IF(C8=0,0,MIN(1,C7/C8))</f>
        <v>0</v>
      </c>
      <c r="D9" s="51">
        <f t="shared" si="0"/>
        <v>0</v>
      </c>
      <c r="E9" s="51">
        <f t="shared" si="0"/>
        <v>0</v>
      </c>
      <c r="F9" s="51">
        <f t="shared" si="0"/>
        <v>0</v>
      </c>
      <c r="G9" s="51">
        <f t="shared" si="0"/>
        <v>0</v>
      </c>
      <c r="H9" s="51">
        <f t="shared" si="0"/>
        <v>0</v>
      </c>
      <c r="I9" s="52">
        <f t="shared" si="0"/>
        <v>0</v>
      </c>
    </row>
    <row r="10" spans="1:9" ht="15.75" customHeight="1">
      <c r="A10" s="187" t="str">
        <f>Exh5B!$A10</f>
        <v>Item 4</v>
      </c>
      <c r="B10" s="163" t="str">
        <f>Exh3B!$B$16&amp;" - NJ [Exhibit 4]"</f>
        <v>Direct Prepaid Expenses - NJ [Exhibit 4]</v>
      </c>
      <c r="C10" s="47">
        <f>Exh3A!$F$106</f>
        <v>0</v>
      </c>
      <c r="D10" s="47">
        <f>Exh3A!$F$91</f>
        <v>0</v>
      </c>
      <c r="E10" s="47">
        <f>Exh3A!$F$76</f>
        <v>0</v>
      </c>
      <c r="F10" s="47">
        <f>Exh3A!$F$61</f>
        <v>0</v>
      </c>
      <c r="G10" s="47">
        <f>Exh3A!$F$46</f>
        <v>0</v>
      </c>
      <c r="H10" s="47">
        <f>Exh3A!$F$31</f>
        <v>0</v>
      </c>
      <c r="I10" s="48">
        <f>Exh3A!$F$16</f>
        <v>0</v>
      </c>
    </row>
    <row r="11" spans="1:9" ht="15.75" customHeight="1">
      <c r="A11" s="187" t="str">
        <f>Exh5B!$A11</f>
        <v>Item 5</v>
      </c>
      <c r="B11" s="164" t="str">
        <f>"Direct Net Written Premium - NJ"&amp;" [Exhibit 4]"</f>
        <v>Direct Net Written Premium - NJ [Exhibit 4]</v>
      </c>
      <c r="C11" s="47">
        <f>Exh3A!$F$97</f>
        <v>0</v>
      </c>
      <c r="D11" s="47">
        <f>Exh3A!$F$82</f>
        <v>0</v>
      </c>
      <c r="E11" s="47">
        <f>Exh3A!$F$67</f>
        <v>0</v>
      </c>
      <c r="F11" s="47">
        <f>Exh3A!$F$52</f>
        <v>0</v>
      </c>
      <c r="G11" s="47">
        <f>Exh3A!$F$37</f>
        <v>0</v>
      </c>
      <c r="H11" s="47">
        <f>Exh3A!$F$22</f>
        <v>0</v>
      </c>
      <c r="I11" s="48">
        <f>Exh3A!$F$7</f>
        <v>0</v>
      </c>
    </row>
    <row r="12" spans="1:9" ht="15.75" customHeight="1">
      <c r="A12" s="187" t="str">
        <f>Exh5B!$A12</f>
        <v>Item 6</v>
      </c>
      <c r="B12" s="194" t="str">
        <f>"Prepaid Expense Ratio ["&amp;A10&amp;" / "&amp;A11&amp;"]"</f>
        <v>Prepaid Expense Ratio [Item 4 / Item 5]</v>
      </c>
      <c r="C12" s="51">
        <f aca="true" t="shared" si="1" ref="C12:I12">IF(C11=0,0,MIN(1,C10/C11))</f>
        <v>0</v>
      </c>
      <c r="D12" s="51">
        <f t="shared" si="1"/>
        <v>0</v>
      </c>
      <c r="E12" s="51">
        <f t="shared" si="1"/>
        <v>0</v>
      </c>
      <c r="F12" s="51">
        <f t="shared" si="1"/>
        <v>0</v>
      </c>
      <c r="G12" s="51">
        <f t="shared" si="1"/>
        <v>0</v>
      </c>
      <c r="H12" s="51">
        <f t="shared" si="1"/>
        <v>0</v>
      </c>
      <c r="I12" s="52">
        <f t="shared" si="1"/>
        <v>0</v>
      </c>
    </row>
    <row r="13" spans="1:9" ht="15.75" customHeight="1">
      <c r="A13" s="171" t="str">
        <f>Exh5B!$A13</f>
        <v>Item 7a</v>
      </c>
      <c r="B13" s="194" t="str">
        <f>"Direct Unearned Premium Reserve - Beginning [Exhibit 1]"</f>
        <v>Direct Unearned Premium Reserve - Beginning [Exhibit 1]</v>
      </c>
      <c r="C13" s="47">
        <f>Exh1A!$G$105</f>
        <v>0</v>
      </c>
      <c r="D13" s="47">
        <f>Exh1A!$G$93</f>
        <v>0</v>
      </c>
      <c r="E13" s="47">
        <f>Exh1A!$G$76</f>
        <v>0</v>
      </c>
      <c r="F13" s="47">
        <f>Exh1A!$G$64</f>
        <v>0</v>
      </c>
      <c r="G13" s="47">
        <f>Exh1A!$G$52</f>
        <v>0</v>
      </c>
      <c r="H13" s="47">
        <f>Exh1A!$G$35</f>
        <v>0</v>
      </c>
      <c r="I13" s="48">
        <f>Exh1A!$G$23</f>
        <v>0</v>
      </c>
    </row>
    <row r="14" spans="1:9" ht="15.75" customHeight="1">
      <c r="A14" s="171" t="str">
        <f>Exh5B!$A14</f>
        <v>Item 7b</v>
      </c>
      <c r="B14" s="194" t="str">
        <f>"Direct Unearned Premium Reserve - Ending [Exhibit 1]"</f>
        <v>Direct Unearned Premium Reserve - Ending [Exhibit 1]</v>
      </c>
      <c r="C14" s="47">
        <f aca="true" t="shared" si="2" ref="C14:H14">D13</f>
        <v>0</v>
      </c>
      <c r="D14" s="47">
        <f t="shared" si="2"/>
        <v>0</v>
      </c>
      <c r="E14" s="47">
        <f t="shared" si="2"/>
        <v>0</v>
      </c>
      <c r="F14" s="47">
        <f t="shared" si="2"/>
        <v>0</v>
      </c>
      <c r="G14" s="47">
        <f t="shared" si="2"/>
        <v>0</v>
      </c>
      <c r="H14" s="47">
        <f t="shared" si="2"/>
        <v>0</v>
      </c>
      <c r="I14" s="48">
        <f>Exh1A!$G$11</f>
        <v>0</v>
      </c>
    </row>
    <row r="15" spans="1:9" ht="15.75" customHeight="1">
      <c r="A15" s="171" t="str">
        <f>Exh5B!$A15</f>
        <v>Item 7</v>
      </c>
      <c r="B15" s="194" t="str">
        <f>"Average Unearned Premium Reserve [("&amp;A13&amp;" + "&amp;A14&amp;") / 2]"</f>
        <v>Average Unearned Premium Reserve [(Item 7a + Item 7b) / 2]</v>
      </c>
      <c r="C15" s="47">
        <f aca="true" t="shared" si="3" ref="C15:I15">(C13+C14)/2</f>
        <v>0</v>
      </c>
      <c r="D15" s="47">
        <f t="shared" si="3"/>
        <v>0</v>
      </c>
      <c r="E15" s="47">
        <f t="shared" si="3"/>
        <v>0</v>
      </c>
      <c r="F15" s="47">
        <f t="shared" si="3"/>
        <v>0</v>
      </c>
      <c r="G15" s="47">
        <f t="shared" si="3"/>
        <v>0</v>
      </c>
      <c r="H15" s="47">
        <f t="shared" si="3"/>
        <v>0</v>
      </c>
      <c r="I15" s="48">
        <f t="shared" si="3"/>
        <v>0</v>
      </c>
    </row>
    <row r="16" spans="1:9" ht="15.75" customHeight="1">
      <c r="A16" s="171" t="str">
        <f>Exh5B!$A16</f>
        <v>Item 8</v>
      </c>
      <c r="B16" s="204" t="str">
        <f>"Investable Unearned Premium ["&amp;A15&amp;" * (1 - "&amp;A9&amp;" - "&amp;A12&amp;")]"</f>
        <v>Investable Unearned Premium [Item 7 * (1 - Item 3 - Item 6)]</v>
      </c>
      <c r="C16" s="47">
        <f aca="true" t="shared" si="4" ref="C16:I16">MAX(0,C15*(1-C9-C12))</f>
        <v>0</v>
      </c>
      <c r="D16" s="47">
        <f t="shared" si="4"/>
        <v>0</v>
      </c>
      <c r="E16" s="47">
        <f t="shared" si="4"/>
        <v>0</v>
      </c>
      <c r="F16" s="47">
        <f t="shared" si="4"/>
        <v>0</v>
      </c>
      <c r="G16" s="47">
        <f t="shared" si="4"/>
        <v>0</v>
      </c>
      <c r="H16" s="47">
        <f t="shared" si="4"/>
        <v>0</v>
      </c>
      <c r="I16" s="48">
        <f t="shared" si="4"/>
        <v>0</v>
      </c>
    </row>
    <row r="17" spans="1:9" ht="15.75" customHeight="1">
      <c r="A17" s="171" t="str">
        <f>Exh5B!$A17</f>
        <v>Item 9a</v>
      </c>
      <c r="B17" s="194" t="str">
        <f>"Direct Unpaid Loss - Beginning [Exhibit 1]"</f>
        <v>Direct Unpaid Loss - Beginning [Exhibit 1]</v>
      </c>
      <c r="C17" s="507">
        <f>Exh1A!$I$105-Exh1A!$I$106</f>
        <v>0</v>
      </c>
      <c r="D17" s="507">
        <f>Exh1A!$I$93-Exh1A!$I$94</f>
        <v>0</v>
      </c>
      <c r="E17" s="507">
        <f>Exh1A!$I$76-Exh1A!$I$77</f>
        <v>0</v>
      </c>
      <c r="F17" s="507">
        <f>Exh1A!$I$64-Exh1A!$I$65</f>
        <v>0</v>
      </c>
      <c r="G17" s="507">
        <f>Exh1A!$I$52-Exh1A!$I$53</f>
        <v>0</v>
      </c>
      <c r="H17" s="507">
        <f>Exh1A!$I$35-Exh1A!$I$36</f>
        <v>0</v>
      </c>
      <c r="I17" s="508">
        <f>Exh1A!$I$23-Exh1A!$I$24</f>
        <v>0</v>
      </c>
    </row>
    <row r="18" spans="1:9" ht="15.75" customHeight="1">
      <c r="A18" s="171" t="str">
        <f>Exh5B!$A18</f>
        <v>Item 9b</v>
      </c>
      <c r="B18" s="194" t="str">
        <f>"Direct Unpaid Loss - Ending [Exhibit 1]"</f>
        <v>Direct Unpaid Loss - Ending [Exhibit 1]</v>
      </c>
      <c r="C18" s="459">
        <f aca="true" t="shared" si="5" ref="C18:H18">D17</f>
        <v>0</v>
      </c>
      <c r="D18" s="459">
        <f t="shared" si="5"/>
        <v>0</v>
      </c>
      <c r="E18" s="459">
        <f t="shared" si="5"/>
        <v>0</v>
      </c>
      <c r="F18" s="459">
        <f t="shared" si="5"/>
        <v>0</v>
      </c>
      <c r="G18" s="459">
        <f t="shared" si="5"/>
        <v>0</v>
      </c>
      <c r="H18" s="459">
        <f t="shared" si="5"/>
        <v>0</v>
      </c>
      <c r="I18" s="508">
        <f>Exh1A!$I$11-Exh1A!$I$12</f>
        <v>0</v>
      </c>
    </row>
    <row r="19" spans="1:9" ht="15.75" customHeight="1">
      <c r="A19" s="171" t="str">
        <f>Exh5B!$A19</f>
        <v>Item 9</v>
      </c>
      <c r="B19" s="194" t="str">
        <f>"Average Loss Reserve [("&amp;A17&amp;" + "&amp;A18&amp;") / 2]"</f>
        <v>Average Loss Reserve [(Item 9a + Item 9b) / 2]</v>
      </c>
      <c r="C19" s="47">
        <f aca="true" t="shared" si="6" ref="C19:I19">(C17+C18)/2</f>
        <v>0</v>
      </c>
      <c r="D19" s="47">
        <f t="shared" si="6"/>
        <v>0</v>
      </c>
      <c r="E19" s="47">
        <f t="shared" si="6"/>
        <v>0</v>
      </c>
      <c r="F19" s="47">
        <f t="shared" si="6"/>
        <v>0</v>
      </c>
      <c r="G19" s="47">
        <f t="shared" si="6"/>
        <v>0</v>
      </c>
      <c r="H19" s="47">
        <f t="shared" si="6"/>
        <v>0</v>
      </c>
      <c r="I19" s="48">
        <f t="shared" si="6"/>
        <v>0</v>
      </c>
    </row>
    <row r="20" spans="1:9" ht="15.75" customHeight="1">
      <c r="A20" s="171" t="str">
        <f>Exh5B!$A20</f>
        <v>Item 10a</v>
      </c>
      <c r="B20" s="194" t="str">
        <f>"Direct Unpaid D&amp;CCE - Beginning [Exhibit 1, Col (6), Item 3]"</f>
        <v>Direct Unpaid D&amp;CCE - Beginning [Exhibit 1, Col (6), Item 3]</v>
      </c>
      <c r="C20" s="47">
        <f>Exh1A!$J$105</f>
        <v>0</v>
      </c>
      <c r="D20" s="47">
        <f>Exh1A!$J$93</f>
        <v>0</v>
      </c>
      <c r="E20" s="47">
        <f>Exh1A!$J$76</f>
        <v>0</v>
      </c>
      <c r="F20" s="47">
        <f>Exh1A!$J$64</f>
        <v>0</v>
      </c>
      <c r="G20" s="47">
        <f>Exh1A!$J$52</f>
        <v>0</v>
      </c>
      <c r="H20" s="47">
        <f>Exh1A!$J$35</f>
        <v>0</v>
      </c>
      <c r="I20" s="48">
        <f>Exh1A!$J$23</f>
        <v>0</v>
      </c>
    </row>
    <row r="21" spans="1:9" ht="15.75" customHeight="1">
      <c r="A21" s="171" t="str">
        <f>Exh5B!$A21</f>
        <v>Item 10b</v>
      </c>
      <c r="B21" s="194" t="str">
        <f>"Direct Unpaid D&amp;CCE - Ending [Exhibit 1, Col (6), Item 3]"</f>
        <v>Direct Unpaid D&amp;CCE - Ending [Exhibit 1, Col (6), Item 3]</v>
      </c>
      <c r="C21" s="47">
        <f aca="true" t="shared" si="7" ref="C21:H21">D20</f>
        <v>0</v>
      </c>
      <c r="D21" s="47">
        <f t="shared" si="7"/>
        <v>0</v>
      </c>
      <c r="E21" s="47">
        <f t="shared" si="7"/>
        <v>0</v>
      </c>
      <c r="F21" s="47">
        <f t="shared" si="7"/>
        <v>0</v>
      </c>
      <c r="G21" s="47">
        <f t="shared" si="7"/>
        <v>0</v>
      </c>
      <c r="H21" s="47">
        <f t="shared" si="7"/>
        <v>0</v>
      </c>
      <c r="I21" s="48">
        <f>Exh1A!$J$11</f>
        <v>0</v>
      </c>
    </row>
    <row r="22" spans="1:9" ht="15.75" customHeight="1">
      <c r="A22" s="171" t="str">
        <f>Exh5B!$A22</f>
        <v>Item 10</v>
      </c>
      <c r="B22" s="194" t="str">
        <f>"Average D&amp;CCE Reserve [("&amp;A20&amp;" + "&amp;A21&amp;") / 2]"</f>
        <v>Average D&amp;CCE Reserve [(Item 10a + Item 10b) / 2]</v>
      </c>
      <c r="C22" s="47">
        <f aca="true" t="shared" si="8" ref="C22:I22">(C20+C21)/2</f>
        <v>0</v>
      </c>
      <c r="D22" s="47">
        <f t="shared" si="8"/>
        <v>0</v>
      </c>
      <c r="E22" s="47">
        <f t="shared" si="8"/>
        <v>0</v>
      </c>
      <c r="F22" s="47">
        <f t="shared" si="8"/>
        <v>0</v>
      </c>
      <c r="G22" s="47">
        <f t="shared" si="8"/>
        <v>0</v>
      </c>
      <c r="H22" s="47">
        <f t="shared" si="8"/>
        <v>0</v>
      </c>
      <c r="I22" s="48">
        <f t="shared" si="8"/>
        <v>0</v>
      </c>
    </row>
    <row r="23" spans="1:9" ht="15.75" customHeight="1">
      <c r="A23" s="187" t="str">
        <f>Exh5B!$A23</f>
        <v>Item 11</v>
      </c>
      <c r="B23" s="235" t="s">
        <v>392</v>
      </c>
      <c r="C23" s="77">
        <f>Exh2A!$K$39</f>
        <v>1.05</v>
      </c>
      <c r="D23" s="77">
        <f>Exh2A!$K$38</f>
        <v>1.05</v>
      </c>
      <c r="E23" s="77">
        <f>Exh2A!$K$37</f>
        <v>1.05</v>
      </c>
      <c r="F23" s="77">
        <f>Exh2A!$K$36</f>
        <v>1.05</v>
      </c>
      <c r="G23" s="77">
        <f>Exh2A!$K$35</f>
        <v>1.05</v>
      </c>
      <c r="H23" s="77">
        <f>Exh2A!$K$34</f>
        <v>1.05</v>
      </c>
      <c r="I23" s="76">
        <f>Exh2A!$K$33</f>
        <v>1.05</v>
      </c>
    </row>
    <row r="24" spans="1:9" ht="15.75" customHeight="1">
      <c r="A24" s="171" t="str">
        <f>Exh5B!$A24</f>
        <v>Item 12</v>
      </c>
      <c r="B24" s="204" t="str">
        <f>"Average Loss + LAE Reserve [("&amp;A19&amp;" + "&amp;A22&amp;") * "&amp;A23&amp;"]"</f>
        <v>Average Loss + LAE Reserve [(Item 9 + Item 10) * Item 11]</v>
      </c>
      <c r="C24" s="53">
        <f aca="true" t="shared" si="9" ref="C24:I24">(C19+C22)*C23</f>
        <v>0</v>
      </c>
      <c r="D24" s="53">
        <f t="shared" si="9"/>
        <v>0</v>
      </c>
      <c r="E24" s="53">
        <f t="shared" si="9"/>
        <v>0</v>
      </c>
      <c r="F24" s="53">
        <f t="shared" si="9"/>
        <v>0</v>
      </c>
      <c r="G24" s="53">
        <f t="shared" si="9"/>
        <v>0</v>
      </c>
      <c r="H24" s="53">
        <f t="shared" si="9"/>
        <v>0</v>
      </c>
      <c r="I24" s="54">
        <f t="shared" si="9"/>
        <v>0</v>
      </c>
    </row>
    <row r="25" spans="1:9" ht="15.75" customHeight="1">
      <c r="A25" s="171" t="str">
        <f>Exh5B!$A25</f>
        <v>Item 13</v>
      </c>
      <c r="B25" s="194" t="str">
        <f>"Total Reserve ["&amp;A16&amp;" + "&amp;A24&amp;"]"</f>
        <v>Total Reserve [Item 8 + Item 12]</v>
      </c>
      <c r="C25" s="47">
        <f aca="true" t="shared" si="10" ref="C25:I25">C16+C24</f>
        <v>0</v>
      </c>
      <c r="D25" s="47">
        <f t="shared" si="10"/>
        <v>0</v>
      </c>
      <c r="E25" s="47">
        <f t="shared" si="10"/>
        <v>0</v>
      </c>
      <c r="F25" s="47">
        <f t="shared" si="10"/>
        <v>0</v>
      </c>
      <c r="G25" s="47">
        <f t="shared" si="10"/>
        <v>0</v>
      </c>
      <c r="H25" s="47">
        <f t="shared" si="10"/>
        <v>0</v>
      </c>
      <c r="I25" s="48">
        <f t="shared" si="10"/>
        <v>0</v>
      </c>
    </row>
    <row r="26" spans="1:9" ht="15.75" customHeight="1">
      <c r="A26" s="171" t="str">
        <f>Exh5B!$A26</f>
        <v>Item 14</v>
      </c>
      <c r="B26" s="235" t="s">
        <v>365</v>
      </c>
      <c r="C26" s="56">
        <f aca="true" t="shared" si="11" ref="C26:I26">RateOfReturnPreTaxTOTAL</f>
        <v>0</v>
      </c>
      <c r="D26" s="56">
        <f t="shared" si="11"/>
        <v>0</v>
      </c>
      <c r="E26" s="56">
        <f t="shared" si="11"/>
        <v>0</v>
      </c>
      <c r="F26" s="56">
        <f t="shared" si="11"/>
        <v>0</v>
      </c>
      <c r="G26" s="56">
        <f t="shared" si="11"/>
        <v>0</v>
      </c>
      <c r="H26" s="56">
        <f t="shared" si="11"/>
        <v>0</v>
      </c>
      <c r="I26" s="57">
        <f t="shared" si="11"/>
        <v>0</v>
      </c>
    </row>
    <row r="27" spans="1:9" ht="15.75" customHeight="1" thickBot="1">
      <c r="A27" s="233" t="str">
        <f>Exh5B!$A27</f>
        <v>Item 15</v>
      </c>
      <c r="B27" s="217" t="str">
        <f>"Actual Investment Income Earned ["&amp;A25&amp;" * "&amp;A26&amp;"]"</f>
        <v>Actual Investment Income Earned [Item 13 * Item 14]</v>
      </c>
      <c r="C27" s="49">
        <f aca="true" t="shared" si="12" ref="C27:I27">C25*C26</f>
        <v>0</v>
      </c>
      <c r="D27" s="49">
        <f t="shared" si="12"/>
        <v>0</v>
      </c>
      <c r="E27" s="49">
        <f t="shared" si="12"/>
        <v>0</v>
      </c>
      <c r="F27" s="49">
        <f t="shared" si="12"/>
        <v>0</v>
      </c>
      <c r="G27" s="49">
        <f t="shared" si="12"/>
        <v>0</v>
      </c>
      <c r="H27" s="49">
        <f t="shared" si="12"/>
        <v>0</v>
      </c>
      <c r="I27" s="50">
        <f t="shared" si="12"/>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4" r:id="rId1"/>
  <headerFooter alignWithMargins="0">
    <oddFooter>&amp;L&amp;D&amp;RPage &amp;P of &amp;N</oddFooter>
  </headerFooter>
</worksheet>
</file>

<file path=xl/worksheets/sheet21.xml><?xml version="1.0" encoding="utf-8"?>
<worksheet xmlns="http://schemas.openxmlformats.org/spreadsheetml/2006/main" xmlns:r="http://schemas.openxmlformats.org/officeDocument/2006/relationships">
  <sheetPr codeName="Sheet6" transitionEvaluation="1">
    <pageSetUpPr fitToPage="1"/>
  </sheetPr>
  <dimension ref="A1:I29"/>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158</v>
      </c>
    </row>
    <row r="2" spans="1:9" ht="15.75" customHeight="1">
      <c r="A2" s="140" t="str">
        <f>InputB!$A$2</f>
        <v>Group NAIC #:</v>
      </c>
      <c r="B2" s="137" t="str">
        <f>InputB!$C$2</f>
        <v>enter group # here</v>
      </c>
      <c r="C2"/>
      <c r="D2"/>
      <c r="E2"/>
      <c r="F2"/>
      <c r="G2"/>
      <c r="H2"/>
      <c r="I2" s="138" t="s">
        <v>362</v>
      </c>
    </row>
    <row r="3" spans="1:8" ht="15.75" customHeight="1">
      <c r="A3" s="197" t="str">
        <f>InputB!$A$3</f>
        <v>Year Filed:</v>
      </c>
      <c r="B3" s="141">
        <f>InputB!$C$3</f>
        <v>2024</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t="s">
        <v>59</v>
      </c>
      <c r="C6" s="227">
        <f>ReportYear-7</f>
        <v>2017</v>
      </c>
      <c r="D6" s="227">
        <f>ReportYear-6</f>
        <v>2018</v>
      </c>
      <c r="E6" s="227">
        <f>ReportYear-5</f>
        <v>2019</v>
      </c>
      <c r="F6" s="227">
        <f>ReportYear-4</f>
        <v>2020</v>
      </c>
      <c r="G6" s="227">
        <f>ReportYear-3</f>
        <v>2021</v>
      </c>
      <c r="H6" s="227">
        <f>ReportYear-2</f>
        <v>2022</v>
      </c>
      <c r="I6" s="228">
        <f>ReportYear-1</f>
        <v>2023</v>
      </c>
    </row>
    <row r="7" spans="1:9" ht="15.75" customHeight="1">
      <c r="A7" s="187" t="s">
        <v>6</v>
      </c>
      <c r="B7" s="204" t="str">
        <f>Exh5A!B7</f>
        <v>Agents Balances</v>
      </c>
      <c r="C7" s="47">
        <f>InputTOTAL!$K$39</f>
        <v>0</v>
      </c>
      <c r="D7" s="47">
        <f>InputTOTAL!$J$39</f>
        <v>0</v>
      </c>
      <c r="E7" s="47">
        <f>InputTOTAL!$I$39</f>
        <v>0</v>
      </c>
      <c r="F7" s="47">
        <f>InputTOTAL!$H$39</f>
        <v>0</v>
      </c>
      <c r="G7" s="47">
        <f>InputTOTAL!$G$39</f>
        <v>0</v>
      </c>
      <c r="H7" s="47">
        <f>InputTOTAL!$F$39</f>
        <v>0</v>
      </c>
      <c r="I7" s="48">
        <f>InputTOTAL!$E$39</f>
        <v>0</v>
      </c>
    </row>
    <row r="8" spans="1:9" ht="15.75" customHeight="1">
      <c r="A8" s="187" t="s">
        <v>1</v>
      </c>
      <c r="B8" s="204" t="str">
        <f>Exh5A!B8</f>
        <v>Unearned Premium Reserve</v>
      </c>
      <c r="C8" s="47">
        <f>InputTOTAL!$K$40</f>
        <v>0</v>
      </c>
      <c r="D8" s="47">
        <f>InputTOTAL!$J$40</f>
        <v>0</v>
      </c>
      <c r="E8" s="47">
        <f>InputTOTAL!$I$40</f>
        <v>0</v>
      </c>
      <c r="F8" s="47">
        <f>InputTOTAL!$H$40</f>
        <v>0</v>
      </c>
      <c r="G8" s="47">
        <f>InputTOTAL!$G$40</f>
        <v>0</v>
      </c>
      <c r="H8" s="47">
        <f>InputTOTAL!$F$40</f>
        <v>0</v>
      </c>
      <c r="I8" s="48">
        <f>InputTOTAL!$E$40</f>
        <v>0</v>
      </c>
    </row>
    <row r="9" spans="1:9" ht="15.75" customHeight="1">
      <c r="A9" s="187" t="s">
        <v>2</v>
      </c>
      <c r="B9" s="194" t="str">
        <f>Exh5A!B9</f>
        <v>Agents Balance Ratio [Item 1 / Item 2]</v>
      </c>
      <c r="C9" s="51">
        <f aca="true" t="shared" si="0" ref="C9:I9">IF(C8=0,0,MIN(1,C7/C8))</f>
        <v>0</v>
      </c>
      <c r="D9" s="51">
        <f t="shared" si="0"/>
        <v>0</v>
      </c>
      <c r="E9" s="51">
        <f t="shared" si="0"/>
        <v>0</v>
      </c>
      <c r="F9" s="51">
        <f t="shared" si="0"/>
        <v>0</v>
      </c>
      <c r="G9" s="51">
        <f t="shared" si="0"/>
        <v>0</v>
      </c>
      <c r="H9" s="51">
        <f t="shared" si="0"/>
        <v>0</v>
      </c>
      <c r="I9" s="52">
        <f t="shared" si="0"/>
        <v>0</v>
      </c>
    </row>
    <row r="10" spans="1:9" ht="15.75" customHeight="1">
      <c r="A10" s="187" t="s">
        <v>7</v>
      </c>
      <c r="B10" s="163" t="str">
        <f>Exh5A!B10</f>
        <v>Direct Prepaid Expenses - NJ [Exhibit 4]</v>
      </c>
      <c r="C10" s="47">
        <f>Exh3B!$F$106</f>
        <v>0</v>
      </c>
      <c r="D10" s="47">
        <f>Exh3B!$F$91</f>
        <v>0</v>
      </c>
      <c r="E10" s="47">
        <f>Exh3B!$F$76</f>
        <v>0</v>
      </c>
      <c r="F10" s="47">
        <f>Exh3B!$F$61</f>
        <v>0</v>
      </c>
      <c r="G10" s="47">
        <f>Exh3B!$F$46</f>
        <v>0</v>
      </c>
      <c r="H10" s="47">
        <f>Exh3B!$F$31</f>
        <v>0</v>
      </c>
      <c r="I10" s="48">
        <f>Exh3B!$F$16</f>
        <v>0</v>
      </c>
    </row>
    <row r="11" spans="1:9" ht="15.75" customHeight="1">
      <c r="A11" s="187" t="s">
        <v>3</v>
      </c>
      <c r="B11" s="164" t="str">
        <f>Exh5A!B11</f>
        <v>Direct Net Written Premium - NJ [Exhibit 4]</v>
      </c>
      <c r="C11" s="47">
        <f>Exh3B!$F$97</f>
        <v>0</v>
      </c>
      <c r="D11" s="47">
        <f>Exh3B!$F$82</f>
        <v>0</v>
      </c>
      <c r="E11" s="47">
        <f>Exh3B!$F$67</f>
        <v>0</v>
      </c>
      <c r="F11" s="47">
        <f>Exh3B!$F$52</f>
        <v>0</v>
      </c>
      <c r="G11" s="47">
        <f>Exh3B!$F$37</f>
        <v>0</v>
      </c>
      <c r="H11" s="47">
        <f>Exh3B!$F$22</f>
        <v>0</v>
      </c>
      <c r="I11" s="48">
        <f>Exh3B!$F$7</f>
        <v>0</v>
      </c>
    </row>
    <row r="12" spans="1:9" ht="15.75" customHeight="1">
      <c r="A12" s="187" t="s">
        <v>4</v>
      </c>
      <c r="B12" s="194" t="str">
        <f>Exh5A!B12</f>
        <v>Prepaid Expense Ratio [Item 4 / Item 5]</v>
      </c>
      <c r="C12" s="51">
        <f aca="true" t="shared" si="1" ref="C12:I12">IF(C11=0,0,MIN(1,C10/C11))</f>
        <v>0</v>
      </c>
      <c r="D12" s="51">
        <f t="shared" si="1"/>
        <v>0</v>
      </c>
      <c r="E12" s="51">
        <f t="shared" si="1"/>
        <v>0</v>
      </c>
      <c r="F12" s="51">
        <f t="shared" si="1"/>
        <v>0</v>
      </c>
      <c r="G12" s="51">
        <f t="shared" si="1"/>
        <v>0</v>
      </c>
      <c r="H12" s="51">
        <f t="shared" si="1"/>
        <v>0</v>
      </c>
      <c r="I12" s="52">
        <f t="shared" si="1"/>
        <v>0</v>
      </c>
    </row>
    <row r="13" spans="1:9" ht="15.75" customHeight="1">
      <c r="A13" s="171" t="s">
        <v>71</v>
      </c>
      <c r="B13" s="194" t="str">
        <f>Exh5A!B13</f>
        <v>Direct Unearned Premium Reserve - Beginning [Exhibit 1]</v>
      </c>
      <c r="C13" s="47">
        <f>Exh1B!$G$105</f>
        <v>0</v>
      </c>
      <c r="D13" s="47">
        <f>Exh1B!$G$93</f>
        <v>0</v>
      </c>
      <c r="E13" s="47">
        <f>Exh1B!$G$76</f>
        <v>0</v>
      </c>
      <c r="F13" s="47">
        <f>Exh1B!$G$64</f>
        <v>0</v>
      </c>
      <c r="G13" s="47">
        <f>Exh1B!$G$52</f>
        <v>0</v>
      </c>
      <c r="H13" s="47">
        <f>Exh1B!$G$35</f>
        <v>0</v>
      </c>
      <c r="I13" s="48">
        <f>Exh1B!$G$23</f>
        <v>0</v>
      </c>
    </row>
    <row r="14" spans="1:9" ht="15.75" customHeight="1">
      <c r="A14" s="171" t="s">
        <v>72</v>
      </c>
      <c r="B14" s="194" t="str">
        <f>Exh5A!B14</f>
        <v>Direct Unearned Premium Reserve - Ending [Exhibit 1]</v>
      </c>
      <c r="C14" s="47">
        <f aca="true" t="shared" si="2" ref="C14:H14">D13</f>
        <v>0</v>
      </c>
      <c r="D14" s="47">
        <f t="shared" si="2"/>
        <v>0</v>
      </c>
      <c r="E14" s="47">
        <f t="shared" si="2"/>
        <v>0</v>
      </c>
      <c r="F14" s="47">
        <f t="shared" si="2"/>
        <v>0</v>
      </c>
      <c r="G14" s="47">
        <f t="shared" si="2"/>
        <v>0</v>
      </c>
      <c r="H14" s="47">
        <f t="shared" si="2"/>
        <v>0</v>
      </c>
      <c r="I14" s="48">
        <f>Exh1B!$G$11</f>
        <v>0</v>
      </c>
    </row>
    <row r="15" spans="1:9" ht="15.75" customHeight="1">
      <c r="A15" s="171" t="s">
        <v>11</v>
      </c>
      <c r="B15" s="194" t="str">
        <f>Exh5A!B15</f>
        <v>Average Unearned Premium Reserve [(Item 7a + Item 7b) / 2]</v>
      </c>
      <c r="C15" s="47">
        <f aca="true" t="shared" si="3" ref="C15:I15">(C13+C14)/2</f>
        <v>0</v>
      </c>
      <c r="D15" s="47">
        <f t="shared" si="3"/>
        <v>0</v>
      </c>
      <c r="E15" s="47">
        <f t="shared" si="3"/>
        <v>0</v>
      </c>
      <c r="F15" s="47">
        <f t="shared" si="3"/>
        <v>0</v>
      </c>
      <c r="G15" s="47">
        <f t="shared" si="3"/>
        <v>0</v>
      </c>
      <c r="H15" s="47">
        <f t="shared" si="3"/>
        <v>0</v>
      </c>
      <c r="I15" s="48">
        <f t="shared" si="3"/>
        <v>0</v>
      </c>
    </row>
    <row r="16" spans="1:9" ht="15.75" customHeight="1">
      <c r="A16" s="171" t="s">
        <v>5</v>
      </c>
      <c r="B16" s="204" t="str">
        <f>Exh5A!B16</f>
        <v>Investable Unearned Premium [Item 7 * (1 - Item 3 - Item 6)]</v>
      </c>
      <c r="C16" s="47">
        <f aca="true" t="shared" si="4" ref="C16:I16">MAX(0,C15*(1-C9-C12))</f>
        <v>0</v>
      </c>
      <c r="D16" s="47">
        <f t="shared" si="4"/>
        <v>0</v>
      </c>
      <c r="E16" s="47">
        <f t="shared" si="4"/>
        <v>0</v>
      </c>
      <c r="F16" s="47">
        <f t="shared" si="4"/>
        <v>0</v>
      </c>
      <c r="G16" s="47">
        <f t="shared" si="4"/>
        <v>0</v>
      </c>
      <c r="H16" s="47">
        <f t="shared" si="4"/>
        <v>0</v>
      </c>
      <c r="I16" s="48">
        <f t="shared" si="4"/>
        <v>0</v>
      </c>
    </row>
    <row r="17" spans="1:9" ht="15.75" customHeight="1">
      <c r="A17" s="171" t="s">
        <v>73</v>
      </c>
      <c r="B17" s="194" t="str">
        <f>Exh5A!B17</f>
        <v>Direct Unpaid Loss - Beginning [Exhibit 1]</v>
      </c>
      <c r="C17" s="47">
        <f>Exh1B!$I$105</f>
        <v>0</v>
      </c>
      <c r="D17" s="47">
        <f>Exh1B!$I$93</f>
        <v>0</v>
      </c>
      <c r="E17" s="47">
        <f>Exh1B!$I$76</f>
        <v>0</v>
      </c>
      <c r="F17" s="47">
        <f>Exh1B!$I$64</f>
        <v>0</v>
      </c>
      <c r="G17" s="47">
        <f>Exh1B!$I$52</f>
        <v>0</v>
      </c>
      <c r="H17" s="47">
        <f>Exh1B!$I$35</f>
        <v>0</v>
      </c>
      <c r="I17" s="48">
        <f>Exh1B!$I$23</f>
        <v>0</v>
      </c>
    </row>
    <row r="18" spans="1:9" ht="15.75" customHeight="1">
      <c r="A18" s="171" t="s">
        <v>74</v>
      </c>
      <c r="B18" s="194" t="str">
        <f>Exh5A!B18</f>
        <v>Direct Unpaid Loss - Ending [Exhibit 1]</v>
      </c>
      <c r="C18" s="47">
        <f aca="true" t="shared" si="5" ref="C18:H18">D17</f>
        <v>0</v>
      </c>
      <c r="D18" s="47">
        <f t="shared" si="5"/>
        <v>0</v>
      </c>
      <c r="E18" s="47">
        <f t="shared" si="5"/>
        <v>0</v>
      </c>
      <c r="F18" s="47">
        <f t="shared" si="5"/>
        <v>0</v>
      </c>
      <c r="G18" s="47">
        <f t="shared" si="5"/>
        <v>0</v>
      </c>
      <c r="H18" s="47">
        <f t="shared" si="5"/>
        <v>0</v>
      </c>
      <c r="I18" s="48">
        <f>Exh1B!$I$11</f>
        <v>0</v>
      </c>
    </row>
    <row r="19" spans="1:9" ht="15.75" customHeight="1">
      <c r="A19" s="171" t="s">
        <v>14</v>
      </c>
      <c r="B19" s="194" t="str">
        <f>Exh5A!B19</f>
        <v>Average Loss Reserve [(Item 9a + Item 9b) / 2]</v>
      </c>
      <c r="C19" s="47">
        <f aca="true" t="shared" si="6" ref="C19:I19">(C17+C18)/2</f>
        <v>0</v>
      </c>
      <c r="D19" s="47">
        <f t="shared" si="6"/>
        <v>0</v>
      </c>
      <c r="E19" s="47">
        <f t="shared" si="6"/>
        <v>0</v>
      </c>
      <c r="F19" s="47">
        <f t="shared" si="6"/>
        <v>0</v>
      </c>
      <c r="G19" s="47">
        <f t="shared" si="6"/>
        <v>0</v>
      </c>
      <c r="H19" s="47">
        <f t="shared" si="6"/>
        <v>0</v>
      </c>
      <c r="I19" s="48">
        <f t="shared" si="6"/>
        <v>0</v>
      </c>
    </row>
    <row r="20" spans="1:9" ht="15.75" customHeight="1">
      <c r="A20" s="171" t="s">
        <v>75</v>
      </c>
      <c r="B20" s="194" t="str">
        <f>Exh5A!B20</f>
        <v>Direct Unpaid D&amp;CCE - Beginning [Exhibit 1, Col (6), Item 3]</v>
      </c>
      <c r="C20" s="47">
        <f>Exh1B!$J$105</f>
        <v>0</v>
      </c>
      <c r="D20" s="47">
        <f>Exh1B!$J$93</f>
        <v>0</v>
      </c>
      <c r="E20" s="47">
        <f>Exh1B!$J$76</f>
        <v>0</v>
      </c>
      <c r="F20" s="47">
        <f>Exh1B!$J$64</f>
        <v>0</v>
      </c>
      <c r="G20" s="47">
        <f>Exh1B!$J$52</f>
        <v>0</v>
      </c>
      <c r="H20" s="47">
        <f>Exh1B!$J$35</f>
        <v>0</v>
      </c>
      <c r="I20" s="48">
        <f>Exh1B!$J$23</f>
        <v>0</v>
      </c>
    </row>
    <row r="21" spans="1:9" ht="15.75" customHeight="1">
      <c r="A21" s="171" t="s">
        <v>76</v>
      </c>
      <c r="B21" s="194" t="str">
        <f>Exh5A!B21</f>
        <v>Direct Unpaid D&amp;CCE - Ending [Exhibit 1, Col (6), Item 3]</v>
      </c>
      <c r="C21" s="47">
        <f aca="true" t="shared" si="7" ref="C21:H21">D20</f>
        <v>0</v>
      </c>
      <c r="D21" s="47">
        <f t="shared" si="7"/>
        <v>0</v>
      </c>
      <c r="E21" s="47">
        <f t="shared" si="7"/>
        <v>0</v>
      </c>
      <c r="F21" s="47">
        <f t="shared" si="7"/>
        <v>0</v>
      </c>
      <c r="G21" s="47">
        <f t="shared" si="7"/>
        <v>0</v>
      </c>
      <c r="H21" s="47">
        <f t="shared" si="7"/>
        <v>0</v>
      </c>
      <c r="I21" s="48">
        <f>Exh1B!$J$11</f>
        <v>0</v>
      </c>
    </row>
    <row r="22" spans="1:9" ht="15.75" customHeight="1">
      <c r="A22" s="171" t="s">
        <v>23</v>
      </c>
      <c r="B22" s="194" t="str">
        <f>Exh5A!B22</f>
        <v>Average D&amp;CCE Reserve [(Item 10a + Item 10b) / 2]</v>
      </c>
      <c r="C22" s="47">
        <f aca="true" t="shared" si="8" ref="C22:I22">(C20+C21)/2</f>
        <v>0</v>
      </c>
      <c r="D22" s="47">
        <f t="shared" si="8"/>
        <v>0</v>
      </c>
      <c r="E22" s="47">
        <f t="shared" si="8"/>
        <v>0</v>
      </c>
      <c r="F22" s="47">
        <f t="shared" si="8"/>
        <v>0</v>
      </c>
      <c r="G22" s="47">
        <f t="shared" si="8"/>
        <v>0</v>
      </c>
      <c r="H22" s="47">
        <f t="shared" si="8"/>
        <v>0</v>
      </c>
      <c r="I22" s="48">
        <f t="shared" si="8"/>
        <v>0</v>
      </c>
    </row>
    <row r="23" spans="1:9" ht="15.75" customHeight="1">
      <c r="A23" s="187" t="s">
        <v>24</v>
      </c>
      <c r="B23" s="235" t="str">
        <f>Exh5A!B23</f>
        <v>A&amp;OE Ratio [Exhibit 2, Part 4, Col (4]</v>
      </c>
      <c r="C23" s="77">
        <f>Exh2B1!$K$39</f>
        <v>1.05</v>
      </c>
      <c r="D23" s="77">
        <f>Exh2B1!$K$38</f>
        <v>1.05</v>
      </c>
      <c r="E23" s="77">
        <f>Exh2B1!$K$37</f>
        <v>1.05</v>
      </c>
      <c r="F23" s="77">
        <f>Exh2B1!$K$36</f>
        <v>1.05</v>
      </c>
      <c r="G23" s="77">
        <f>Exh2B1!$K$35</f>
        <v>1.05</v>
      </c>
      <c r="H23" s="77">
        <f>Exh2B1!$K$34</f>
        <v>1.05</v>
      </c>
      <c r="I23" s="76">
        <f>Exh2B1!$K$33</f>
        <v>1.05</v>
      </c>
    </row>
    <row r="24" spans="1:9" ht="15.75" customHeight="1">
      <c r="A24" s="171" t="s">
        <v>25</v>
      </c>
      <c r="B24" s="204" t="str">
        <f>Exh5A!B24</f>
        <v>Average Loss + LAE Reserve [(Item 9 + Item 10) * Item 11]</v>
      </c>
      <c r="C24" s="53">
        <f aca="true" t="shared" si="9" ref="C24:I24">(C19+C22)*C23</f>
        <v>0</v>
      </c>
      <c r="D24" s="53">
        <f t="shared" si="9"/>
        <v>0</v>
      </c>
      <c r="E24" s="53">
        <f t="shared" si="9"/>
        <v>0</v>
      </c>
      <c r="F24" s="53">
        <f t="shared" si="9"/>
        <v>0</v>
      </c>
      <c r="G24" s="53">
        <f t="shared" si="9"/>
        <v>0</v>
      </c>
      <c r="H24" s="53">
        <f t="shared" si="9"/>
        <v>0</v>
      </c>
      <c r="I24" s="54">
        <f t="shared" si="9"/>
        <v>0</v>
      </c>
    </row>
    <row r="25" spans="1:9" ht="15.75" customHeight="1">
      <c r="A25" s="171" t="s">
        <v>26</v>
      </c>
      <c r="B25" s="194" t="str">
        <f>Exh5A!B25</f>
        <v>Total Reserve [Item 8 + Item 12]</v>
      </c>
      <c r="C25" s="47">
        <f aca="true" t="shared" si="10" ref="C25:I25">C16+C24</f>
        <v>0</v>
      </c>
      <c r="D25" s="47">
        <f t="shared" si="10"/>
        <v>0</v>
      </c>
      <c r="E25" s="47">
        <f t="shared" si="10"/>
        <v>0</v>
      </c>
      <c r="F25" s="47">
        <f t="shared" si="10"/>
        <v>0</v>
      </c>
      <c r="G25" s="47">
        <f t="shared" si="10"/>
        <v>0</v>
      </c>
      <c r="H25" s="47">
        <f t="shared" si="10"/>
        <v>0</v>
      </c>
      <c r="I25" s="48">
        <f t="shared" si="10"/>
        <v>0</v>
      </c>
    </row>
    <row r="26" spans="1:9" ht="15.75" customHeight="1">
      <c r="A26" s="171" t="s">
        <v>27</v>
      </c>
      <c r="B26" s="194" t="str">
        <f>Exh5A!B26</f>
        <v>Pre-Tax Rate of Return [Exhibit 4, Item 8, 3-Yr Total]</v>
      </c>
      <c r="C26" s="56">
        <f aca="true" t="shared" si="11" ref="C26:I26">RateOfReturnPreTaxTOTAL</f>
        <v>0</v>
      </c>
      <c r="D26" s="56">
        <f t="shared" si="11"/>
        <v>0</v>
      </c>
      <c r="E26" s="56">
        <f t="shared" si="11"/>
        <v>0</v>
      </c>
      <c r="F26" s="56">
        <f t="shared" si="11"/>
        <v>0</v>
      </c>
      <c r="G26" s="56">
        <f t="shared" si="11"/>
        <v>0</v>
      </c>
      <c r="H26" s="56">
        <f t="shared" si="11"/>
        <v>0</v>
      </c>
      <c r="I26" s="57">
        <f t="shared" si="11"/>
        <v>0</v>
      </c>
    </row>
    <row r="27" spans="1:9" ht="15.75" customHeight="1" thickBot="1">
      <c r="A27" s="233" t="s">
        <v>28</v>
      </c>
      <c r="B27" s="217" t="str">
        <f>Exh5A!B27</f>
        <v>Actual Investment Income Earned [Item 13 * Item 14]</v>
      </c>
      <c r="C27" s="49">
        <f aca="true" t="shared" si="12" ref="C27:I27">C25*C26</f>
        <v>0</v>
      </c>
      <c r="D27" s="49">
        <f t="shared" si="12"/>
        <v>0</v>
      </c>
      <c r="E27" s="49">
        <f t="shared" si="12"/>
        <v>0</v>
      </c>
      <c r="F27" s="49">
        <f t="shared" si="12"/>
        <v>0</v>
      </c>
      <c r="G27" s="49">
        <f t="shared" si="12"/>
        <v>0</v>
      </c>
      <c r="H27" s="49">
        <f t="shared" si="12"/>
        <v>0</v>
      </c>
      <c r="I27" s="50">
        <f t="shared" si="12"/>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4" r:id="rId1"/>
  <headerFooter alignWithMargins="0">
    <oddFooter>&amp;L&amp;D&amp;RPage &amp;P of &amp;N</oddFooter>
  </headerFooter>
  <colBreaks count="1" manualBreakCount="1">
    <brk id="6" max="65535" man="1"/>
  </colBreaks>
</worksheet>
</file>

<file path=xl/worksheets/sheet22.xml><?xml version="1.0" encoding="utf-8"?>
<worksheet xmlns="http://schemas.openxmlformats.org/spreadsheetml/2006/main" xmlns:r="http://schemas.openxmlformats.org/officeDocument/2006/relationships">
  <sheetPr codeName="Sheet18" transitionEvaluation="1">
    <pageSetUpPr fitToPage="1"/>
  </sheetPr>
  <dimension ref="A1:I29"/>
  <sheetViews>
    <sheetView view="pageBreakPreview" zoomScale="85" zoomScaleNormal="85" zoomScaleSheetLayoutView="85" zoomScalePageLayoutView="0" workbookViewId="0" topLeftCell="A1">
      <selection activeCell="C2" sqref="C2"/>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159</v>
      </c>
    </row>
    <row r="2" spans="1:9" ht="15.75" customHeight="1">
      <c r="A2" s="140" t="str">
        <f>InputB!$A$2</f>
        <v>Group NAIC #:</v>
      </c>
      <c r="B2" s="137" t="str">
        <f>InputB!$C$2</f>
        <v>enter group # here</v>
      </c>
      <c r="C2"/>
      <c r="D2"/>
      <c r="E2"/>
      <c r="F2"/>
      <c r="G2"/>
      <c r="H2"/>
      <c r="I2" s="138" t="s">
        <v>364</v>
      </c>
    </row>
    <row r="3" spans="1:8" ht="15.75" customHeight="1">
      <c r="A3" s="197" t="str">
        <f>InputB!$A$3</f>
        <v>Year Filed:</v>
      </c>
      <c r="B3" s="141">
        <f>InputB!$C$3</f>
        <v>2024</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f>Exh5B!$B6</f>
      </c>
      <c r="C6" s="227">
        <f>ReportYear-7</f>
        <v>2017</v>
      </c>
      <c r="D6" s="227">
        <f>ReportYear-6</f>
        <v>2018</v>
      </c>
      <c r="E6" s="227">
        <f>ReportYear-5</f>
        <v>2019</v>
      </c>
      <c r="F6" s="227">
        <f>ReportYear-4</f>
        <v>2020</v>
      </c>
      <c r="G6" s="227">
        <f>ReportYear-3</f>
        <v>2021</v>
      </c>
      <c r="H6" s="227">
        <f>ReportYear-2</f>
        <v>2022</v>
      </c>
      <c r="I6" s="228">
        <f>ReportYear-1</f>
        <v>2023</v>
      </c>
    </row>
    <row r="7" spans="1:9" ht="15.75" customHeight="1">
      <c r="A7" s="187" t="str">
        <f>Exh5B!$A7</f>
        <v>Item 1</v>
      </c>
      <c r="B7" s="204" t="str">
        <f>Exh5A!B7</f>
        <v>Agents Balances</v>
      </c>
      <c r="C7" s="47">
        <f>InputTOTAL!$K$39</f>
        <v>0</v>
      </c>
      <c r="D7" s="47">
        <f>InputTOTAL!$J$39</f>
        <v>0</v>
      </c>
      <c r="E7" s="47">
        <f>InputTOTAL!$I$39</f>
        <v>0</v>
      </c>
      <c r="F7" s="47">
        <f>InputTOTAL!$H$39</f>
        <v>0</v>
      </c>
      <c r="G7" s="47">
        <f>InputTOTAL!$G$39</f>
        <v>0</v>
      </c>
      <c r="H7" s="47">
        <f>InputTOTAL!$F$39</f>
        <v>0</v>
      </c>
      <c r="I7" s="48">
        <f>InputTOTAL!$E$39</f>
        <v>0</v>
      </c>
    </row>
    <row r="8" spans="1:9" ht="15.75" customHeight="1">
      <c r="A8" s="187" t="str">
        <f>Exh5B!$A8</f>
        <v>Item 2</v>
      </c>
      <c r="B8" s="204" t="str">
        <f>Exh5A!B8</f>
        <v>Unearned Premium Reserve</v>
      </c>
      <c r="C8" s="47">
        <f>InputTOTAL!$K$40</f>
        <v>0</v>
      </c>
      <c r="D8" s="47">
        <f>InputTOTAL!$J$40</f>
        <v>0</v>
      </c>
      <c r="E8" s="47">
        <f>InputTOTAL!$I$40</f>
        <v>0</v>
      </c>
      <c r="F8" s="47">
        <f>InputTOTAL!$H$40</f>
        <v>0</v>
      </c>
      <c r="G8" s="47">
        <f>InputTOTAL!$G$40</f>
        <v>0</v>
      </c>
      <c r="H8" s="47">
        <f>InputTOTAL!$F$40</f>
        <v>0</v>
      </c>
      <c r="I8" s="48">
        <f>InputTOTAL!$E$40</f>
        <v>0</v>
      </c>
    </row>
    <row r="9" spans="1:9" ht="15.75" customHeight="1">
      <c r="A9" s="187" t="str">
        <f>Exh5B!$A9</f>
        <v>Item 3</v>
      </c>
      <c r="B9" s="194" t="str">
        <f>Exh5A!B9</f>
        <v>Agents Balance Ratio [Item 1 / Item 2]</v>
      </c>
      <c r="C9" s="51">
        <f aca="true" t="shared" si="0" ref="C9:I9">IF(C8=0,0,MIN(1,C7/C8))</f>
        <v>0</v>
      </c>
      <c r="D9" s="51">
        <f t="shared" si="0"/>
        <v>0</v>
      </c>
      <c r="E9" s="51">
        <f t="shared" si="0"/>
        <v>0</v>
      </c>
      <c r="F9" s="51">
        <f t="shared" si="0"/>
        <v>0</v>
      </c>
      <c r="G9" s="51">
        <f t="shared" si="0"/>
        <v>0</v>
      </c>
      <c r="H9" s="51">
        <f t="shared" si="0"/>
        <v>0</v>
      </c>
      <c r="I9" s="52">
        <f t="shared" si="0"/>
        <v>0</v>
      </c>
    </row>
    <row r="10" spans="1:9" ht="15.75" customHeight="1">
      <c r="A10" s="187" t="str">
        <f>Exh5B!$A10</f>
        <v>Item 4</v>
      </c>
      <c r="B10" s="163" t="str">
        <f>Exh5A!B10</f>
        <v>Direct Prepaid Expenses - NJ [Exhibit 4]</v>
      </c>
      <c r="C10" s="47">
        <f>Exh3C!$F$106</f>
        <v>0</v>
      </c>
      <c r="D10" s="47">
        <f>Exh3C!$F$91</f>
        <v>0</v>
      </c>
      <c r="E10" s="47">
        <f>Exh3C!$F$76</f>
        <v>0</v>
      </c>
      <c r="F10" s="47">
        <f>Exh3C!$F$61</f>
        <v>0</v>
      </c>
      <c r="G10" s="47">
        <f>Exh3C!$F$46</f>
        <v>0</v>
      </c>
      <c r="H10" s="47">
        <f>Exh3C!$F$31</f>
        <v>0</v>
      </c>
      <c r="I10" s="48">
        <f>Exh3C!$F$16</f>
        <v>0</v>
      </c>
    </row>
    <row r="11" spans="1:9" ht="15.75" customHeight="1">
      <c r="A11" s="187" t="str">
        <f>Exh5B!$A11</f>
        <v>Item 5</v>
      </c>
      <c r="B11" s="164" t="str">
        <f>Exh5A!B11</f>
        <v>Direct Net Written Premium - NJ [Exhibit 4]</v>
      </c>
      <c r="C11" s="47">
        <f>Exh3C!$F$97</f>
        <v>0</v>
      </c>
      <c r="D11" s="47">
        <f>Exh3C!$F$82</f>
        <v>0</v>
      </c>
      <c r="E11" s="47">
        <f>Exh3C!$F$67</f>
        <v>0</v>
      </c>
      <c r="F11" s="47">
        <f>Exh3C!$F$52</f>
        <v>0</v>
      </c>
      <c r="G11" s="47">
        <f>Exh3C!$F$37</f>
        <v>0</v>
      </c>
      <c r="H11" s="47">
        <f>Exh3C!$F$22</f>
        <v>0</v>
      </c>
      <c r="I11" s="48">
        <f>Exh3C!$F$7</f>
        <v>0</v>
      </c>
    </row>
    <row r="12" spans="1:9" ht="15.75" customHeight="1">
      <c r="A12" s="187" t="str">
        <f>Exh5B!$A12</f>
        <v>Item 6</v>
      </c>
      <c r="B12" s="194" t="str">
        <f>Exh5A!B12</f>
        <v>Prepaid Expense Ratio [Item 4 / Item 5]</v>
      </c>
      <c r="C12" s="51">
        <f aca="true" t="shared" si="1" ref="C12:I12">IF(C11=0,0,MIN(1,C10/C11))</f>
        <v>0</v>
      </c>
      <c r="D12" s="51">
        <f t="shared" si="1"/>
        <v>0</v>
      </c>
      <c r="E12" s="51">
        <f t="shared" si="1"/>
        <v>0</v>
      </c>
      <c r="F12" s="51">
        <f t="shared" si="1"/>
        <v>0</v>
      </c>
      <c r="G12" s="51">
        <f t="shared" si="1"/>
        <v>0</v>
      </c>
      <c r="H12" s="51">
        <f t="shared" si="1"/>
        <v>0</v>
      </c>
      <c r="I12" s="52">
        <f t="shared" si="1"/>
        <v>0</v>
      </c>
    </row>
    <row r="13" spans="1:9" ht="15.75" customHeight="1">
      <c r="A13" s="171" t="str">
        <f>Exh5B!$A13</f>
        <v>Item 7a</v>
      </c>
      <c r="B13" s="194" t="str">
        <f>Exh5A!B13</f>
        <v>Direct Unearned Premium Reserve - Beginning [Exhibit 1]</v>
      </c>
      <c r="C13" s="47">
        <f>Exh1C!$G$105</f>
        <v>0</v>
      </c>
      <c r="D13" s="47">
        <f>Exh1C!$G$93</f>
        <v>0</v>
      </c>
      <c r="E13" s="47">
        <f>Exh1C!$G$76</f>
        <v>0</v>
      </c>
      <c r="F13" s="47">
        <f>Exh1C!$G$64</f>
        <v>0</v>
      </c>
      <c r="G13" s="47">
        <f>Exh1C!$G$52</f>
        <v>0</v>
      </c>
      <c r="H13" s="47">
        <f>Exh1C!$G$35</f>
        <v>0</v>
      </c>
      <c r="I13" s="48">
        <f>Exh1C!$G$23</f>
        <v>0</v>
      </c>
    </row>
    <row r="14" spans="1:9" ht="15.75" customHeight="1">
      <c r="A14" s="171" t="str">
        <f>Exh5B!$A14</f>
        <v>Item 7b</v>
      </c>
      <c r="B14" s="194" t="str">
        <f>Exh5A!B14</f>
        <v>Direct Unearned Premium Reserve - Ending [Exhibit 1]</v>
      </c>
      <c r="C14" s="47">
        <f aca="true" t="shared" si="2" ref="C14:H14">D13</f>
        <v>0</v>
      </c>
      <c r="D14" s="47">
        <f t="shared" si="2"/>
        <v>0</v>
      </c>
      <c r="E14" s="47">
        <f t="shared" si="2"/>
        <v>0</v>
      </c>
      <c r="F14" s="47">
        <f t="shared" si="2"/>
        <v>0</v>
      </c>
      <c r="G14" s="47">
        <f t="shared" si="2"/>
        <v>0</v>
      </c>
      <c r="H14" s="47">
        <f t="shared" si="2"/>
        <v>0</v>
      </c>
      <c r="I14" s="48">
        <f>Exh1C!$G$11</f>
        <v>0</v>
      </c>
    </row>
    <row r="15" spans="1:9" ht="15.75" customHeight="1">
      <c r="A15" s="171" t="str">
        <f>Exh5B!$A15</f>
        <v>Item 7</v>
      </c>
      <c r="B15" s="194" t="str">
        <f>Exh5A!B15</f>
        <v>Average Unearned Premium Reserve [(Item 7a + Item 7b) / 2]</v>
      </c>
      <c r="C15" s="47">
        <f aca="true" t="shared" si="3" ref="C15:I15">(C13+C14)/2</f>
        <v>0</v>
      </c>
      <c r="D15" s="47">
        <f t="shared" si="3"/>
        <v>0</v>
      </c>
      <c r="E15" s="47">
        <f t="shared" si="3"/>
        <v>0</v>
      </c>
      <c r="F15" s="47">
        <f t="shared" si="3"/>
        <v>0</v>
      </c>
      <c r="G15" s="47">
        <f t="shared" si="3"/>
        <v>0</v>
      </c>
      <c r="H15" s="47">
        <f t="shared" si="3"/>
        <v>0</v>
      </c>
      <c r="I15" s="48">
        <f t="shared" si="3"/>
        <v>0</v>
      </c>
    </row>
    <row r="16" spans="1:9" ht="15.75" customHeight="1">
      <c r="A16" s="171" t="str">
        <f>Exh5B!$A16</f>
        <v>Item 8</v>
      </c>
      <c r="B16" s="204" t="str">
        <f>Exh5A!B16</f>
        <v>Investable Unearned Premium [Item 7 * (1 - Item 3 - Item 6)]</v>
      </c>
      <c r="C16" s="47">
        <f aca="true" t="shared" si="4" ref="C16:I16">MAX(0,C15*(1-C9-C12))</f>
        <v>0</v>
      </c>
      <c r="D16" s="47">
        <f t="shared" si="4"/>
        <v>0</v>
      </c>
      <c r="E16" s="47">
        <f t="shared" si="4"/>
        <v>0</v>
      </c>
      <c r="F16" s="47">
        <f t="shared" si="4"/>
        <v>0</v>
      </c>
      <c r="G16" s="47">
        <f t="shared" si="4"/>
        <v>0</v>
      </c>
      <c r="H16" s="47">
        <f t="shared" si="4"/>
        <v>0</v>
      </c>
      <c r="I16" s="48">
        <f t="shared" si="4"/>
        <v>0</v>
      </c>
    </row>
    <row r="17" spans="1:9" ht="15.75" customHeight="1">
      <c r="A17" s="171" t="str">
        <f>Exh5B!$A17</f>
        <v>Item 9a</v>
      </c>
      <c r="B17" s="194" t="str">
        <f>Exh5A!B17</f>
        <v>Direct Unpaid Loss - Beginning [Exhibit 1]</v>
      </c>
      <c r="C17" s="47">
        <f>Exh1C!$I$105</f>
        <v>0</v>
      </c>
      <c r="D17" s="47">
        <f>Exh1C!$I$93</f>
        <v>0</v>
      </c>
      <c r="E17" s="47">
        <f>Exh1C!$I$76</f>
        <v>0</v>
      </c>
      <c r="F17" s="47">
        <f>Exh1C!$I$64</f>
        <v>0</v>
      </c>
      <c r="G17" s="47">
        <f>Exh1C!$I$52</f>
        <v>0</v>
      </c>
      <c r="H17" s="47">
        <f>Exh1C!$I$35</f>
        <v>0</v>
      </c>
      <c r="I17" s="48">
        <f>Exh1C!$I$23</f>
        <v>0</v>
      </c>
    </row>
    <row r="18" spans="1:9" ht="15.75" customHeight="1">
      <c r="A18" s="171" t="str">
        <f>Exh5B!$A18</f>
        <v>Item 9b</v>
      </c>
      <c r="B18" s="194" t="str">
        <f>Exh5A!B18</f>
        <v>Direct Unpaid Loss - Ending [Exhibit 1]</v>
      </c>
      <c r="C18" s="47">
        <f aca="true" t="shared" si="5" ref="C18:H18">D17</f>
        <v>0</v>
      </c>
      <c r="D18" s="47">
        <f t="shared" si="5"/>
        <v>0</v>
      </c>
      <c r="E18" s="47">
        <f t="shared" si="5"/>
        <v>0</v>
      </c>
      <c r="F18" s="47">
        <f t="shared" si="5"/>
        <v>0</v>
      </c>
      <c r="G18" s="47">
        <f t="shared" si="5"/>
        <v>0</v>
      </c>
      <c r="H18" s="47">
        <f t="shared" si="5"/>
        <v>0</v>
      </c>
      <c r="I18" s="48">
        <f>Exh1C!$I$11</f>
        <v>0</v>
      </c>
    </row>
    <row r="19" spans="1:9" ht="15.75" customHeight="1">
      <c r="A19" s="171" t="str">
        <f>Exh5B!$A19</f>
        <v>Item 9</v>
      </c>
      <c r="B19" s="194" t="str">
        <f>Exh5A!B19</f>
        <v>Average Loss Reserve [(Item 9a + Item 9b) / 2]</v>
      </c>
      <c r="C19" s="47">
        <f aca="true" t="shared" si="6" ref="C19:I19">(C17+C18)/2</f>
        <v>0</v>
      </c>
      <c r="D19" s="47">
        <f t="shared" si="6"/>
        <v>0</v>
      </c>
      <c r="E19" s="47">
        <f t="shared" si="6"/>
        <v>0</v>
      </c>
      <c r="F19" s="47">
        <f t="shared" si="6"/>
        <v>0</v>
      </c>
      <c r="G19" s="47">
        <f t="shared" si="6"/>
        <v>0</v>
      </c>
      <c r="H19" s="47">
        <f t="shared" si="6"/>
        <v>0</v>
      </c>
      <c r="I19" s="48">
        <f t="shared" si="6"/>
        <v>0</v>
      </c>
    </row>
    <row r="20" spans="1:9" ht="15.75" customHeight="1">
      <c r="A20" s="171" t="str">
        <f>Exh5B!$A20</f>
        <v>Item 10a</v>
      </c>
      <c r="B20" s="194" t="str">
        <f>Exh5A!B20</f>
        <v>Direct Unpaid D&amp;CCE - Beginning [Exhibit 1, Col (6), Item 3]</v>
      </c>
      <c r="C20" s="47">
        <f>Exh1C!$J$105</f>
        <v>0</v>
      </c>
      <c r="D20" s="47">
        <f>Exh1C!$J$93</f>
        <v>0</v>
      </c>
      <c r="E20" s="47">
        <f>Exh1C!$J$76</f>
        <v>0</v>
      </c>
      <c r="F20" s="47">
        <f>Exh1C!$J$64</f>
        <v>0</v>
      </c>
      <c r="G20" s="47">
        <f>Exh1C!$J$52</f>
        <v>0</v>
      </c>
      <c r="H20" s="47">
        <f>Exh1C!$J$35</f>
        <v>0</v>
      </c>
      <c r="I20" s="48">
        <f>Exh1C!$J$23</f>
        <v>0</v>
      </c>
    </row>
    <row r="21" spans="1:9" ht="15.75" customHeight="1">
      <c r="A21" s="171" t="str">
        <f>Exh5B!$A21</f>
        <v>Item 10b</v>
      </c>
      <c r="B21" s="194" t="str">
        <f>Exh5A!B21</f>
        <v>Direct Unpaid D&amp;CCE - Ending [Exhibit 1, Col (6), Item 3]</v>
      </c>
      <c r="C21" s="47">
        <f aca="true" t="shared" si="7" ref="C21:H21">D20</f>
        <v>0</v>
      </c>
      <c r="D21" s="47">
        <f t="shared" si="7"/>
        <v>0</v>
      </c>
      <c r="E21" s="47">
        <f t="shared" si="7"/>
        <v>0</v>
      </c>
      <c r="F21" s="47">
        <f t="shared" si="7"/>
        <v>0</v>
      </c>
      <c r="G21" s="47">
        <f t="shared" si="7"/>
        <v>0</v>
      </c>
      <c r="H21" s="47">
        <f t="shared" si="7"/>
        <v>0</v>
      </c>
      <c r="I21" s="48">
        <f>Exh1C!$J$11</f>
        <v>0</v>
      </c>
    </row>
    <row r="22" spans="1:9" ht="15.75" customHeight="1">
      <c r="A22" s="171" t="str">
        <f>Exh5B!$A22</f>
        <v>Item 10</v>
      </c>
      <c r="B22" s="194" t="str">
        <f>Exh5A!B22</f>
        <v>Average D&amp;CCE Reserve [(Item 10a + Item 10b) / 2]</v>
      </c>
      <c r="C22" s="47">
        <f aca="true" t="shared" si="8" ref="C22:I22">(C20+C21)/2</f>
        <v>0</v>
      </c>
      <c r="D22" s="47">
        <f t="shared" si="8"/>
        <v>0</v>
      </c>
      <c r="E22" s="47">
        <f t="shared" si="8"/>
        <v>0</v>
      </c>
      <c r="F22" s="47">
        <f t="shared" si="8"/>
        <v>0</v>
      </c>
      <c r="G22" s="47">
        <f t="shared" si="8"/>
        <v>0</v>
      </c>
      <c r="H22" s="47">
        <f t="shared" si="8"/>
        <v>0</v>
      </c>
      <c r="I22" s="48">
        <f t="shared" si="8"/>
        <v>0</v>
      </c>
    </row>
    <row r="23" spans="1:9" ht="15.75" customHeight="1">
      <c r="A23" s="187" t="str">
        <f>Exh5B!$A23</f>
        <v>Item 11</v>
      </c>
      <c r="B23" s="235" t="str">
        <f>Exh5A!B23</f>
        <v>A&amp;OE Ratio [Exhibit 2, Part 4, Col (4]</v>
      </c>
      <c r="C23" s="77">
        <f>Exh2C!$K$39</f>
        <v>1.05</v>
      </c>
      <c r="D23" s="77">
        <f>Exh2C!$K$38</f>
        <v>1.05</v>
      </c>
      <c r="E23" s="77">
        <f>Exh2C!$K$37</f>
        <v>1.05</v>
      </c>
      <c r="F23" s="77">
        <f>Exh2C!$K$36</f>
        <v>1.05</v>
      </c>
      <c r="G23" s="77">
        <f>Exh2C!$K$35</f>
        <v>1.05</v>
      </c>
      <c r="H23" s="77">
        <f>Exh2C!$K$34</f>
        <v>1.05</v>
      </c>
      <c r="I23" s="76">
        <f>Exh2C!$K$33</f>
        <v>1.05</v>
      </c>
    </row>
    <row r="24" spans="1:9" ht="15.75" customHeight="1">
      <c r="A24" s="171" t="str">
        <f>Exh5B!$A24</f>
        <v>Item 12</v>
      </c>
      <c r="B24" s="204" t="str">
        <f>Exh5A!B24</f>
        <v>Average Loss + LAE Reserve [(Item 9 + Item 10) * Item 11]</v>
      </c>
      <c r="C24" s="53">
        <f aca="true" t="shared" si="9" ref="C24:I24">(C19+C22)*C23</f>
        <v>0</v>
      </c>
      <c r="D24" s="53">
        <f t="shared" si="9"/>
        <v>0</v>
      </c>
      <c r="E24" s="53">
        <f t="shared" si="9"/>
        <v>0</v>
      </c>
      <c r="F24" s="53">
        <f t="shared" si="9"/>
        <v>0</v>
      </c>
      <c r="G24" s="53">
        <f t="shared" si="9"/>
        <v>0</v>
      </c>
      <c r="H24" s="53">
        <f t="shared" si="9"/>
        <v>0</v>
      </c>
      <c r="I24" s="54">
        <f t="shared" si="9"/>
        <v>0</v>
      </c>
    </row>
    <row r="25" spans="1:9" ht="15.75" customHeight="1">
      <c r="A25" s="171" t="str">
        <f>Exh5B!$A25</f>
        <v>Item 13</v>
      </c>
      <c r="B25" s="194" t="str">
        <f>Exh5A!B25</f>
        <v>Total Reserve [Item 8 + Item 12]</v>
      </c>
      <c r="C25" s="47">
        <f aca="true" t="shared" si="10" ref="C25:I25">C16+C24</f>
        <v>0</v>
      </c>
      <c r="D25" s="47">
        <f t="shared" si="10"/>
        <v>0</v>
      </c>
      <c r="E25" s="47">
        <f t="shared" si="10"/>
        <v>0</v>
      </c>
      <c r="F25" s="47">
        <f t="shared" si="10"/>
        <v>0</v>
      </c>
      <c r="G25" s="47">
        <f t="shared" si="10"/>
        <v>0</v>
      </c>
      <c r="H25" s="47">
        <f t="shared" si="10"/>
        <v>0</v>
      </c>
      <c r="I25" s="48">
        <f t="shared" si="10"/>
        <v>0</v>
      </c>
    </row>
    <row r="26" spans="1:9" ht="15.75" customHeight="1">
      <c r="A26" s="171" t="str">
        <f>Exh5B!$A26</f>
        <v>Item 14</v>
      </c>
      <c r="B26" s="194" t="str">
        <f>Exh5A!B26</f>
        <v>Pre-Tax Rate of Return [Exhibit 4, Item 8, 3-Yr Total]</v>
      </c>
      <c r="C26" s="56">
        <f aca="true" t="shared" si="11" ref="C26:I26">RateOfReturnPreTaxTOTAL</f>
        <v>0</v>
      </c>
      <c r="D26" s="56">
        <f t="shared" si="11"/>
        <v>0</v>
      </c>
      <c r="E26" s="56">
        <f t="shared" si="11"/>
        <v>0</v>
      </c>
      <c r="F26" s="56">
        <f t="shared" si="11"/>
        <v>0</v>
      </c>
      <c r="G26" s="56">
        <f t="shared" si="11"/>
        <v>0</v>
      </c>
      <c r="H26" s="56">
        <f t="shared" si="11"/>
        <v>0</v>
      </c>
      <c r="I26" s="57">
        <f t="shared" si="11"/>
        <v>0</v>
      </c>
    </row>
    <row r="27" spans="1:9" ht="15.75" customHeight="1" thickBot="1">
      <c r="A27" s="233" t="str">
        <f>Exh5B!$A27</f>
        <v>Item 15</v>
      </c>
      <c r="B27" s="217" t="str">
        <f>Exh5A!B27</f>
        <v>Actual Investment Income Earned [Item 13 * Item 14]</v>
      </c>
      <c r="C27" s="49">
        <f aca="true" t="shared" si="12" ref="C27:I27">C25*C26</f>
        <v>0</v>
      </c>
      <c r="D27" s="49">
        <f t="shared" si="12"/>
        <v>0</v>
      </c>
      <c r="E27" s="49">
        <f t="shared" si="12"/>
        <v>0</v>
      </c>
      <c r="F27" s="49">
        <f t="shared" si="12"/>
        <v>0</v>
      </c>
      <c r="G27" s="49">
        <f t="shared" si="12"/>
        <v>0</v>
      </c>
      <c r="H27" s="49">
        <f t="shared" si="12"/>
        <v>0</v>
      </c>
      <c r="I27" s="50">
        <f t="shared" si="12"/>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4" r:id="rId1"/>
  <headerFooter alignWithMargins="0">
    <oddFooter>&amp;L&amp;D&amp;RPage &amp;P of &amp;N</oddFooter>
  </headerFooter>
</worksheet>
</file>

<file path=xl/worksheets/sheet23.xml><?xml version="1.0" encoding="utf-8"?>
<worksheet xmlns="http://schemas.openxmlformats.org/spreadsheetml/2006/main" xmlns:r="http://schemas.openxmlformats.org/officeDocument/2006/relationships">
  <sheetPr codeName="Sheet26" transitionEvaluation="1">
    <pageSetUpPr fitToPage="1"/>
  </sheetPr>
  <dimension ref="A1:I29"/>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54</v>
      </c>
    </row>
    <row r="2" spans="1:9" ht="15.75" customHeight="1">
      <c r="A2" s="140" t="str">
        <f>InputB!$A$2</f>
        <v>Group NAIC #:</v>
      </c>
      <c r="B2" s="137" t="str">
        <f>InputB!$C$2</f>
        <v>enter group # here</v>
      </c>
      <c r="C2"/>
      <c r="D2"/>
      <c r="E2"/>
      <c r="F2"/>
      <c r="G2"/>
      <c r="H2"/>
      <c r="I2" s="138" t="s">
        <v>292</v>
      </c>
    </row>
    <row r="3" spans="1:8" ht="15.75" customHeight="1">
      <c r="A3" s="197" t="str">
        <f>InputB!$A$3</f>
        <v>Year Filed:</v>
      </c>
      <c r="B3" s="141">
        <f>InputB!$C$3</f>
        <v>2024</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f>Exh5B!$B6</f>
      </c>
      <c r="C6" s="227">
        <f>ReportYear-7</f>
        <v>2017</v>
      </c>
      <c r="D6" s="227">
        <f>ReportYear-6</f>
        <v>2018</v>
      </c>
      <c r="E6" s="227">
        <f>ReportYear-5</f>
        <v>2019</v>
      </c>
      <c r="F6" s="227">
        <f>ReportYear-4</f>
        <v>2020</v>
      </c>
      <c r="G6" s="227">
        <f>ReportYear-3</f>
        <v>2021</v>
      </c>
      <c r="H6" s="227">
        <f>ReportYear-2</f>
        <v>2022</v>
      </c>
      <c r="I6" s="228">
        <f>ReportYear-1</f>
        <v>2023</v>
      </c>
    </row>
    <row r="7" spans="1:9" ht="15.75" customHeight="1">
      <c r="A7" s="187" t="str">
        <f>Exh5B!$A7</f>
        <v>Item 1</v>
      </c>
      <c r="B7" s="204" t="str">
        <f>Exh5A!B7</f>
        <v>Agents Balances</v>
      </c>
      <c r="C7" s="634"/>
      <c r="D7" s="634"/>
      <c r="E7" s="634"/>
      <c r="F7" s="634"/>
      <c r="G7" s="634"/>
      <c r="H7" s="634"/>
      <c r="I7" s="635"/>
    </row>
    <row r="8" spans="1:9" ht="15.75" customHeight="1">
      <c r="A8" s="187" t="str">
        <f>Exh5B!$A8</f>
        <v>Item 2</v>
      </c>
      <c r="B8" s="204" t="str">
        <f>Exh5A!B8</f>
        <v>Unearned Premium Reserve</v>
      </c>
      <c r="C8" s="634"/>
      <c r="D8" s="634"/>
      <c r="E8" s="634"/>
      <c r="F8" s="634"/>
      <c r="G8" s="634"/>
      <c r="H8" s="634"/>
      <c r="I8" s="635"/>
    </row>
    <row r="9" spans="1:9" ht="15.75" customHeight="1">
      <c r="A9" s="187" t="str">
        <f>Exh5B!$A9</f>
        <v>Item 3</v>
      </c>
      <c r="B9" s="194" t="str">
        <f>Exh5A!B9</f>
        <v>Agents Balance Ratio [Item 1 / Item 2]</v>
      </c>
      <c r="C9" s="636"/>
      <c r="D9" s="636"/>
      <c r="E9" s="636"/>
      <c r="F9" s="636"/>
      <c r="G9" s="636"/>
      <c r="H9" s="636"/>
      <c r="I9" s="637"/>
    </row>
    <row r="10" spans="1:9" ht="15.75" customHeight="1">
      <c r="A10" s="187" t="str">
        <f>Exh5B!$A10</f>
        <v>Item 4</v>
      </c>
      <c r="B10" s="163" t="str">
        <f>Exh5A!B10</f>
        <v>Direct Prepaid Expenses - NJ [Exhibit 4]</v>
      </c>
      <c r="C10" s="634"/>
      <c r="D10" s="634"/>
      <c r="E10" s="634"/>
      <c r="F10" s="634"/>
      <c r="G10" s="634"/>
      <c r="H10" s="634"/>
      <c r="I10" s="635"/>
    </row>
    <row r="11" spans="1:9" ht="15.75" customHeight="1">
      <c r="A11" s="187" t="str">
        <f>Exh5B!$A11</f>
        <v>Item 5</v>
      </c>
      <c r="B11" s="164" t="str">
        <f>Exh5A!B11</f>
        <v>Direct Net Written Premium - NJ [Exhibit 4]</v>
      </c>
      <c r="C11" s="634"/>
      <c r="D11" s="634"/>
      <c r="E11" s="634"/>
      <c r="F11" s="634"/>
      <c r="G11" s="634"/>
      <c r="H11" s="634"/>
      <c r="I11" s="635"/>
    </row>
    <row r="12" spans="1:9" ht="15.75" customHeight="1">
      <c r="A12" s="187" t="str">
        <f>Exh5B!$A12</f>
        <v>Item 6</v>
      </c>
      <c r="B12" s="194" t="str">
        <f>Exh5A!B12</f>
        <v>Prepaid Expense Ratio [Item 4 / Item 5]</v>
      </c>
      <c r="C12" s="636"/>
      <c r="D12" s="636"/>
      <c r="E12" s="636"/>
      <c r="F12" s="636"/>
      <c r="G12" s="636"/>
      <c r="H12" s="636"/>
      <c r="I12" s="637"/>
    </row>
    <row r="13" spans="1:9" ht="15.75" customHeight="1">
      <c r="A13" s="171" t="str">
        <f>Exh5B!$A13</f>
        <v>Item 7a</v>
      </c>
      <c r="B13" s="194" t="str">
        <f>Exh5A!B13</f>
        <v>Direct Unearned Premium Reserve - Beginning [Exhibit 1]</v>
      </c>
      <c r="C13" s="634"/>
      <c r="D13" s="634"/>
      <c r="E13" s="634"/>
      <c r="F13" s="634"/>
      <c r="G13" s="634"/>
      <c r="H13" s="634"/>
      <c r="I13" s="635"/>
    </row>
    <row r="14" spans="1:9" ht="15.75" customHeight="1">
      <c r="A14" s="171" t="str">
        <f>Exh5B!$A14</f>
        <v>Item 7b</v>
      </c>
      <c r="B14" s="194" t="str">
        <f>Exh5A!B14</f>
        <v>Direct Unearned Premium Reserve - Ending [Exhibit 1]</v>
      </c>
      <c r="C14" s="634"/>
      <c r="D14" s="634"/>
      <c r="E14" s="634"/>
      <c r="F14" s="634"/>
      <c r="G14" s="634"/>
      <c r="H14" s="634"/>
      <c r="I14" s="635"/>
    </row>
    <row r="15" spans="1:9" ht="15.75" customHeight="1">
      <c r="A15" s="171" t="str">
        <f>Exh5B!$A15</f>
        <v>Item 7</v>
      </c>
      <c r="B15" s="194" t="str">
        <f>Exh5A!B15</f>
        <v>Average Unearned Premium Reserve [(Item 7a + Item 7b) / 2]</v>
      </c>
      <c r="C15" s="634"/>
      <c r="D15" s="634"/>
      <c r="E15" s="634"/>
      <c r="F15" s="634"/>
      <c r="G15" s="634"/>
      <c r="H15" s="634"/>
      <c r="I15" s="635"/>
    </row>
    <row r="16" spans="1:9" ht="15.75" customHeight="1">
      <c r="A16" s="171" t="str">
        <f>Exh5B!$A16</f>
        <v>Item 8</v>
      </c>
      <c r="B16" s="204" t="str">
        <f>Exh5A!B16</f>
        <v>Investable Unearned Premium [Item 7 * (1 - Item 3 - Item 6)]</v>
      </c>
      <c r="C16" s="634"/>
      <c r="D16" s="634"/>
      <c r="E16" s="634"/>
      <c r="F16" s="634"/>
      <c r="G16" s="634"/>
      <c r="H16" s="634"/>
      <c r="I16" s="635"/>
    </row>
    <row r="17" spans="1:9" ht="15.75" customHeight="1">
      <c r="A17" s="171" t="str">
        <f>Exh5B!$A17</f>
        <v>Item 9a</v>
      </c>
      <c r="B17" s="194" t="str">
        <f>Exh5A!B17</f>
        <v>Direct Unpaid Loss - Beginning [Exhibit 1]</v>
      </c>
      <c r="C17" s="634"/>
      <c r="D17" s="634"/>
      <c r="E17" s="634"/>
      <c r="F17" s="634"/>
      <c r="G17" s="634"/>
      <c r="H17" s="634"/>
      <c r="I17" s="635"/>
    </row>
    <row r="18" spans="1:9" ht="15.75" customHeight="1">
      <c r="A18" s="171" t="str">
        <f>Exh5B!$A18</f>
        <v>Item 9b</v>
      </c>
      <c r="B18" s="194" t="str">
        <f>Exh5A!B18</f>
        <v>Direct Unpaid Loss - Ending [Exhibit 1]</v>
      </c>
      <c r="C18" s="634"/>
      <c r="D18" s="634"/>
      <c r="E18" s="634"/>
      <c r="F18" s="634"/>
      <c r="G18" s="634"/>
      <c r="H18" s="634"/>
      <c r="I18" s="635"/>
    </row>
    <row r="19" spans="1:9" ht="15.75" customHeight="1">
      <c r="A19" s="171" t="str">
        <f>Exh5B!$A19</f>
        <v>Item 9</v>
      </c>
      <c r="B19" s="194" t="str">
        <f>Exh5A!B19</f>
        <v>Average Loss Reserve [(Item 9a + Item 9b) / 2]</v>
      </c>
      <c r="C19" s="634"/>
      <c r="D19" s="634"/>
      <c r="E19" s="634"/>
      <c r="F19" s="634"/>
      <c r="G19" s="634"/>
      <c r="H19" s="634"/>
      <c r="I19" s="635"/>
    </row>
    <row r="20" spans="1:9" ht="15.75" customHeight="1">
      <c r="A20" s="171" t="str">
        <f>Exh5B!$A20</f>
        <v>Item 10a</v>
      </c>
      <c r="B20" s="194" t="str">
        <f>Exh5A!B20</f>
        <v>Direct Unpaid D&amp;CCE - Beginning [Exhibit 1, Col (6), Item 3]</v>
      </c>
      <c r="C20" s="634"/>
      <c r="D20" s="634"/>
      <c r="E20" s="634"/>
      <c r="F20" s="634"/>
      <c r="G20" s="634"/>
      <c r="H20" s="634"/>
      <c r="I20" s="635"/>
    </row>
    <row r="21" spans="1:9" ht="15.75" customHeight="1">
      <c r="A21" s="171" t="str">
        <f>Exh5B!$A21</f>
        <v>Item 10b</v>
      </c>
      <c r="B21" s="194" t="str">
        <f>Exh5A!B21</f>
        <v>Direct Unpaid D&amp;CCE - Ending [Exhibit 1, Col (6), Item 3]</v>
      </c>
      <c r="C21" s="634"/>
      <c r="D21" s="634"/>
      <c r="E21" s="634"/>
      <c r="F21" s="634"/>
      <c r="G21" s="634"/>
      <c r="H21" s="634"/>
      <c r="I21" s="635"/>
    </row>
    <row r="22" spans="1:9" ht="15.75" customHeight="1">
      <c r="A22" s="171" t="str">
        <f>Exh5B!$A22</f>
        <v>Item 10</v>
      </c>
      <c r="B22" s="194" t="str">
        <f>Exh5A!B22</f>
        <v>Average D&amp;CCE Reserve [(Item 10a + Item 10b) / 2]</v>
      </c>
      <c r="C22" s="634"/>
      <c r="D22" s="634"/>
      <c r="E22" s="634"/>
      <c r="F22" s="634"/>
      <c r="G22" s="634"/>
      <c r="H22" s="634"/>
      <c r="I22" s="635"/>
    </row>
    <row r="23" spans="1:9" ht="15.75" customHeight="1">
      <c r="A23" s="187" t="str">
        <f>Exh5B!$A23</f>
        <v>Item 11</v>
      </c>
      <c r="B23" s="235" t="str">
        <f>Exh5A!B23</f>
        <v>A&amp;OE Ratio [Exhibit 2, Part 4, Col (4]</v>
      </c>
      <c r="C23" s="638"/>
      <c r="D23" s="638"/>
      <c r="E23" s="638"/>
      <c r="F23" s="638"/>
      <c r="G23" s="638"/>
      <c r="H23" s="638"/>
      <c r="I23" s="639"/>
    </row>
    <row r="24" spans="1:9" ht="15.75" customHeight="1">
      <c r="A24" s="171" t="str">
        <f>Exh5B!$A24</f>
        <v>Item 12</v>
      </c>
      <c r="B24" s="204" t="str">
        <f>Exh5A!B24</f>
        <v>Average Loss + LAE Reserve [(Item 9 + Item 10) * Item 11]</v>
      </c>
      <c r="C24" s="640"/>
      <c r="D24" s="640"/>
      <c r="E24" s="640"/>
      <c r="F24" s="640"/>
      <c r="G24" s="640"/>
      <c r="H24" s="640"/>
      <c r="I24" s="641"/>
    </row>
    <row r="25" spans="1:9" ht="15.75" customHeight="1">
      <c r="A25" s="171" t="str">
        <f>Exh5B!$A25</f>
        <v>Item 13</v>
      </c>
      <c r="B25" s="194" t="str">
        <f>Exh5A!B25</f>
        <v>Total Reserve [Item 8 + Item 12]</v>
      </c>
      <c r="C25" s="634"/>
      <c r="D25" s="634"/>
      <c r="E25" s="634"/>
      <c r="F25" s="634"/>
      <c r="G25" s="634"/>
      <c r="H25" s="634"/>
      <c r="I25" s="635"/>
    </row>
    <row r="26" spans="1:9" ht="15.75" customHeight="1">
      <c r="A26" s="171" t="str">
        <f>Exh5B!$A26</f>
        <v>Item 14</v>
      </c>
      <c r="B26" s="194" t="str">
        <f>Exh5A!B26</f>
        <v>Pre-Tax Rate of Return [Exhibit 4, Item 8, 3-Yr Total]</v>
      </c>
      <c r="C26" s="642"/>
      <c r="D26" s="642"/>
      <c r="E26" s="642"/>
      <c r="F26" s="642"/>
      <c r="G26" s="642"/>
      <c r="H26" s="642"/>
      <c r="I26" s="643"/>
    </row>
    <row r="27" spans="1:9" ht="15.75" customHeight="1" thickBot="1">
      <c r="A27" s="233" t="str">
        <f>Exh5B!$A27</f>
        <v>Item 15</v>
      </c>
      <c r="B27" s="217" t="str">
        <f>Exh5A!B27</f>
        <v>Actual Investment Income Earned [Item 13 * Item 14]</v>
      </c>
      <c r="C27" s="49">
        <f>SUM(Exh5A!C27,Exh5B!C27,Exh5C!C27)</f>
        <v>0</v>
      </c>
      <c r="D27" s="49">
        <f>SUM(Exh5A!D27,Exh5B!D27,Exh5C!D27)</f>
        <v>0</v>
      </c>
      <c r="E27" s="49">
        <f>SUM(Exh5A!E27,Exh5B!E27,Exh5C!E27)</f>
        <v>0</v>
      </c>
      <c r="F27" s="49">
        <f>SUM(Exh5A!F27,Exh5B!F27,Exh5C!F27)</f>
        <v>0</v>
      </c>
      <c r="G27" s="49">
        <f>SUM(Exh5A!G27,Exh5B!G27,Exh5C!G27)</f>
        <v>0</v>
      </c>
      <c r="H27" s="49">
        <f>SUM(Exh5A!H27,Exh5B!H27,Exh5C!H27)</f>
        <v>0</v>
      </c>
      <c r="I27" s="50">
        <f>SUM(Exh5A!I27,Exh5B!I27,Exh5C!I27)</f>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4" r:id="rId1"/>
  <headerFooter alignWithMargins="0">
    <oddFooter>&amp;L&amp;D&amp;RPage &amp;P of &amp;N</oddFooter>
  </headerFooter>
</worksheet>
</file>

<file path=xl/worksheets/sheet24.xml><?xml version="1.0" encoding="utf-8"?>
<worksheet xmlns="http://schemas.openxmlformats.org/spreadsheetml/2006/main" xmlns:r="http://schemas.openxmlformats.org/officeDocument/2006/relationships">
  <sheetPr codeName="Sheet10"/>
  <dimension ref="A1:T39"/>
  <sheetViews>
    <sheetView view="pageBreakPreview" zoomScale="85" zoomScaleNormal="85" zoomScaleSheetLayoutView="85" zoomScalePageLayoutView="0" workbookViewId="0" topLeftCell="A1">
      <selection activeCell="A1" sqref="A1"/>
    </sheetView>
  </sheetViews>
  <sheetFormatPr defaultColWidth="9.140625" defaultRowHeight="15.75" customHeight="1"/>
  <cols>
    <col min="1" max="2" width="16.7109375" style="104" customWidth="1"/>
    <col min="3" max="20" width="13.7109375" style="104" customWidth="1"/>
    <col min="21" max="16384" width="9.140625" style="104" customWidth="1"/>
  </cols>
  <sheetData>
    <row r="1" spans="1:20" ht="15.75" customHeight="1">
      <c r="A1" s="136" t="str">
        <f>InputB!$A$1</f>
        <v>Group Name:</v>
      </c>
      <c r="B1" s="136"/>
      <c r="C1" s="137" t="str">
        <f>InputB!$C$1</f>
        <v>enter group name here</v>
      </c>
      <c r="D1" s="142"/>
      <c r="E1" s="142"/>
      <c r="F1"/>
      <c r="G1"/>
      <c r="H1"/>
      <c r="I1"/>
      <c r="J1" s="138" t="s">
        <v>60</v>
      </c>
      <c r="K1" s="142" t="str">
        <f>A1</f>
        <v>Group Name:</v>
      </c>
      <c r="L1" s="142"/>
      <c r="M1" s="137" t="str">
        <f>C1</f>
        <v>enter group name here</v>
      </c>
      <c r="N1" s="142"/>
      <c r="O1" s="142"/>
      <c r="P1"/>
      <c r="Q1"/>
      <c r="R1"/>
      <c r="S1"/>
      <c r="T1" s="107" t="str">
        <f>J1</f>
        <v>Exhibit 6</v>
      </c>
    </row>
    <row r="2" spans="1:20" ht="15.75" customHeight="1">
      <c r="A2" s="140" t="str">
        <f>InputB!$A$2</f>
        <v>Group NAIC #:</v>
      </c>
      <c r="B2" s="140"/>
      <c r="C2" s="137" t="str">
        <f>InputB!$C$2</f>
        <v>enter group # here</v>
      </c>
      <c r="D2" s="142"/>
      <c r="E2" s="142"/>
      <c r="F2"/>
      <c r="G2"/>
      <c r="H2"/>
      <c r="I2"/>
      <c r="J2" s="107" t="s">
        <v>103</v>
      </c>
      <c r="K2" s="142" t="str">
        <f>A2</f>
        <v>Group NAIC #:</v>
      </c>
      <c r="L2" s="142"/>
      <c r="M2" s="137" t="str">
        <f>C2</f>
        <v>enter group # here</v>
      </c>
      <c r="N2" s="142"/>
      <c r="O2" s="142"/>
      <c r="P2"/>
      <c r="Q2"/>
      <c r="R2"/>
      <c r="S2"/>
      <c r="T2" s="138" t="s">
        <v>116</v>
      </c>
    </row>
    <row r="3" spans="1:20" ht="15.75" customHeight="1">
      <c r="A3" s="136" t="str">
        <f>InputB!$A$3</f>
        <v>Year Filed:</v>
      </c>
      <c r="B3" s="136"/>
      <c r="C3" s="141">
        <f>InputB!$C$3</f>
        <v>2024</v>
      </c>
      <c r="D3" s="142"/>
      <c r="E3" s="142"/>
      <c r="F3"/>
      <c r="G3"/>
      <c r="H3"/>
      <c r="I3"/>
      <c r="K3" s="142" t="str">
        <f>A3</f>
        <v>Year Filed:</v>
      </c>
      <c r="L3" s="142"/>
      <c r="M3" s="141">
        <f>C3</f>
        <v>2024</v>
      </c>
      <c r="N3" s="142"/>
      <c r="O3" s="142"/>
      <c r="P3"/>
      <c r="Q3"/>
      <c r="R3"/>
      <c r="S3"/>
      <c r="T3" s="142"/>
    </row>
    <row r="4" spans="1:20" ht="15.75" customHeight="1">
      <c r="A4" s="142"/>
      <c r="B4" s="142"/>
      <c r="C4" s="142"/>
      <c r="D4" s="142"/>
      <c r="E4" s="142"/>
      <c r="F4" s="142"/>
      <c r="G4" s="142"/>
      <c r="H4" s="142"/>
      <c r="I4" s="142"/>
      <c r="J4" s="142"/>
      <c r="K4" s="142"/>
      <c r="L4" s="142"/>
      <c r="M4" s="142"/>
      <c r="N4" s="142"/>
      <c r="O4" s="142"/>
      <c r="P4" s="142"/>
      <c r="Q4" s="142"/>
      <c r="R4" s="142"/>
      <c r="S4" s="142"/>
      <c r="T4" s="142"/>
    </row>
    <row r="5" spans="1:20" ht="15.75" customHeight="1" thickBot="1">
      <c r="A5" s="142"/>
      <c r="B5" s="142"/>
      <c r="C5" s="142"/>
      <c r="D5" s="142"/>
      <c r="E5" s="142"/>
      <c r="F5" s="142"/>
      <c r="G5" s="142"/>
      <c r="H5" s="142"/>
      <c r="I5" s="142"/>
      <c r="J5" s="142"/>
      <c r="K5" s="142"/>
      <c r="L5" s="142"/>
      <c r="M5" s="142"/>
      <c r="N5" s="142"/>
      <c r="O5" s="142"/>
      <c r="P5" s="142"/>
      <c r="Q5" s="142"/>
      <c r="R5" s="142"/>
      <c r="S5" s="142"/>
      <c r="T5" s="142"/>
    </row>
    <row r="6" spans="1:20" ht="15.75" customHeight="1">
      <c r="A6" s="237"/>
      <c r="B6" s="168"/>
      <c r="C6" s="238" t="s">
        <v>17</v>
      </c>
      <c r="D6" s="223"/>
      <c r="E6" s="223"/>
      <c r="F6" s="223"/>
      <c r="G6" s="223"/>
      <c r="H6" s="223"/>
      <c r="I6" s="223"/>
      <c r="J6" s="223"/>
      <c r="K6" s="223" t="str">
        <f>$C6</f>
        <v>Calendar Year</v>
      </c>
      <c r="L6" s="223"/>
      <c r="M6" s="223"/>
      <c r="N6" s="223"/>
      <c r="O6" s="223"/>
      <c r="P6" s="223"/>
      <c r="Q6" s="223"/>
      <c r="R6" s="223"/>
      <c r="S6" s="223"/>
      <c r="T6" s="239"/>
    </row>
    <row r="7" spans="1:20" ht="15.75" customHeight="1">
      <c r="A7" s="240" t="s">
        <v>59</v>
      </c>
      <c r="B7" s="203"/>
      <c r="C7" s="177">
        <f>ReportYear</f>
        <v>2024</v>
      </c>
      <c r="D7" s="177">
        <f>ReportYear-1</f>
        <v>2023</v>
      </c>
      <c r="E7" s="177">
        <f>ReportYear-2</f>
        <v>2022</v>
      </c>
      <c r="F7" s="177">
        <f>ReportYear-3</f>
        <v>2021</v>
      </c>
      <c r="G7" s="177">
        <f aca="true" t="shared" si="0" ref="G7:S7">F7-1</f>
        <v>2020</v>
      </c>
      <c r="H7" s="177">
        <f t="shared" si="0"/>
        <v>2019</v>
      </c>
      <c r="I7" s="177">
        <f t="shared" si="0"/>
        <v>2018</v>
      </c>
      <c r="J7" s="177">
        <f t="shared" si="0"/>
        <v>2017</v>
      </c>
      <c r="K7" s="177">
        <f t="shared" si="0"/>
        <v>2016</v>
      </c>
      <c r="L7" s="177">
        <f t="shared" si="0"/>
        <v>2015</v>
      </c>
      <c r="M7" s="177">
        <f t="shared" si="0"/>
        <v>2014</v>
      </c>
      <c r="N7" s="177">
        <f t="shared" si="0"/>
        <v>2013</v>
      </c>
      <c r="O7" s="177">
        <f t="shared" si="0"/>
        <v>2012</v>
      </c>
      <c r="P7" s="177">
        <f t="shared" si="0"/>
        <v>2011</v>
      </c>
      <c r="Q7" s="177">
        <f t="shared" si="0"/>
        <v>2010</v>
      </c>
      <c r="R7" s="177">
        <f t="shared" si="0"/>
        <v>2009</v>
      </c>
      <c r="S7" s="251">
        <f t="shared" si="0"/>
        <v>2008</v>
      </c>
      <c r="T7" s="409" t="s">
        <v>18</v>
      </c>
    </row>
    <row r="8" spans="1:20" ht="15.75" customHeight="1" thickBot="1">
      <c r="A8" s="244" t="s">
        <v>175</v>
      </c>
      <c r="B8" s="387"/>
      <c r="C8" s="13">
        <f>InputTOTAL!D47</f>
        <v>0</v>
      </c>
      <c r="D8" s="13">
        <f>InputTOTAL!E47</f>
        <v>0</v>
      </c>
      <c r="E8" s="13">
        <f>InputTOTAL!F47</f>
        <v>0</v>
      </c>
      <c r="F8" s="13">
        <f>InputTOTAL!G47</f>
        <v>0</v>
      </c>
      <c r="G8" s="13">
        <f>InputTOTAL!H47</f>
        <v>0</v>
      </c>
      <c r="H8" s="13">
        <f>InputTOTAL!I47</f>
        <v>0</v>
      </c>
      <c r="I8" s="13">
        <f>InputTOTAL!J47</f>
        <v>0</v>
      </c>
      <c r="J8" s="13">
        <f>InputTOTAL!K47</f>
        <v>0</v>
      </c>
      <c r="K8" s="13">
        <f>InputTOTAL!L47</f>
        <v>0</v>
      </c>
      <c r="L8" s="13">
        <f>InputTOTAL!E69</f>
        <v>0</v>
      </c>
      <c r="M8" s="13">
        <f>InputTOTAL!F69</f>
        <v>0</v>
      </c>
      <c r="N8" s="13">
        <f>InputTOTAL!G69</f>
        <v>0</v>
      </c>
      <c r="O8" s="13">
        <f>InputTOTAL!H69</f>
        <v>0</v>
      </c>
      <c r="P8" s="13">
        <f>InputTOTAL!I69</f>
        <v>0</v>
      </c>
      <c r="Q8" s="13">
        <f>InputTOTAL!J69</f>
        <v>0</v>
      </c>
      <c r="R8" s="13">
        <f>InputTOTAL!K69</f>
        <v>0</v>
      </c>
      <c r="S8" s="408">
        <f>InputTOTAL!L69</f>
        <v>0</v>
      </c>
      <c r="T8" s="410">
        <f>SUM(C8:S8)</f>
        <v>0</v>
      </c>
    </row>
    <row r="9" spans="1:20" ht="15.75" customHeight="1">
      <c r="A9" s="161"/>
      <c r="B9" s="161"/>
      <c r="C9" s="2"/>
      <c r="D9" s="2"/>
      <c r="E9" s="2"/>
      <c r="F9" s="2"/>
      <c r="G9" s="2"/>
      <c r="H9" s="2"/>
      <c r="I9" s="2"/>
      <c r="J9" s="2"/>
      <c r="K9" s="2"/>
      <c r="L9" s="2"/>
      <c r="M9" s="2"/>
      <c r="N9" s="2"/>
      <c r="O9" s="2"/>
      <c r="P9" s="2"/>
      <c r="Q9" s="2"/>
      <c r="R9" s="2"/>
      <c r="S9" s="2"/>
      <c r="T9" s="2"/>
    </row>
    <row r="10" spans="1:20" ht="15.75" customHeight="1" thickBot="1">
      <c r="A10" s="4"/>
      <c r="B10" s="4"/>
      <c r="C10" s="8"/>
      <c r="D10" s="8"/>
      <c r="E10" s="8"/>
      <c r="F10" s="8"/>
      <c r="G10" s="8"/>
      <c r="H10" s="8"/>
      <c r="I10" s="8"/>
      <c r="J10" s="8"/>
      <c r="K10" s="8"/>
      <c r="L10" s="8"/>
      <c r="M10" s="8"/>
      <c r="N10" s="8"/>
      <c r="O10" s="8"/>
      <c r="P10" s="8"/>
      <c r="Q10" s="8"/>
      <c r="R10" s="8"/>
      <c r="S10" s="8"/>
      <c r="T10" s="166"/>
    </row>
    <row r="11" spans="1:20" ht="15.75" customHeight="1">
      <c r="A11" s="247" t="s">
        <v>50</v>
      </c>
      <c r="B11" s="200"/>
      <c r="C11" s="223" t="s">
        <v>97</v>
      </c>
      <c r="D11" s="223"/>
      <c r="E11" s="223"/>
      <c r="F11" s="223"/>
      <c r="G11" s="223"/>
      <c r="H11" s="223"/>
      <c r="I11" s="223"/>
      <c r="J11" s="223"/>
      <c r="K11" s="223" t="str">
        <f>$C11</f>
        <v>Calendar Year Excess Profit Paid</v>
      </c>
      <c r="L11" s="223"/>
      <c r="M11" s="223"/>
      <c r="N11" s="223"/>
      <c r="O11" s="223"/>
      <c r="P11" s="223"/>
      <c r="Q11" s="223"/>
      <c r="R11" s="223"/>
      <c r="S11" s="223"/>
      <c r="T11" s="248"/>
    </row>
    <row r="12" spans="1:20" ht="15.75" customHeight="1">
      <c r="A12" s="249" t="s">
        <v>142</v>
      </c>
      <c r="B12" s="250"/>
      <c r="C12" s="177">
        <f>C7</f>
        <v>2024</v>
      </c>
      <c r="D12" s="177">
        <f aca="true" t="shared" si="1" ref="D12:S12">D7</f>
        <v>2023</v>
      </c>
      <c r="E12" s="177">
        <f t="shared" si="1"/>
        <v>2022</v>
      </c>
      <c r="F12" s="177">
        <f t="shared" si="1"/>
        <v>2021</v>
      </c>
      <c r="G12" s="177">
        <f t="shared" si="1"/>
        <v>2020</v>
      </c>
      <c r="H12" s="177">
        <f t="shared" si="1"/>
        <v>2019</v>
      </c>
      <c r="I12" s="177">
        <f t="shared" si="1"/>
        <v>2018</v>
      </c>
      <c r="J12" s="177">
        <f t="shared" si="1"/>
        <v>2017</v>
      </c>
      <c r="K12" s="177">
        <f t="shared" si="1"/>
        <v>2016</v>
      </c>
      <c r="L12" s="177">
        <f t="shared" si="1"/>
        <v>2015</v>
      </c>
      <c r="M12" s="177">
        <f t="shared" si="1"/>
        <v>2014</v>
      </c>
      <c r="N12" s="177">
        <f t="shared" si="1"/>
        <v>2013</v>
      </c>
      <c r="O12" s="177">
        <f t="shared" si="1"/>
        <v>2012</v>
      </c>
      <c r="P12" s="177">
        <f t="shared" si="1"/>
        <v>2011</v>
      </c>
      <c r="Q12" s="177">
        <f t="shared" si="1"/>
        <v>2010</v>
      </c>
      <c r="R12" s="177">
        <f t="shared" si="1"/>
        <v>2009</v>
      </c>
      <c r="S12" s="251">
        <f t="shared" si="1"/>
        <v>2008</v>
      </c>
      <c r="T12" s="243" t="str">
        <f>T7</f>
        <v>Total</v>
      </c>
    </row>
    <row r="13" spans="1:20" ht="15.75" customHeight="1">
      <c r="A13" s="176" t="s">
        <v>66</v>
      </c>
      <c r="B13" s="252">
        <f>ReportYear-1</f>
        <v>2023</v>
      </c>
      <c r="C13" s="2">
        <f>InputTOTAL!D50</f>
        <v>0</v>
      </c>
      <c r="D13" s="2">
        <f>InputTOTAL!E50</f>
        <v>0</v>
      </c>
      <c r="E13" s="2">
        <f>InputTOTAL!F50</f>
        <v>0</v>
      </c>
      <c r="F13" s="2">
        <f>InputTOTAL!G50</f>
        <v>0</v>
      </c>
      <c r="G13" s="2">
        <f>InputTOTAL!H50</f>
        <v>0</v>
      </c>
      <c r="H13" s="2">
        <f>InputTOTAL!I50</f>
        <v>0</v>
      </c>
      <c r="I13" s="2">
        <f>InputTOTAL!J50</f>
        <v>0</v>
      </c>
      <c r="J13" s="2">
        <f>InputTOTAL!K50</f>
        <v>0</v>
      </c>
      <c r="K13" s="2">
        <f>InputTOTAL!L50</f>
        <v>0</v>
      </c>
      <c r="L13" s="2">
        <f>InputTOTAL!E72</f>
        <v>0</v>
      </c>
      <c r="M13" s="2">
        <f>InputTOTAL!F72</f>
        <v>0</v>
      </c>
      <c r="N13" s="2">
        <f>InputTOTAL!G72</f>
        <v>0</v>
      </c>
      <c r="O13" s="2">
        <f>InputTOTAL!H72</f>
        <v>0</v>
      </c>
      <c r="P13" s="2">
        <f>InputTOTAL!I72</f>
        <v>0</v>
      </c>
      <c r="Q13" s="2">
        <f>InputTOTAL!J72</f>
        <v>0</v>
      </c>
      <c r="R13" s="2">
        <f>InputTOTAL!K72</f>
        <v>0</v>
      </c>
      <c r="S13" s="253">
        <f>InputTOTAL!L72</f>
        <v>0</v>
      </c>
      <c r="T13" s="145">
        <f>SUM(C13:S13)</f>
        <v>0</v>
      </c>
    </row>
    <row r="14" spans="1:20" ht="15.75" customHeight="1">
      <c r="A14" s="176" t="s">
        <v>67</v>
      </c>
      <c r="B14" s="252">
        <f aca="true" t="shared" si="2" ref="B14:B35">B13-1</f>
        <v>2022</v>
      </c>
      <c r="C14" s="2">
        <f>InputTOTAL!D51</f>
        <v>0</v>
      </c>
      <c r="D14" s="2">
        <f>InputTOTAL!E51</f>
        <v>0</v>
      </c>
      <c r="E14" s="2">
        <f>InputTOTAL!F51</f>
        <v>0</v>
      </c>
      <c r="F14" s="2">
        <f>InputTOTAL!G51</f>
        <v>0</v>
      </c>
      <c r="G14" s="2">
        <f>InputTOTAL!H51</f>
        <v>0</v>
      </c>
      <c r="H14" s="2">
        <f>InputTOTAL!I51</f>
        <v>0</v>
      </c>
      <c r="I14" s="2">
        <f>InputTOTAL!J51</f>
        <v>0</v>
      </c>
      <c r="J14" s="2">
        <f>InputTOTAL!K51</f>
        <v>0</v>
      </c>
      <c r="K14" s="2">
        <f>InputTOTAL!L51</f>
        <v>0</v>
      </c>
      <c r="L14" s="2">
        <f>InputTOTAL!E73</f>
        <v>0</v>
      </c>
      <c r="M14" s="2">
        <f>InputTOTAL!F73</f>
        <v>0</v>
      </c>
      <c r="N14" s="2">
        <f>InputTOTAL!G73</f>
        <v>0</v>
      </c>
      <c r="O14" s="2">
        <f>InputTOTAL!H73</f>
        <v>0</v>
      </c>
      <c r="P14" s="2">
        <f>InputTOTAL!I73</f>
        <v>0</v>
      </c>
      <c r="Q14" s="2">
        <f>InputTOTAL!J73</f>
        <v>0</v>
      </c>
      <c r="R14" s="2">
        <f>InputTOTAL!K73</f>
        <v>0</v>
      </c>
      <c r="S14" s="253">
        <f>InputTOTAL!L73</f>
        <v>0</v>
      </c>
      <c r="T14" s="145">
        <f aca="true" t="shared" si="3" ref="T14:T35">SUM(C14:S14)</f>
        <v>0</v>
      </c>
    </row>
    <row r="15" spans="1:20" ht="15.75" customHeight="1">
      <c r="A15" s="176" t="s">
        <v>80</v>
      </c>
      <c r="B15" s="252">
        <f t="shared" si="2"/>
        <v>2021</v>
      </c>
      <c r="C15" s="2">
        <f>InputTOTAL!D52</f>
        <v>0</v>
      </c>
      <c r="D15" s="2">
        <f>InputTOTAL!E52</f>
        <v>0</v>
      </c>
      <c r="E15" s="2">
        <f>InputTOTAL!F52</f>
        <v>0</v>
      </c>
      <c r="F15" s="2">
        <f>InputTOTAL!G52</f>
        <v>0</v>
      </c>
      <c r="G15" s="2">
        <f>InputTOTAL!H52</f>
        <v>0</v>
      </c>
      <c r="H15" s="2">
        <f>InputTOTAL!I52</f>
        <v>0</v>
      </c>
      <c r="I15" s="2">
        <f>InputTOTAL!J52</f>
        <v>0</v>
      </c>
      <c r="J15" s="2">
        <f>InputTOTAL!K52</f>
        <v>0</v>
      </c>
      <c r="K15" s="2">
        <f>InputTOTAL!L52</f>
        <v>0</v>
      </c>
      <c r="L15" s="2">
        <f>InputTOTAL!E74</f>
        <v>0</v>
      </c>
      <c r="M15" s="2">
        <f>InputTOTAL!F74</f>
        <v>0</v>
      </c>
      <c r="N15" s="2">
        <f>InputTOTAL!G74</f>
        <v>0</v>
      </c>
      <c r="O15" s="2">
        <f>InputTOTAL!H74</f>
        <v>0</v>
      </c>
      <c r="P15" s="2">
        <f>InputTOTAL!I74</f>
        <v>0</v>
      </c>
      <c r="Q15" s="2">
        <f>InputTOTAL!J74</f>
        <v>0</v>
      </c>
      <c r="R15" s="2">
        <f>InputTOTAL!K74</f>
        <v>0</v>
      </c>
      <c r="S15" s="253">
        <f>InputTOTAL!L74</f>
        <v>0</v>
      </c>
      <c r="T15" s="145">
        <f t="shared" si="3"/>
        <v>0</v>
      </c>
    </row>
    <row r="16" spans="1:20" ht="15.75" customHeight="1">
      <c r="A16" s="176" t="s">
        <v>81</v>
      </c>
      <c r="B16" s="252">
        <f t="shared" si="2"/>
        <v>2020</v>
      </c>
      <c r="C16" s="2">
        <f>InputTOTAL!D53</f>
        <v>0</v>
      </c>
      <c r="D16" s="2">
        <f>InputTOTAL!E53</f>
        <v>0</v>
      </c>
      <c r="E16" s="2">
        <f>InputTOTAL!F53</f>
        <v>0</v>
      </c>
      <c r="F16" s="2">
        <f>InputTOTAL!G53</f>
        <v>0</v>
      </c>
      <c r="G16" s="2">
        <f>InputTOTAL!H53</f>
        <v>0</v>
      </c>
      <c r="H16" s="2">
        <f>InputTOTAL!I53</f>
        <v>0</v>
      </c>
      <c r="I16" s="2">
        <f>InputTOTAL!J53</f>
        <v>0</v>
      </c>
      <c r="J16" s="2">
        <f>InputTOTAL!K53</f>
        <v>0</v>
      </c>
      <c r="K16" s="2">
        <f>InputTOTAL!L53</f>
        <v>0</v>
      </c>
      <c r="L16" s="2">
        <f>InputTOTAL!E75</f>
        <v>0</v>
      </c>
      <c r="M16" s="2">
        <f>InputTOTAL!F75</f>
        <v>0</v>
      </c>
      <c r="N16" s="2">
        <f>InputTOTAL!G75</f>
        <v>0</v>
      </c>
      <c r="O16" s="2">
        <f>InputTOTAL!H75</f>
        <v>0</v>
      </c>
      <c r="P16" s="2">
        <f>InputTOTAL!I75</f>
        <v>0</v>
      </c>
      <c r="Q16" s="2">
        <f>InputTOTAL!J75</f>
        <v>0</v>
      </c>
      <c r="R16" s="2">
        <f>InputTOTAL!K75</f>
        <v>0</v>
      </c>
      <c r="S16" s="253">
        <f>InputTOTAL!L75</f>
        <v>0</v>
      </c>
      <c r="T16" s="145">
        <f t="shared" si="3"/>
        <v>0</v>
      </c>
    </row>
    <row r="17" spans="1:20" ht="15.75" customHeight="1">
      <c r="A17" s="176" t="s">
        <v>82</v>
      </c>
      <c r="B17" s="252">
        <f t="shared" si="2"/>
        <v>2019</v>
      </c>
      <c r="C17" s="2">
        <f>InputTOTAL!D54</f>
        <v>0</v>
      </c>
      <c r="D17" s="2">
        <f>InputTOTAL!E54</f>
        <v>0</v>
      </c>
      <c r="E17" s="2">
        <f>InputTOTAL!F54</f>
        <v>0</v>
      </c>
      <c r="F17" s="2">
        <f>InputTOTAL!G54</f>
        <v>0</v>
      </c>
      <c r="G17" s="2">
        <f>InputTOTAL!H54</f>
        <v>0</v>
      </c>
      <c r="H17" s="2">
        <f>InputTOTAL!I54</f>
        <v>0</v>
      </c>
      <c r="I17" s="2">
        <f>InputTOTAL!J54</f>
        <v>0</v>
      </c>
      <c r="J17" s="2">
        <f>InputTOTAL!K54</f>
        <v>0</v>
      </c>
      <c r="K17" s="2">
        <f>InputTOTAL!L54</f>
        <v>0</v>
      </c>
      <c r="L17" s="2">
        <f>InputTOTAL!E76</f>
        <v>0</v>
      </c>
      <c r="M17" s="2">
        <f>InputTOTAL!F76</f>
        <v>0</v>
      </c>
      <c r="N17" s="2">
        <f>InputTOTAL!G76</f>
        <v>0</v>
      </c>
      <c r="O17" s="2">
        <f>InputTOTAL!H76</f>
        <v>0</v>
      </c>
      <c r="P17" s="2">
        <f>InputTOTAL!I76</f>
        <v>0</v>
      </c>
      <c r="Q17" s="2">
        <f>InputTOTAL!J76</f>
        <v>0</v>
      </c>
      <c r="R17" s="2">
        <f>InputTOTAL!K76</f>
        <v>0</v>
      </c>
      <c r="S17" s="253">
        <f>InputTOTAL!L76</f>
        <v>0</v>
      </c>
      <c r="T17" s="145">
        <f t="shared" si="3"/>
        <v>0</v>
      </c>
    </row>
    <row r="18" spans="1:20" ht="15.75" customHeight="1">
      <c r="A18" s="176" t="s">
        <v>83</v>
      </c>
      <c r="B18" s="252">
        <f t="shared" si="2"/>
        <v>2018</v>
      </c>
      <c r="C18" s="2">
        <f>InputTOTAL!D55</f>
        <v>0</v>
      </c>
      <c r="D18" s="2">
        <f>InputTOTAL!E55</f>
        <v>0</v>
      </c>
      <c r="E18" s="2">
        <f>InputTOTAL!F55</f>
        <v>0</v>
      </c>
      <c r="F18" s="2">
        <f>InputTOTAL!G55</f>
        <v>0</v>
      </c>
      <c r="G18" s="2">
        <f>InputTOTAL!H55</f>
        <v>0</v>
      </c>
      <c r="H18" s="2">
        <f>InputTOTAL!I55</f>
        <v>0</v>
      </c>
      <c r="I18" s="2">
        <f>InputTOTAL!J55</f>
        <v>0</v>
      </c>
      <c r="J18" s="2">
        <f>InputTOTAL!K55</f>
        <v>0</v>
      </c>
      <c r="K18" s="2">
        <f>InputTOTAL!L55</f>
        <v>0</v>
      </c>
      <c r="L18" s="2">
        <f>InputTOTAL!E77</f>
        <v>0</v>
      </c>
      <c r="M18" s="2">
        <f>InputTOTAL!F77</f>
        <v>0</v>
      </c>
      <c r="N18" s="2">
        <f>InputTOTAL!G77</f>
        <v>0</v>
      </c>
      <c r="O18" s="2">
        <f>InputTOTAL!H77</f>
        <v>0</v>
      </c>
      <c r="P18" s="2">
        <f>InputTOTAL!I77</f>
        <v>0</v>
      </c>
      <c r="Q18" s="2">
        <f>InputTOTAL!J77</f>
        <v>0</v>
      </c>
      <c r="R18" s="2">
        <f>InputTOTAL!K77</f>
        <v>0</v>
      </c>
      <c r="S18" s="253">
        <f>InputTOTAL!L77</f>
        <v>0</v>
      </c>
      <c r="T18" s="145">
        <f t="shared" si="3"/>
        <v>0</v>
      </c>
    </row>
    <row r="19" spans="1:20" ht="15.75" customHeight="1">
      <c r="A19" s="176" t="s">
        <v>84</v>
      </c>
      <c r="B19" s="252">
        <f t="shared" si="2"/>
        <v>2017</v>
      </c>
      <c r="C19" s="2">
        <f>InputTOTAL!D56</f>
        <v>0</v>
      </c>
      <c r="D19" s="2">
        <f>InputTOTAL!E56</f>
        <v>0</v>
      </c>
      <c r="E19" s="2">
        <f>InputTOTAL!F56</f>
        <v>0</v>
      </c>
      <c r="F19" s="2">
        <f>InputTOTAL!G56</f>
        <v>0</v>
      </c>
      <c r="G19" s="2">
        <f>InputTOTAL!H56</f>
        <v>0</v>
      </c>
      <c r="H19" s="2">
        <f>InputTOTAL!I56</f>
        <v>0</v>
      </c>
      <c r="I19" s="2">
        <f>InputTOTAL!J56</f>
        <v>0</v>
      </c>
      <c r="J19" s="2">
        <f>InputTOTAL!K56</f>
        <v>0</v>
      </c>
      <c r="K19" s="2">
        <f>InputTOTAL!L56</f>
        <v>0</v>
      </c>
      <c r="L19" s="2">
        <f>InputTOTAL!E78</f>
        <v>0</v>
      </c>
      <c r="M19" s="2">
        <f>InputTOTAL!F78</f>
        <v>0</v>
      </c>
      <c r="N19" s="2">
        <f>InputTOTAL!G78</f>
        <v>0</v>
      </c>
      <c r="O19" s="2">
        <f>InputTOTAL!H78</f>
        <v>0</v>
      </c>
      <c r="P19" s="2">
        <f>InputTOTAL!I78</f>
        <v>0</v>
      </c>
      <c r="Q19" s="2">
        <f>InputTOTAL!J78</f>
        <v>0</v>
      </c>
      <c r="R19" s="2">
        <f>InputTOTAL!K78</f>
        <v>0</v>
      </c>
      <c r="S19" s="253">
        <f>InputTOTAL!L78</f>
        <v>0</v>
      </c>
      <c r="T19" s="145">
        <f t="shared" si="3"/>
        <v>0</v>
      </c>
    </row>
    <row r="20" spans="1:20" ht="15.75" customHeight="1">
      <c r="A20" s="176" t="s">
        <v>85</v>
      </c>
      <c r="B20" s="252">
        <f t="shared" si="2"/>
        <v>2016</v>
      </c>
      <c r="C20" s="161" t="str">
        <f>InputTOTAL!D57</f>
        <v>XXX</v>
      </c>
      <c r="D20" s="2">
        <f>InputTOTAL!E57</f>
        <v>0</v>
      </c>
      <c r="E20" s="2">
        <f>InputTOTAL!F57</f>
        <v>0</v>
      </c>
      <c r="F20" s="2">
        <f>InputTOTAL!G57</f>
        <v>0</v>
      </c>
      <c r="G20" s="2">
        <f>InputTOTAL!H57</f>
        <v>0</v>
      </c>
      <c r="H20" s="2">
        <f>InputTOTAL!I57</f>
        <v>0</v>
      </c>
      <c r="I20" s="2">
        <f>InputTOTAL!J57</f>
        <v>0</v>
      </c>
      <c r="J20" s="2">
        <f>InputTOTAL!K57</f>
        <v>0</v>
      </c>
      <c r="K20" s="2">
        <f>InputTOTAL!L57</f>
        <v>0</v>
      </c>
      <c r="L20" s="2">
        <f>InputTOTAL!E79</f>
        <v>0</v>
      </c>
      <c r="M20" s="2">
        <f>InputTOTAL!F79</f>
        <v>0</v>
      </c>
      <c r="N20" s="2">
        <f>InputTOTAL!G79</f>
        <v>0</v>
      </c>
      <c r="O20" s="2">
        <f>InputTOTAL!H79</f>
        <v>0</v>
      </c>
      <c r="P20" s="2">
        <f>InputTOTAL!I79</f>
        <v>0</v>
      </c>
      <c r="Q20" s="2">
        <f>InputTOTAL!J79</f>
        <v>0</v>
      </c>
      <c r="R20" s="2">
        <f>InputTOTAL!K79</f>
        <v>0</v>
      </c>
      <c r="S20" s="253">
        <f>InputTOTAL!L79</f>
        <v>0</v>
      </c>
      <c r="T20" s="145">
        <f t="shared" si="3"/>
        <v>0</v>
      </c>
    </row>
    <row r="21" spans="1:20" ht="15.75" customHeight="1">
      <c r="A21" s="176" t="s">
        <v>86</v>
      </c>
      <c r="B21" s="252">
        <f t="shared" si="2"/>
        <v>2015</v>
      </c>
      <c r="C21" s="161" t="str">
        <f>InputTOTAL!D58</f>
        <v>XXX</v>
      </c>
      <c r="D21" s="161" t="str">
        <f>InputTOTAL!E58</f>
        <v>XXX</v>
      </c>
      <c r="E21" s="2">
        <f>InputTOTAL!F58</f>
        <v>0</v>
      </c>
      <c r="F21" s="2">
        <f>InputTOTAL!G58</f>
        <v>0</v>
      </c>
      <c r="G21" s="2">
        <f>InputTOTAL!H58</f>
        <v>0</v>
      </c>
      <c r="H21" s="2">
        <f>InputTOTAL!I58</f>
        <v>0</v>
      </c>
      <c r="I21" s="2">
        <f>InputTOTAL!J58</f>
        <v>0</v>
      </c>
      <c r="J21" s="2">
        <f>InputTOTAL!K58</f>
        <v>0</v>
      </c>
      <c r="K21" s="2">
        <f>InputTOTAL!L58</f>
        <v>0</v>
      </c>
      <c r="L21" s="2">
        <f>InputTOTAL!E80</f>
        <v>0</v>
      </c>
      <c r="M21" s="2">
        <f>InputTOTAL!F80</f>
        <v>0</v>
      </c>
      <c r="N21" s="2">
        <f>InputTOTAL!G80</f>
        <v>0</v>
      </c>
      <c r="O21" s="2">
        <f>InputTOTAL!H80</f>
        <v>0</v>
      </c>
      <c r="P21" s="2">
        <f>InputTOTAL!I80</f>
        <v>0</v>
      </c>
      <c r="Q21" s="2">
        <f>InputTOTAL!J80</f>
        <v>0</v>
      </c>
      <c r="R21" s="2">
        <f>InputTOTAL!K80</f>
        <v>0</v>
      </c>
      <c r="S21" s="253">
        <f>InputTOTAL!L80</f>
        <v>0</v>
      </c>
      <c r="T21" s="145">
        <f t="shared" si="3"/>
        <v>0</v>
      </c>
    </row>
    <row r="22" spans="1:20" ht="15.75" customHeight="1">
      <c r="A22" s="176" t="s">
        <v>87</v>
      </c>
      <c r="B22" s="252">
        <f t="shared" si="2"/>
        <v>2014</v>
      </c>
      <c r="C22" s="161" t="str">
        <f>InputTOTAL!D59</f>
        <v>XXX</v>
      </c>
      <c r="D22" s="161" t="str">
        <f>InputTOTAL!E59</f>
        <v>XXX</v>
      </c>
      <c r="E22" s="161" t="str">
        <f>InputTOTAL!F59</f>
        <v>XXX</v>
      </c>
      <c r="F22" s="2">
        <f>InputTOTAL!G59</f>
        <v>0</v>
      </c>
      <c r="G22" s="2">
        <f>InputTOTAL!H59</f>
        <v>0</v>
      </c>
      <c r="H22" s="2">
        <f>InputTOTAL!I59</f>
        <v>0</v>
      </c>
      <c r="I22" s="2">
        <f>InputTOTAL!J59</f>
        <v>0</v>
      </c>
      <c r="J22" s="2">
        <f>InputTOTAL!K59</f>
        <v>0</v>
      </c>
      <c r="K22" s="2">
        <f>InputTOTAL!L59</f>
        <v>0</v>
      </c>
      <c r="L22" s="2">
        <f>InputTOTAL!E81</f>
        <v>0</v>
      </c>
      <c r="M22" s="2">
        <f>InputTOTAL!F81</f>
        <v>0</v>
      </c>
      <c r="N22" s="2">
        <f>InputTOTAL!G81</f>
        <v>0</v>
      </c>
      <c r="O22" s="2">
        <f>InputTOTAL!H81</f>
        <v>0</v>
      </c>
      <c r="P22" s="2">
        <f>InputTOTAL!I81</f>
        <v>0</v>
      </c>
      <c r="Q22" s="2">
        <f>InputTOTAL!J81</f>
        <v>0</v>
      </c>
      <c r="R22" s="2">
        <f>InputTOTAL!K81</f>
        <v>0</v>
      </c>
      <c r="S22" s="253">
        <f>InputTOTAL!L81</f>
        <v>0</v>
      </c>
      <c r="T22" s="145">
        <f t="shared" si="3"/>
        <v>0</v>
      </c>
    </row>
    <row r="23" spans="1:20" ht="15.75" customHeight="1">
      <c r="A23" s="176" t="s">
        <v>88</v>
      </c>
      <c r="B23" s="252">
        <f t="shared" si="2"/>
        <v>2013</v>
      </c>
      <c r="C23" s="161" t="str">
        <f>InputTOTAL!D60</f>
        <v>XXX</v>
      </c>
      <c r="D23" s="161" t="str">
        <f>InputTOTAL!E60</f>
        <v>XXX</v>
      </c>
      <c r="E23" s="161" t="str">
        <f>InputTOTAL!F60</f>
        <v>XXX</v>
      </c>
      <c r="F23" s="161" t="str">
        <f>InputTOTAL!G60</f>
        <v>XXX</v>
      </c>
      <c r="G23" s="2">
        <f>InputTOTAL!H60</f>
        <v>0</v>
      </c>
      <c r="H23" s="2">
        <f>InputTOTAL!I60</f>
        <v>0</v>
      </c>
      <c r="I23" s="2">
        <f>InputTOTAL!J60</f>
        <v>0</v>
      </c>
      <c r="J23" s="2">
        <f>InputTOTAL!K60</f>
        <v>0</v>
      </c>
      <c r="K23" s="2">
        <f>InputTOTAL!L60</f>
        <v>0</v>
      </c>
      <c r="L23" s="2">
        <f>InputTOTAL!E82</f>
        <v>0</v>
      </c>
      <c r="M23" s="2">
        <f>InputTOTAL!F82</f>
        <v>0</v>
      </c>
      <c r="N23" s="2">
        <f>InputTOTAL!G82</f>
        <v>0</v>
      </c>
      <c r="O23" s="2">
        <f>InputTOTAL!H82</f>
        <v>0</v>
      </c>
      <c r="P23" s="2">
        <f>InputTOTAL!I82</f>
        <v>0</v>
      </c>
      <c r="Q23" s="2">
        <f>InputTOTAL!J82</f>
        <v>0</v>
      </c>
      <c r="R23" s="2">
        <f>InputTOTAL!K82</f>
        <v>0</v>
      </c>
      <c r="S23" s="253">
        <f>InputTOTAL!L82</f>
        <v>0</v>
      </c>
      <c r="T23" s="145">
        <f t="shared" si="3"/>
        <v>0</v>
      </c>
    </row>
    <row r="24" spans="1:20" ht="15.75" customHeight="1">
      <c r="A24" s="176" t="s">
        <v>89</v>
      </c>
      <c r="B24" s="252">
        <f t="shared" si="2"/>
        <v>2012</v>
      </c>
      <c r="C24" s="161" t="str">
        <f>InputTOTAL!D61</f>
        <v>XXX</v>
      </c>
      <c r="D24" s="161" t="str">
        <f>InputTOTAL!E61</f>
        <v>XXX</v>
      </c>
      <c r="E24" s="161" t="str">
        <f>InputTOTAL!F61</f>
        <v>XXX</v>
      </c>
      <c r="F24" s="161" t="str">
        <f>InputTOTAL!G61</f>
        <v>XXX</v>
      </c>
      <c r="G24" s="161" t="str">
        <f>InputTOTAL!H61</f>
        <v>XXX</v>
      </c>
      <c r="H24" s="2">
        <f>InputTOTAL!I61</f>
        <v>0</v>
      </c>
      <c r="I24" s="2">
        <f>InputTOTAL!J61</f>
        <v>0</v>
      </c>
      <c r="J24" s="2">
        <f>InputTOTAL!K61</f>
        <v>0</v>
      </c>
      <c r="K24" s="2">
        <f>InputTOTAL!L61</f>
        <v>0</v>
      </c>
      <c r="L24" s="2">
        <f>InputTOTAL!E83</f>
        <v>0</v>
      </c>
      <c r="M24" s="2">
        <f>InputTOTAL!F83</f>
        <v>0</v>
      </c>
      <c r="N24" s="2">
        <f>InputTOTAL!G83</f>
        <v>0</v>
      </c>
      <c r="O24" s="2">
        <f>InputTOTAL!H83</f>
        <v>0</v>
      </c>
      <c r="P24" s="2">
        <f>InputTOTAL!I83</f>
        <v>0</v>
      </c>
      <c r="Q24" s="2">
        <f>InputTOTAL!J83</f>
        <v>0</v>
      </c>
      <c r="R24" s="2">
        <f>InputTOTAL!K83</f>
        <v>0</v>
      </c>
      <c r="S24" s="253">
        <f>InputTOTAL!L83</f>
        <v>0</v>
      </c>
      <c r="T24" s="145">
        <f t="shared" si="3"/>
        <v>0</v>
      </c>
    </row>
    <row r="25" spans="1:20" ht="15.75" customHeight="1">
      <c r="A25" s="176" t="s">
        <v>90</v>
      </c>
      <c r="B25" s="252">
        <f t="shared" si="2"/>
        <v>2011</v>
      </c>
      <c r="C25" s="161" t="str">
        <f>InputTOTAL!D62</f>
        <v>XXX</v>
      </c>
      <c r="D25" s="161" t="str">
        <f>InputTOTAL!E62</f>
        <v>XXX</v>
      </c>
      <c r="E25" s="161" t="str">
        <f>InputTOTAL!F62</f>
        <v>XXX</v>
      </c>
      <c r="F25" s="161" t="str">
        <f>InputTOTAL!G62</f>
        <v>XXX</v>
      </c>
      <c r="G25" s="161" t="str">
        <f>InputTOTAL!H62</f>
        <v>XXX</v>
      </c>
      <c r="H25" s="161" t="str">
        <f>InputTOTAL!I62</f>
        <v>XXX</v>
      </c>
      <c r="I25" s="2">
        <f>InputTOTAL!J62</f>
        <v>0</v>
      </c>
      <c r="J25" s="2">
        <f>InputTOTAL!K62</f>
        <v>0</v>
      </c>
      <c r="K25" s="2">
        <f>InputTOTAL!L62</f>
        <v>0</v>
      </c>
      <c r="L25" s="2">
        <f>InputTOTAL!E84</f>
        <v>0</v>
      </c>
      <c r="M25" s="2">
        <f>InputTOTAL!F84</f>
        <v>0</v>
      </c>
      <c r="N25" s="2">
        <f>InputTOTAL!G84</f>
        <v>0</v>
      </c>
      <c r="O25" s="2">
        <f>InputTOTAL!H84</f>
        <v>0</v>
      </c>
      <c r="P25" s="2">
        <f>InputTOTAL!I84</f>
        <v>0</v>
      </c>
      <c r="Q25" s="2">
        <f>InputTOTAL!J84</f>
        <v>0</v>
      </c>
      <c r="R25" s="2">
        <f>InputTOTAL!K84</f>
        <v>0</v>
      </c>
      <c r="S25" s="253">
        <f>InputTOTAL!L84</f>
        <v>0</v>
      </c>
      <c r="T25" s="145">
        <f t="shared" si="3"/>
        <v>0</v>
      </c>
    </row>
    <row r="26" spans="1:20" ht="15.75" customHeight="1">
      <c r="A26" s="176" t="s">
        <v>91</v>
      </c>
      <c r="B26" s="252">
        <f t="shared" si="2"/>
        <v>2010</v>
      </c>
      <c r="C26" s="161" t="str">
        <f>InputTOTAL!D63</f>
        <v>XXX</v>
      </c>
      <c r="D26" s="161" t="str">
        <f>InputTOTAL!E63</f>
        <v>XXX</v>
      </c>
      <c r="E26" s="161" t="str">
        <f>InputTOTAL!F63</f>
        <v>XXX</v>
      </c>
      <c r="F26" s="161" t="str">
        <f>InputTOTAL!G63</f>
        <v>XXX</v>
      </c>
      <c r="G26" s="161" t="str">
        <f>InputTOTAL!H63</f>
        <v>XXX</v>
      </c>
      <c r="H26" s="161" t="str">
        <f>InputTOTAL!I63</f>
        <v>XXX</v>
      </c>
      <c r="I26" s="161" t="str">
        <f>InputTOTAL!J63</f>
        <v>XXX</v>
      </c>
      <c r="J26" s="2">
        <f>InputTOTAL!K63</f>
        <v>0</v>
      </c>
      <c r="K26" s="2">
        <f>InputTOTAL!L63</f>
        <v>0</v>
      </c>
      <c r="L26" s="2">
        <f>InputTOTAL!E85</f>
        <v>0</v>
      </c>
      <c r="M26" s="2">
        <f>InputTOTAL!F85</f>
        <v>0</v>
      </c>
      <c r="N26" s="2">
        <f>InputTOTAL!G85</f>
        <v>0</v>
      </c>
      <c r="O26" s="2">
        <f>InputTOTAL!H85</f>
        <v>0</v>
      </c>
      <c r="P26" s="2">
        <f>InputTOTAL!I85</f>
        <v>0</v>
      </c>
      <c r="Q26" s="2">
        <f>InputTOTAL!J85</f>
        <v>0</v>
      </c>
      <c r="R26" s="2">
        <f>InputTOTAL!K85</f>
        <v>0</v>
      </c>
      <c r="S26" s="253">
        <f>InputTOTAL!L85</f>
        <v>0</v>
      </c>
      <c r="T26" s="145">
        <f t="shared" si="3"/>
        <v>0</v>
      </c>
    </row>
    <row r="27" spans="1:20" ht="15.75" customHeight="1">
      <c r="A27" s="176" t="s">
        <v>92</v>
      </c>
      <c r="B27" s="252">
        <f t="shared" si="2"/>
        <v>2009</v>
      </c>
      <c r="C27" s="161" t="str">
        <f>InputTOTAL!D64</f>
        <v>XXX</v>
      </c>
      <c r="D27" s="161" t="str">
        <f>InputTOTAL!E64</f>
        <v>XXX</v>
      </c>
      <c r="E27" s="161" t="str">
        <f>InputTOTAL!F64</f>
        <v>XXX</v>
      </c>
      <c r="F27" s="161" t="str">
        <f>InputTOTAL!G64</f>
        <v>XXX</v>
      </c>
      <c r="G27" s="161" t="str">
        <f>InputTOTAL!H64</f>
        <v>XXX</v>
      </c>
      <c r="H27" s="161" t="str">
        <f>InputTOTAL!I64</f>
        <v>XXX</v>
      </c>
      <c r="I27" s="161" t="str">
        <f>InputTOTAL!J64</f>
        <v>XXX</v>
      </c>
      <c r="J27" s="161" t="str">
        <f>InputTOTAL!K64</f>
        <v>XXX</v>
      </c>
      <c r="K27" s="2">
        <f>InputTOTAL!L64</f>
        <v>0</v>
      </c>
      <c r="L27" s="2">
        <f>InputTOTAL!E86</f>
        <v>0</v>
      </c>
      <c r="M27" s="2">
        <f>InputTOTAL!F86</f>
        <v>0</v>
      </c>
      <c r="N27" s="2">
        <f>InputTOTAL!G86</f>
        <v>0</v>
      </c>
      <c r="O27" s="2">
        <f>InputTOTAL!H86</f>
        <v>0</v>
      </c>
      <c r="P27" s="2">
        <f>InputTOTAL!I86</f>
        <v>0</v>
      </c>
      <c r="Q27" s="2">
        <f>InputTOTAL!J86</f>
        <v>0</v>
      </c>
      <c r="R27" s="2">
        <f>InputTOTAL!K86</f>
        <v>0</v>
      </c>
      <c r="S27" s="253">
        <f>InputTOTAL!L86</f>
        <v>0</v>
      </c>
      <c r="T27" s="145">
        <f t="shared" si="3"/>
        <v>0</v>
      </c>
    </row>
    <row r="28" spans="1:20" ht="15.75" customHeight="1">
      <c r="A28" s="176" t="s">
        <v>93</v>
      </c>
      <c r="B28" s="252">
        <f t="shared" si="2"/>
        <v>2008</v>
      </c>
      <c r="C28" s="91" t="s">
        <v>0</v>
      </c>
      <c r="D28" s="91" t="s">
        <v>0</v>
      </c>
      <c r="E28" s="91" t="s">
        <v>0</v>
      </c>
      <c r="F28" s="91" t="s">
        <v>0</v>
      </c>
      <c r="G28" s="91" t="s">
        <v>0</v>
      </c>
      <c r="H28" s="91" t="s">
        <v>0</v>
      </c>
      <c r="I28" s="91" t="s">
        <v>0</v>
      </c>
      <c r="J28" s="91" t="s">
        <v>0</v>
      </c>
      <c r="K28" s="91" t="s">
        <v>0</v>
      </c>
      <c r="L28" s="2">
        <f>InputTOTAL!E87</f>
        <v>0</v>
      </c>
      <c r="M28" s="2">
        <f>InputTOTAL!F87</f>
        <v>0</v>
      </c>
      <c r="N28" s="2">
        <f>InputTOTAL!G87</f>
        <v>0</v>
      </c>
      <c r="O28" s="2">
        <f>InputTOTAL!H87</f>
        <v>0</v>
      </c>
      <c r="P28" s="2">
        <f>InputTOTAL!I87</f>
        <v>0</v>
      </c>
      <c r="Q28" s="2">
        <f>InputTOTAL!J87</f>
        <v>0</v>
      </c>
      <c r="R28" s="2">
        <f>InputTOTAL!K87</f>
        <v>0</v>
      </c>
      <c r="S28" s="253">
        <f>InputTOTAL!L87</f>
        <v>0</v>
      </c>
      <c r="T28" s="145">
        <f t="shared" si="3"/>
        <v>0</v>
      </c>
    </row>
    <row r="29" spans="1:20" ht="15.75" customHeight="1">
      <c r="A29" s="176" t="s">
        <v>94</v>
      </c>
      <c r="B29" s="252">
        <f t="shared" si="2"/>
        <v>2007</v>
      </c>
      <c r="C29" s="91" t="s">
        <v>0</v>
      </c>
      <c r="D29" s="91" t="s">
        <v>0</v>
      </c>
      <c r="E29" s="91" t="s">
        <v>0</v>
      </c>
      <c r="F29" s="91" t="s">
        <v>0</v>
      </c>
      <c r="G29" s="91" t="s">
        <v>0</v>
      </c>
      <c r="H29" s="91" t="s">
        <v>0</v>
      </c>
      <c r="I29" s="91" t="s">
        <v>0</v>
      </c>
      <c r="J29" s="91" t="s">
        <v>0</v>
      </c>
      <c r="K29" s="91" t="s">
        <v>0</v>
      </c>
      <c r="L29" s="161" t="str">
        <f>InputTOTAL!E88</f>
        <v>XXX</v>
      </c>
      <c r="M29" s="2">
        <f>InputTOTAL!F88</f>
        <v>0</v>
      </c>
      <c r="N29" s="2">
        <f>InputTOTAL!G88</f>
        <v>0</v>
      </c>
      <c r="O29" s="2">
        <f>InputTOTAL!H88</f>
        <v>0</v>
      </c>
      <c r="P29" s="2">
        <f>InputTOTAL!I88</f>
        <v>0</v>
      </c>
      <c r="Q29" s="2">
        <f>InputTOTAL!J88</f>
        <v>0</v>
      </c>
      <c r="R29" s="2">
        <f>InputTOTAL!K88</f>
        <v>0</v>
      </c>
      <c r="S29" s="253">
        <f>InputTOTAL!L88</f>
        <v>0</v>
      </c>
      <c r="T29" s="145">
        <f t="shared" si="3"/>
        <v>0</v>
      </c>
    </row>
    <row r="30" spans="1:20" ht="15.75" customHeight="1">
      <c r="A30" s="176" t="s">
        <v>95</v>
      </c>
      <c r="B30" s="252">
        <f t="shared" si="2"/>
        <v>2006</v>
      </c>
      <c r="C30" s="91" t="s">
        <v>0</v>
      </c>
      <c r="D30" s="91" t="s">
        <v>0</v>
      </c>
      <c r="E30" s="91" t="s">
        <v>0</v>
      </c>
      <c r="F30" s="91" t="s">
        <v>0</v>
      </c>
      <c r="G30" s="91" t="s">
        <v>0</v>
      </c>
      <c r="H30" s="91" t="s">
        <v>0</v>
      </c>
      <c r="I30" s="91" t="s">
        <v>0</v>
      </c>
      <c r="J30" s="91" t="s">
        <v>0</v>
      </c>
      <c r="K30" s="91" t="s">
        <v>0</v>
      </c>
      <c r="L30" s="161" t="str">
        <f>InputTOTAL!E89</f>
        <v>XXX</v>
      </c>
      <c r="M30" s="161" t="str">
        <f>InputTOTAL!F89</f>
        <v>XXX</v>
      </c>
      <c r="N30" s="2">
        <f>InputTOTAL!G89</f>
        <v>0</v>
      </c>
      <c r="O30" s="2">
        <f>InputTOTAL!H89</f>
        <v>0</v>
      </c>
      <c r="P30" s="2">
        <f>InputTOTAL!I89</f>
        <v>0</v>
      </c>
      <c r="Q30" s="2">
        <f>InputTOTAL!J89</f>
        <v>0</v>
      </c>
      <c r="R30" s="2">
        <f>InputTOTAL!K89</f>
        <v>0</v>
      </c>
      <c r="S30" s="253">
        <f>InputTOTAL!L89</f>
        <v>0</v>
      </c>
      <c r="T30" s="145">
        <f t="shared" si="3"/>
        <v>0</v>
      </c>
    </row>
    <row r="31" spans="1:20" ht="15.75" customHeight="1">
      <c r="A31" s="176" t="s">
        <v>96</v>
      </c>
      <c r="B31" s="252">
        <f t="shared" si="2"/>
        <v>2005</v>
      </c>
      <c r="C31" s="91" t="s">
        <v>0</v>
      </c>
      <c r="D31" s="91" t="s">
        <v>0</v>
      </c>
      <c r="E31" s="91" t="s">
        <v>0</v>
      </c>
      <c r="F31" s="91" t="s">
        <v>0</v>
      </c>
      <c r="G31" s="91" t="s">
        <v>0</v>
      </c>
      <c r="H31" s="91" t="s">
        <v>0</v>
      </c>
      <c r="I31" s="91" t="s">
        <v>0</v>
      </c>
      <c r="J31" s="91" t="s">
        <v>0</v>
      </c>
      <c r="K31" s="91" t="s">
        <v>0</v>
      </c>
      <c r="L31" s="161" t="str">
        <f>InputTOTAL!E90</f>
        <v>XXX</v>
      </c>
      <c r="M31" s="161" t="str">
        <f>InputTOTAL!F90</f>
        <v>XXX</v>
      </c>
      <c r="N31" s="161" t="str">
        <f>InputTOTAL!G90</f>
        <v>XXX</v>
      </c>
      <c r="O31" s="2">
        <f>InputTOTAL!H90</f>
        <v>0</v>
      </c>
      <c r="P31" s="2">
        <f>InputTOTAL!I90</f>
        <v>0</v>
      </c>
      <c r="Q31" s="2">
        <f>InputTOTAL!J90</f>
        <v>0</v>
      </c>
      <c r="R31" s="2">
        <f>InputTOTAL!K90</f>
        <v>0</v>
      </c>
      <c r="S31" s="253">
        <f>InputTOTAL!L90</f>
        <v>0</v>
      </c>
      <c r="T31" s="145">
        <f t="shared" si="3"/>
        <v>0</v>
      </c>
    </row>
    <row r="32" spans="1:20" ht="15.75" customHeight="1">
      <c r="A32" s="176" t="s">
        <v>244</v>
      </c>
      <c r="B32" s="252">
        <f t="shared" si="2"/>
        <v>2004</v>
      </c>
      <c r="C32" s="91" t="s">
        <v>0</v>
      </c>
      <c r="D32" s="91" t="s">
        <v>0</v>
      </c>
      <c r="E32" s="91" t="s">
        <v>0</v>
      </c>
      <c r="F32" s="91" t="s">
        <v>0</v>
      </c>
      <c r="G32" s="91" t="s">
        <v>0</v>
      </c>
      <c r="H32" s="91" t="s">
        <v>0</v>
      </c>
      <c r="I32" s="91" t="s">
        <v>0</v>
      </c>
      <c r="J32" s="91" t="s">
        <v>0</v>
      </c>
      <c r="K32" s="91" t="s">
        <v>0</v>
      </c>
      <c r="L32" s="161" t="str">
        <f>InputTOTAL!E91</f>
        <v>XXX</v>
      </c>
      <c r="M32" s="161" t="str">
        <f>InputTOTAL!F91</f>
        <v>XXX</v>
      </c>
      <c r="N32" s="161" t="str">
        <f>InputTOTAL!G91</f>
        <v>XXX</v>
      </c>
      <c r="O32" s="161" t="str">
        <f>InputTOTAL!H91</f>
        <v>XXX</v>
      </c>
      <c r="P32" s="2">
        <f>InputTOTAL!I91</f>
        <v>0</v>
      </c>
      <c r="Q32" s="2">
        <f>InputTOTAL!J91</f>
        <v>0</v>
      </c>
      <c r="R32" s="2">
        <f>InputTOTAL!K91</f>
        <v>0</v>
      </c>
      <c r="S32" s="253">
        <f>InputTOTAL!L91</f>
        <v>0</v>
      </c>
      <c r="T32" s="145">
        <f t="shared" si="3"/>
        <v>0</v>
      </c>
    </row>
    <row r="33" spans="1:20" ht="15.75" customHeight="1">
      <c r="A33" s="176" t="s">
        <v>245</v>
      </c>
      <c r="B33" s="252">
        <f t="shared" si="2"/>
        <v>2003</v>
      </c>
      <c r="C33" s="91" t="s">
        <v>0</v>
      </c>
      <c r="D33" s="91" t="s">
        <v>0</v>
      </c>
      <c r="E33" s="91" t="s">
        <v>0</v>
      </c>
      <c r="F33" s="91" t="s">
        <v>0</v>
      </c>
      <c r="G33" s="91" t="s">
        <v>0</v>
      </c>
      <c r="H33" s="91" t="s">
        <v>0</v>
      </c>
      <c r="I33" s="91" t="s">
        <v>0</v>
      </c>
      <c r="J33" s="91" t="s">
        <v>0</v>
      </c>
      <c r="K33" s="91" t="s">
        <v>0</v>
      </c>
      <c r="L33" s="161" t="str">
        <f>InputTOTAL!E92</f>
        <v>XXX</v>
      </c>
      <c r="M33" s="161" t="str">
        <f>InputTOTAL!F92</f>
        <v>XXX</v>
      </c>
      <c r="N33" s="161" t="str">
        <f>InputTOTAL!G92</f>
        <v>XXX</v>
      </c>
      <c r="O33" s="161" t="str">
        <f>InputTOTAL!H92</f>
        <v>XXX</v>
      </c>
      <c r="P33" s="161" t="str">
        <f>InputTOTAL!I92</f>
        <v>XXX</v>
      </c>
      <c r="Q33" s="2">
        <f>InputTOTAL!J92</f>
        <v>0</v>
      </c>
      <c r="R33" s="2">
        <f>InputTOTAL!K92</f>
        <v>0</v>
      </c>
      <c r="S33" s="253">
        <f>InputTOTAL!L92</f>
        <v>0</v>
      </c>
      <c r="T33" s="145">
        <f t="shared" si="3"/>
        <v>0</v>
      </c>
    </row>
    <row r="34" spans="1:20" ht="15.75" customHeight="1">
      <c r="A34" s="176" t="s">
        <v>246</v>
      </c>
      <c r="B34" s="252">
        <f t="shared" si="2"/>
        <v>2002</v>
      </c>
      <c r="C34" s="91" t="s">
        <v>0</v>
      </c>
      <c r="D34" s="91" t="s">
        <v>0</v>
      </c>
      <c r="E34" s="91" t="s">
        <v>0</v>
      </c>
      <c r="F34" s="91" t="s">
        <v>0</v>
      </c>
      <c r="G34" s="91" t="s">
        <v>0</v>
      </c>
      <c r="H34" s="91" t="s">
        <v>0</v>
      </c>
      <c r="I34" s="91" t="s">
        <v>0</v>
      </c>
      <c r="J34" s="91" t="s">
        <v>0</v>
      </c>
      <c r="K34" s="91" t="s">
        <v>0</v>
      </c>
      <c r="L34" s="161" t="str">
        <f>InputTOTAL!E93</f>
        <v>XXX</v>
      </c>
      <c r="M34" s="161" t="str">
        <f>InputTOTAL!F93</f>
        <v>XXX</v>
      </c>
      <c r="N34" s="161" t="str">
        <f>InputTOTAL!G93</f>
        <v>XXX</v>
      </c>
      <c r="O34" s="161" t="str">
        <f>InputTOTAL!H93</f>
        <v>XXX</v>
      </c>
      <c r="P34" s="161" t="str">
        <f>InputTOTAL!I93</f>
        <v>XXX</v>
      </c>
      <c r="Q34" s="161" t="str">
        <f>InputTOTAL!J93</f>
        <v>XXX</v>
      </c>
      <c r="R34" s="2">
        <f>InputTOTAL!K93</f>
        <v>0</v>
      </c>
      <c r="S34" s="253">
        <f>InputTOTAL!L93</f>
        <v>0</v>
      </c>
      <c r="T34" s="145">
        <f t="shared" si="3"/>
        <v>0</v>
      </c>
    </row>
    <row r="35" spans="1:20" ht="15.75" customHeight="1">
      <c r="A35" s="176" t="s">
        <v>247</v>
      </c>
      <c r="B35" s="252">
        <f t="shared" si="2"/>
        <v>2001</v>
      </c>
      <c r="C35" s="254" t="s">
        <v>0</v>
      </c>
      <c r="D35" s="254" t="s">
        <v>0</v>
      </c>
      <c r="E35" s="254" t="s">
        <v>0</v>
      </c>
      <c r="F35" s="254" t="s">
        <v>0</v>
      </c>
      <c r="G35" s="254" t="s">
        <v>0</v>
      </c>
      <c r="H35" s="254" t="s">
        <v>0</v>
      </c>
      <c r="I35" s="254" t="s">
        <v>0</v>
      </c>
      <c r="J35" s="254" t="s">
        <v>0</v>
      </c>
      <c r="K35" s="254" t="s">
        <v>0</v>
      </c>
      <c r="L35" s="255" t="str">
        <f>InputTOTAL!E94</f>
        <v>XXX</v>
      </c>
      <c r="M35" s="255" t="str">
        <f>InputTOTAL!F94</f>
        <v>XXX</v>
      </c>
      <c r="N35" s="255" t="str">
        <f>InputTOTAL!G94</f>
        <v>XXX</v>
      </c>
      <c r="O35" s="255" t="str">
        <f>InputTOTAL!H94</f>
        <v>XXX</v>
      </c>
      <c r="P35" s="255" t="str">
        <f>InputTOTAL!I94</f>
        <v>XXX</v>
      </c>
      <c r="Q35" s="255" t="str">
        <f>InputTOTAL!J94</f>
        <v>XXX</v>
      </c>
      <c r="R35" s="255" t="str">
        <f>InputTOTAL!K94</f>
        <v>XXX</v>
      </c>
      <c r="S35" s="256">
        <f>InputTOTAL!L94</f>
        <v>0</v>
      </c>
      <c r="T35" s="464">
        <f t="shared" si="3"/>
        <v>0</v>
      </c>
    </row>
    <row r="36" spans="1:20" ht="15.75" customHeight="1">
      <c r="A36" s="257" t="s">
        <v>59</v>
      </c>
      <c r="B36" s="258"/>
      <c r="C36" s="259"/>
      <c r="D36" s="259"/>
      <c r="E36" s="259"/>
      <c r="F36" s="259"/>
      <c r="G36" s="259"/>
      <c r="H36" s="259"/>
      <c r="I36" s="259"/>
      <c r="J36" s="259"/>
      <c r="K36" s="259"/>
      <c r="L36" s="161"/>
      <c r="M36" s="161"/>
      <c r="N36" s="161"/>
      <c r="O36" s="161"/>
      <c r="P36" s="161"/>
      <c r="Q36" s="161"/>
      <c r="R36" s="161"/>
      <c r="S36" s="2"/>
      <c r="T36" s="145"/>
    </row>
    <row r="37" spans="1:20" ht="15.75" customHeight="1">
      <c r="A37" s="242" t="s">
        <v>173</v>
      </c>
      <c r="B37" s="260"/>
      <c r="C37" s="2">
        <f>SUM(C13:C35)</f>
        <v>0</v>
      </c>
      <c r="D37" s="2">
        <f aca="true" t="shared" si="4" ref="D37:S37">SUM(D13:D35)</f>
        <v>0</v>
      </c>
      <c r="E37" s="2">
        <f t="shared" si="4"/>
        <v>0</v>
      </c>
      <c r="F37" s="2">
        <f t="shared" si="4"/>
        <v>0</v>
      </c>
      <c r="G37" s="2">
        <f t="shared" si="4"/>
        <v>0</v>
      </c>
      <c r="H37" s="2">
        <f t="shared" si="4"/>
        <v>0</v>
      </c>
      <c r="I37" s="2">
        <f t="shared" si="4"/>
        <v>0</v>
      </c>
      <c r="J37" s="2">
        <f t="shared" si="4"/>
        <v>0</v>
      </c>
      <c r="K37" s="2">
        <f t="shared" si="4"/>
        <v>0</v>
      </c>
      <c r="L37" s="2">
        <f t="shared" si="4"/>
        <v>0</v>
      </c>
      <c r="M37" s="2">
        <f t="shared" si="4"/>
        <v>0</v>
      </c>
      <c r="N37" s="2">
        <f t="shared" si="4"/>
        <v>0</v>
      </c>
      <c r="O37" s="2">
        <f t="shared" si="4"/>
        <v>0</v>
      </c>
      <c r="P37" s="2">
        <f t="shared" si="4"/>
        <v>0</v>
      </c>
      <c r="Q37" s="2">
        <f t="shared" si="4"/>
        <v>0</v>
      </c>
      <c r="R37" s="2">
        <f t="shared" si="4"/>
        <v>0</v>
      </c>
      <c r="S37" s="2">
        <f t="shared" si="4"/>
        <v>0</v>
      </c>
      <c r="T37" s="145">
        <f>SUM(T13:T35)</f>
        <v>0</v>
      </c>
    </row>
    <row r="38" spans="1:20" ht="15.75" customHeight="1">
      <c r="A38" s="240" t="s">
        <v>59</v>
      </c>
      <c r="B38" s="260"/>
      <c r="C38" s="2"/>
      <c r="D38" s="2"/>
      <c r="E38" s="2"/>
      <c r="F38" s="2"/>
      <c r="G38" s="2"/>
      <c r="H38" s="2"/>
      <c r="I38" s="2"/>
      <c r="J38" s="2"/>
      <c r="K38" s="2"/>
      <c r="L38" s="2"/>
      <c r="M38" s="2"/>
      <c r="N38" s="2"/>
      <c r="O38" s="2"/>
      <c r="P38" s="2"/>
      <c r="Q38" s="2"/>
      <c r="R38" s="2"/>
      <c r="S38" s="2"/>
      <c r="T38" s="145"/>
    </row>
    <row r="39" spans="1:20" ht="15.75" customHeight="1" thickBot="1">
      <c r="A39" s="261" t="s">
        <v>174</v>
      </c>
      <c r="B39" s="262"/>
      <c r="C39" s="13">
        <f aca="true" t="shared" si="5" ref="C39:T39">C8-C37</f>
        <v>0</v>
      </c>
      <c r="D39" s="13">
        <f t="shared" si="5"/>
        <v>0</v>
      </c>
      <c r="E39" s="13">
        <f t="shared" si="5"/>
        <v>0</v>
      </c>
      <c r="F39" s="13">
        <f t="shared" si="5"/>
        <v>0</v>
      </c>
      <c r="G39" s="13">
        <f t="shared" si="5"/>
        <v>0</v>
      </c>
      <c r="H39" s="13">
        <f t="shared" si="5"/>
        <v>0</v>
      </c>
      <c r="I39" s="13">
        <f t="shared" si="5"/>
        <v>0</v>
      </c>
      <c r="J39" s="13">
        <f t="shared" si="5"/>
        <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245">
        <f t="shared" si="5"/>
        <v>0</v>
      </c>
    </row>
  </sheetData>
  <sheetProtection password="DCE9" sheet="1" objects="1" scenarios="1"/>
  <printOptions headings="1"/>
  <pageMargins left="0.75" right="0.75" top="1" bottom="1" header="0.5" footer="0.5"/>
  <pageSetup firstPageNumber="38" useFirstPageNumber="1" horizontalDpi="300" verticalDpi="300" orientation="landscape" scale="70" r:id="rId1"/>
  <headerFooter alignWithMargins="0">
    <oddFooter>&amp;L&amp;D&amp;RPage &amp;P of &amp;N</oddFooter>
  </headerFooter>
  <colBreaks count="1" manualBreakCount="1">
    <brk id="10" max="65535" man="1"/>
  </colBreaks>
</worksheet>
</file>

<file path=xl/worksheets/sheet25.xml><?xml version="1.0" encoding="utf-8"?>
<worksheet xmlns="http://schemas.openxmlformats.org/spreadsheetml/2006/main" xmlns:r="http://schemas.openxmlformats.org/officeDocument/2006/relationships">
  <sheetPr codeName="Sheet101"/>
  <dimension ref="A1:T39"/>
  <sheetViews>
    <sheetView view="pageBreakPreview" zoomScale="85" zoomScaleNormal="85" zoomScaleSheetLayoutView="85" zoomScalePageLayoutView="0" workbookViewId="0" topLeftCell="A1">
      <selection activeCell="A1" sqref="A1"/>
    </sheetView>
  </sheetViews>
  <sheetFormatPr defaultColWidth="9.140625" defaultRowHeight="15.75" customHeight="1"/>
  <cols>
    <col min="1" max="2" width="16.7109375" style="104" customWidth="1"/>
    <col min="3" max="20" width="13.7109375" style="104" customWidth="1"/>
    <col min="21" max="16384" width="9.140625" style="104" customWidth="1"/>
  </cols>
  <sheetData>
    <row r="1" spans="1:20" ht="15.75" customHeight="1">
      <c r="A1" s="136" t="str">
        <f>InputB!$A$1</f>
        <v>Group Name:</v>
      </c>
      <c r="B1" s="136"/>
      <c r="C1" s="137" t="str">
        <f>InputB!$C$1</f>
        <v>enter group name here</v>
      </c>
      <c r="D1" s="142"/>
      <c r="E1" s="142"/>
      <c r="F1"/>
      <c r="G1"/>
      <c r="H1"/>
      <c r="I1"/>
      <c r="J1" s="138" t="s">
        <v>55</v>
      </c>
      <c r="K1" s="142" t="str">
        <f>A1</f>
        <v>Group Name:</v>
      </c>
      <c r="L1" s="142"/>
      <c r="M1" s="137" t="str">
        <f>C1</f>
        <v>enter group name here</v>
      </c>
      <c r="N1" s="142"/>
      <c r="O1" s="142"/>
      <c r="P1"/>
      <c r="Q1"/>
      <c r="R1"/>
      <c r="S1"/>
      <c r="T1" s="107" t="str">
        <f>J1</f>
        <v>Exhibit 7</v>
      </c>
    </row>
    <row r="2" spans="1:20" ht="15.75" customHeight="1">
      <c r="A2" s="140" t="str">
        <f>InputB!$A$2</f>
        <v>Group NAIC #:</v>
      </c>
      <c r="B2" s="140"/>
      <c r="C2" s="137" t="str">
        <f>InputB!$C$2</f>
        <v>enter group # here</v>
      </c>
      <c r="D2" s="142"/>
      <c r="E2" s="142"/>
      <c r="F2"/>
      <c r="G2"/>
      <c r="H2"/>
      <c r="I2"/>
      <c r="J2" s="107" t="s">
        <v>103</v>
      </c>
      <c r="K2" s="142" t="str">
        <f>A2</f>
        <v>Group NAIC #:</v>
      </c>
      <c r="L2" s="142"/>
      <c r="M2" s="137" t="str">
        <f>C2</f>
        <v>enter group # here</v>
      </c>
      <c r="N2" s="142"/>
      <c r="O2" s="142"/>
      <c r="P2"/>
      <c r="Q2"/>
      <c r="R2"/>
      <c r="S2"/>
      <c r="T2" s="138" t="s">
        <v>116</v>
      </c>
    </row>
    <row r="3" spans="1:20" ht="15.75" customHeight="1">
      <c r="A3" s="136" t="str">
        <f>InputB!$A$3</f>
        <v>Year Filed:</v>
      </c>
      <c r="B3" s="136"/>
      <c r="C3" s="141">
        <f>InputB!$C$3</f>
        <v>2024</v>
      </c>
      <c r="D3" s="142"/>
      <c r="E3" s="142"/>
      <c r="F3"/>
      <c r="G3"/>
      <c r="H3"/>
      <c r="I3"/>
      <c r="K3" s="142" t="str">
        <f>A3</f>
        <v>Year Filed:</v>
      </c>
      <c r="L3" s="142"/>
      <c r="M3" s="141">
        <f>C3</f>
        <v>2024</v>
      </c>
      <c r="N3" s="142"/>
      <c r="O3" s="142"/>
      <c r="P3"/>
      <c r="Q3"/>
      <c r="R3"/>
      <c r="S3"/>
      <c r="T3" s="142"/>
    </row>
    <row r="4" spans="1:20" ht="15.75" customHeight="1">
      <c r="A4" s="142"/>
      <c r="B4" s="142"/>
      <c r="C4" s="142"/>
      <c r="D4" s="142"/>
      <c r="E4" s="142"/>
      <c r="F4" s="142"/>
      <c r="G4" s="142"/>
      <c r="H4" s="142"/>
      <c r="I4" s="142"/>
      <c r="J4" s="142"/>
      <c r="K4" s="142"/>
      <c r="L4" s="142"/>
      <c r="M4" s="142"/>
      <c r="N4" s="142"/>
      <c r="O4" s="142"/>
      <c r="P4" s="142"/>
      <c r="Q4" s="142"/>
      <c r="R4" s="142"/>
      <c r="S4" s="142"/>
      <c r="T4" s="142"/>
    </row>
    <row r="5" spans="1:20" ht="15.75" customHeight="1" thickBot="1">
      <c r="A5" s="142"/>
      <c r="B5" s="142"/>
      <c r="C5" s="142"/>
      <c r="D5" s="142"/>
      <c r="E5" s="142"/>
      <c r="F5" s="142"/>
      <c r="G5" s="142"/>
      <c r="H5" s="142"/>
      <c r="I5" s="142"/>
      <c r="J5" s="142"/>
      <c r="K5" s="142"/>
      <c r="L5" s="142"/>
      <c r="M5" s="142"/>
      <c r="N5" s="142"/>
      <c r="O5" s="142"/>
      <c r="P5" s="142"/>
      <c r="Q5" s="142"/>
      <c r="R5" s="142"/>
      <c r="S5" s="142"/>
      <c r="T5" s="142"/>
    </row>
    <row r="6" spans="1:20" ht="15.75" customHeight="1">
      <c r="A6" s="237"/>
      <c r="B6" s="168"/>
      <c r="C6" s="238" t="s">
        <v>17</v>
      </c>
      <c r="D6" s="223"/>
      <c r="E6" s="223"/>
      <c r="F6" s="223"/>
      <c r="G6" s="223"/>
      <c r="H6" s="223"/>
      <c r="I6" s="223"/>
      <c r="J6" s="223"/>
      <c r="K6" s="223" t="str">
        <f>$C6</f>
        <v>Calendar Year</v>
      </c>
      <c r="L6" s="223"/>
      <c r="M6" s="223"/>
      <c r="N6" s="223"/>
      <c r="O6" s="223"/>
      <c r="P6" s="223"/>
      <c r="Q6" s="223"/>
      <c r="R6" s="223"/>
      <c r="S6" s="223"/>
      <c r="T6" s="239"/>
    </row>
    <row r="7" spans="1:20" ht="15.75" customHeight="1">
      <c r="A7" s="240" t="s">
        <v>59</v>
      </c>
      <c r="B7" s="203"/>
      <c r="C7" s="177">
        <f>ReportYear</f>
        <v>2024</v>
      </c>
      <c r="D7" s="177">
        <f>ReportYear-1</f>
        <v>2023</v>
      </c>
      <c r="E7" s="177">
        <f>ReportYear-2</f>
        <v>2022</v>
      </c>
      <c r="F7" s="177">
        <f aca="true" t="shared" si="0" ref="F7:R7">E7-1</f>
        <v>2021</v>
      </c>
      <c r="G7" s="177">
        <f t="shared" si="0"/>
        <v>2020</v>
      </c>
      <c r="H7" s="177">
        <f t="shared" si="0"/>
        <v>2019</v>
      </c>
      <c r="I7" s="177">
        <f t="shared" si="0"/>
        <v>2018</v>
      </c>
      <c r="J7" s="177">
        <f t="shared" si="0"/>
        <v>2017</v>
      </c>
      <c r="K7" s="177">
        <f t="shared" si="0"/>
        <v>2016</v>
      </c>
      <c r="L7" s="177">
        <f t="shared" si="0"/>
        <v>2015</v>
      </c>
      <c r="M7" s="177">
        <f t="shared" si="0"/>
        <v>2014</v>
      </c>
      <c r="N7" s="177">
        <f t="shared" si="0"/>
        <v>2013</v>
      </c>
      <c r="O7" s="177">
        <f t="shared" si="0"/>
        <v>2012</v>
      </c>
      <c r="P7" s="177">
        <f t="shared" si="0"/>
        <v>2011</v>
      </c>
      <c r="Q7" s="177">
        <f t="shared" si="0"/>
        <v>2010</v>
      </c>
      <c r="R7" s="177">
        <f t="shared" si="0"/>
        <v>2009</v>
      </c>
      <c r="S7" s="177">
        <f>ReportYear-16</f>
        <v>2008</v>
      </c>
      <c r="T7" s="241" t="s">
        <v>18</v>
      </c>
    </row>
    <row r="8" spans="1:20" ht="15.75" customHeight="1" thickBot="1">
      <c r="A8" s="244" t="s">
        <v>243</v>
      </c>
      <c r="B8" s="387"/>
      <c r="C8" s="465" t="str">
        <f>InputTOTAL!D$101</f>
        <v>XXX</v>
      </c>
      <c r="D8" s="13" t="e">
        <f>InputTOTAL!E$101</f>
        <v>#DIV/0!</v>
      </c>
      <c r="E8" s="13" t="e">
        <f>InputTOTAL!F$101</f>
        <v>#DIV/0!</v>
      </c>
      <c r="F8" s="13" t="e">
        <f>InputTOTAL!G$101</f>
        <v>#DIV/0!</v>
      </c>
      <c r="G8" s="13" t="e">
        <f>InputTOTAL!H$101</f>
        <v>#DIV/0!</v>
      </c>
      <c r="H8" s="13" t="e">
        <f>InputTOTAL!I$101</f>
        <v>#DIV/0!</v>
      </c>
      <c r="I8" s="13" t="e">
        <f>InputTOTAL!J$101</f>
        <v>#DIV/0!</v>
      </c>
      <c r="J8" s="13" t="e">
        <f>InputTOTAL!K$101</f>
        <v>#DIV/0!</v>
      </c>
      <c r="K8" s="13">
        <f>InputTOTAL!L$101</f>
        <v>0</v>
      </c>
      <c r="L8" s="13">
        <f>InputTOTAL!E$123</f>
        <v>0</v>
      </c>
      <c r="M8" s="13">
        <f>InputTOTAL!F$123</f>
        <v>0</v>
      </c>
      <c r="N8" s="13">
        <f>InputTOTAL!G$123</f>
        <v>0</v>
      </c>
      <c r="O8" s="13">
        <f>InputTOTAL!H$123</f>
        <v>0</v>
      </c>
      <c r="P8" s="13">
        <f>InputTOTAL!I$123</f>
        <v>0</v>
      </c>
      <c r="Q8" s="13">
        <f>InputTOTAL!J$123</f>
        <v>0</v>
      </c>
      <c r="R8" s="13">
        <f>InputTOTAL!K$123</f>
        <v>0</v>
      </c>
      <c r="S8" s="408">
        <f>InputTOTAL!L$123</f>
        <v>0</v>
      </c>
      <c r="T8" s="245" t="e">
        <f>SUM(C8:S8)</f>
        <v>#DIV/0!</v>
      </c>
    </row>
    <row r="9" spans="1:20" ht="15.75" customHeight="1">
      <c r="A9" s="161"/>
      <c r="B9" s="161"/>
      <c r="C9" s="2"/>
      <c r="D9" s="2"/>
      <c r="E9" s="2"/>
      <c r="F9" s="2"/>
      <c r="G9" s="2"/>
      <c r="H9" s="2"/>
      <c r="I9" s="2"/>
      <c r="J9" s="2"/>
      <c r="K9" s="2"/>
      <c r="L9" s="2"/>
      <c r="M9" s="2"/>
      <c r="N9" s="2"/>
      <c r="O9" s="2"/>
      <c r="P9" s="2"/>
      <c r="Q9" s="2"/>
      <c r="R9" s="2"/>
      <c r="S9" s="2"/>
      <c r="T9" s="2"/>
    </row>
    <row r="10" spans="1:20" ht="15.75" customHeight="1" thickBot="1">
      <c r="A10" s="4"/>
      <c r="B10" s="4"/>
      <c r="C10" s="8"/>
      <c r="D10" s="8"/>
      <c r="E10" s="8"/>
      <c r="F10" s="8"/>
      <c r="G10" s="8"/>
      <c r="H10" s="8"/>
      <c r="I10" s="8"/>
      <c r="J10" s="8"/>
      <c r="K10" s="8"/>
      <c r="L10" s="8"/>
      <c r="M10" s="8"/>
      <c r="N10" s="8"/>
      <c r="O10" s="8"/>
      <c r="P10" s="8"/>
      <c r="Q10" s="8"/>
      <c r="R10" s="8"/>
      <c r="S10" s="8"/>
      <c r="T10" s="166"/>
    </row>
    <row r="11" spans="1:20" ht="15.75" customHeight="1">
      <c r="A11" s="247" t="s">
        <v>50</v>
      </c>
      <c r="B11" s="200"/>
      <c r="C11" s="223" t="s">
        <v>215</v>
      </c>
      <c r="D11" s="223"/>
      <c r="E11" s="223"/>
      <c r="F11" s="223"/>
      <c r="G11" s="223"/>
      <c r="H11" s="223"/>
      <c r="I11" s="223"/>
      <c r="J11" s="223"/>
      <c r="K11" s="223" t="str">
        <f>$C11</f>
        <v>Calendar Year Extraordinary Loss Incurred</v>
      </c>
      <c r="L11" s="223"/>
      <c r="M11" s="223"/>
      <c r="N11" s="223"/>
      <c r="O11" s="223"/>
      <c r="P11" s="223"/>
      <c r="Q11" s="223"/>
      <c r="R11" s="223"/>
      <c r="S11" s="223"/>
      <c r="T11" s="248"/>
    </row>
    <row r="12" spans="1:20" ht="15.75" customHeight="1">
      <c r="A12" s="249" t="s">
        <v>142</v>
      </c>
      <c r="B12" s="250"/>
      <c r="C12" s="177">
        <f aca="true" t="shared" si="1" ref="C12:T12">C7</f>
        <v>2024</v>
      </c>
      <c r="D12" s="177">
        <f t="shared" si="1"/>
        <v>2023</v>
      </c>
      <c r="E12" s="177">
        <f t="shared" si="1"/>
        <v>2022</v>
      </c>
      <c r="F12" s="177">
        <f t="shared" si="1"/>
        <v>2021</v>
      </c>
      <c r="G12" s="177">
        <f t="shared" si="1"/>
        <v>2020</v>
      </c>
      <c r="H12" s="177">
        <f t="shared" si="1"/>
        <v>2019</v>
      </c>
      <c r="I12" s="177">
        <f t="shared" si="1"/>
        <v>2018</v>
      </c>
      <c r="J12" s="177">
        <f t="shared" si="1"/>
        <v>2017</v>
      </c>
      <c r="K12" s="177">
        <f t="shared" si="1"/>
        <v>2016</v>
      </c>
      <c r="L12" s="177">
        <f t="shared" si="1"/>
        <v>2015</v>
      </c>
      <c r="M12" s="177">
        <f t="shared" si="1"/>
        <v>2014</v>
      </c>
      <c r="N12" s="177">
        <f t="shared" si="1"/>
        <v>2013</v>
      </c>
      <c r="O12" s="177">
        <f t="shared" si="1"/>
        <v>2012</v>
      </c>
      <c r="P12" s="177">
        <f t="shared" si="1"/>
        <v>2011</v>
      </c>
      <c r="Q12" s="177">
        <f t="shared" si="1"/>
        <v>2010</v>
      </c>
      <c r="R12" s="177">
        <f t="shared" si="1"/>
        <v>2009</v>
      </c>
      <c r="S12" s="251">
        <f t="shared" si="1"/>
        <v>2008</v>
      </c>
      <c r="T12" s="243" t="str">
        <f t="shared" si="1"/>
        <v>Total</v>
      </c>
    </row>
    <row r="13" spans="1:20" ht="15.75" customHeight="1">
      <c r="A13" s="176" t="s">
        <v>66</v>
      </c>
      <c r="B13" s="252">
        <f>ReportYear-1</f>
        <v>2023</v>
      </c>
      <c r="C13" s="161" t="str">
        <f>InputTOTAL!D104</f>
        <v>XXX</v>
      </c>
      <c r="D13" s="2">
        <f>InputTOTAL!E104</f>
        <v>0</v>
      </c>
      <c r="E13" s="2">
        <f>InputTOTAL!F104</f>
        <v>0</v>
      </c>
      <c r="F13" s="2">
        <f>InputTOTAL!G104</f>
        <v>0</v>
      </c>
      <c r="G13" s="2">
        <f>InputTOTAL!H104</f>
        <v>0</v>
      </c>
      <c r="H13" s="2">
        <f>InputTOTAL!I104</f>
        <v>0</v>
      </c>
      <c r="I13" s="2">
        <f>InputTOTAL!J104</f>
        <v>0</v>
      </c>
      <c r="J13" s="2">
        <f>InputTOTAL!K104</f>
        <v>0</v>
      </c>
      <c r="K13" s="2">
        <f>InputTOTAL!L104</f>
        <v>0</v>
      </c>
      <c r="L13" s="2">
        <f>InputTOTAL!E126</f>
        <v>0</v>
      </c>
      <c r="M13" s="2">
        <f>InputTOTAL!F126</f>
        <v>0</v>
      </c>
      <c r="N13" s="2">
        <f>InputTOTAL!G126</f>
        <v>0</v>
      </c>
      <c r="O13" s="2">
        <f>InputTOTAL!H126</f>
        <v>0</v>
      </c>
      <c r="P13" s="2">
        <f>InputTOTAL!I126</f>
        <v>0</v>
      </c>
      <c r="Q13" s="2">
        <f>InputTOTAL!J126</f>
        <v>0</v>
      </c>
      <c r="R13" s="2">
        <f>InputTOTAL!K126</f>
        <v>0</v>
      </c>
      <c r="S13" s="253">
        <f>InputTOTAL!L126</f>
        <v>0</v>
      </c>
      <c r="T13" s="145">
        <f aca="true" t="shared" si="2" ref="T13:T35">SUM(C13:S13)</f>
        <v>0</v>
      </c>
    </row>
    <row r="14" spans="1:20" ht="15.75" customHeight="1">
      <c r="A14" s="176" t="s">
        <v>67</v>
      </c>
      <c r="B14" s="252">
        <f>ReportYear-2</f>
        <v>2022</v>
      </c>
      <c r="C14" s="161" t="str">
        <f>InputTOTAL!D105</f>
        <v>XXX</v>
      </c>
      <c r="D14" s="2">
        <f>InputTOTAL!E105</f>
        <v>0</v>
      </c>
      <c r="E14" s="2">
        <f>InputTOTAL!F105</f>
        <v>0</v>
      </c>
      <c r="F14" s="2">
        <f>InputTOTAL!G105</f>
        <v>0</v>
      </c>
      <c r="G14" s="2">
        <f>InputTOTAL!H105</f>
        <v>0</v>
      </c>
      <c r="H14" s="2">
        <f>InputTOTAL!I105</f>
        <v>0</v>
      </c>
      <c r="I14" s="2">
        <f>InputTOTAL!J105</f>
        <v>0</v>
      </c>
      <c r="J14" s="2">
        <f>InputTOTAL!K105</f>
        <v>0</v>
      </c>
      <c r="K14" s="2">
        <f>InputTOTAL!L105</f>
        <v>0</v>
      </c>
      <c r="L14" s="2">
        <f>InputTOTAL!E127</f>
        <v>0</v>
      </c>
      <c r="M14" s="2">
        <f>InputTOTAL!F127</f>
        <v>0</v>
      </c>
      <c r="N14" s="2">
        <f>InputTOTAL!G127</f>
        <v>0</v>
      </c>
      <c r="O14" s="2">
        <f>InputTOTAL!H127</f>
        <v>0</v>
      </c>
      <c r="P14" s="2">
        <f>InputTOTAL!I127</f>
        <v>0</v>
      </c>
      <c r="Q14" s="2">
        <f>InputTOTAL!J127</f>
        <v>0</v>
      </c>
      <c r="R14" s="2">
        <f>InputTOTAL!K127</f>
        <v>0</v>
      </c>
      <c r="S14" s="253">
        <f>InputTOTAL!L127</f>
        <v>0</v>
      </c>
      <c r="T14" s="145">
        <f t="shared" si="2"/>
        <v>0</v>
      </c>
    </row>
    <row r="15" spans="1:20" ht="15.75" customHeight="1">
      <c r="A15" s="176" t="s">
        <v>80</v>
      </c>
      <c r="B15" s="252">
        <f>ReportYear-3</f>
        <v>2021</v>
      </c>
      <c r="C15" s="161" t="str">
        <f>InputTOTAL!D106</f>
        <v>XXX</v>
      </c>
      <c r="D15" s="2">
        <f>InputTOTAL!E106</f>
        <v>0</v>
      </c>
      <c r="E15" s="2">
        <f>InputTOTAL!F106</f>
        <v>0</v>
      </c>
      <c r="F15" s="2">
        <f>InputTOTAL!G106</f>
        <v>0</v>
      </c>
      <c r="G15" s="2">
        <f>InputTOTAL!H106</f>
        <v>0</v>
      </c>
      <c r="H15" s="2">
        <f>InputTOTAL!I106</f>
        <v>0</v>
      </c>
      <c r="I15" s="2">
        <f>InputTOTAL!J106</f>
        <v>0</v>
      </c>
      <c r="J15" s="2">
        <f>InputTOTAL!K106</f>
        <v>0</v>
      </c>
      <c r="K15" s="2">
        <f>InputTOTAL!L106</f>
        <v>0</v>
      </c>
      <c r="L15" s="2">
        <f>InputTOTAL!E128</f>
        <v>0</v>
      </c>
      <c r="M15" s="2">
        <f>InputTOTAL!F128</f>
        <v>0</v>
      </c>
      <c r="N15" s="2">
        <f>InputTOTAL!G128</f>
        <v>0</v>
      </c>
      <c r="O15" s="2">
        <f>InputTOTAL!H128</f>
        <v>0</v>
      </c>
      <c r="P15" s="2">
        <f>InputTOTAL!I128</f>
        <v>0</v>
      </c>
      <c r="Q15" s="2">
        <f>InputTOTAL!J128</f>
        <v>0</v>
      </c>
      <c r="R15" s="2">
        <f>InputTOTAL!K128</f>
        <v>0</v>
      </c>
      <c r="S15" s="253">
        <f>InputTOTAL!L128</f>
        <v>0</v>
      </c>
      <c r="T15" s="145">
        <f t="shared" si="2"/>
        <v>0</v>
      </c>
    </row>
    <row r="16" spans="1:20" ht="15.75" customHeight="1">
      <c r="A16" s="176" t="s">
        <v>81</v>
      </c>
      <c r="B16" s="252">
        <f>ReportYear-4</f>
        <v>2020</v>
      </c>
      <c r="C16" s="161" t="str">
        <f>InputTOTAL!D107</f>
        <v>XXX</v>
      </c>
      <c r="D16" s="2">
        <f>InputTOTAL!E107</f>
        <v>0</v>
      </c>
      <c r="E16" s="2">
        <f>InputTOTAL!F107</f>
        <v>0</v>
      </c>
      <c r="F16" s="2">
        <f>InputTOTAL!G107</f>
        <v>0</v>
      </c>
      <c r="G16" s="2">
        <f>InputTOTAL!H107</f>
        <v>0</v>
      </c>
      <c r="H16" s="2">
        <f>InputTOTAL!I107</f>
        <v>0</v>
      </c>
      <c r="I16" s="2">
        <f>InputTOTAL!J107</f>
        <v>0</v>
      </c>
      <c r="J16" s="2">
        <f>InputTOTAL!K107</f>
        <v>0</v>
      </c>
      <c r="K16" s="2">
        <f>InputTOTAL!L107</f>
        <v>0</v>
      </c>
      <c r="L16" s="2">
        <f>InputTOTAL!E129</f>
        <v>0</v>
      </c>
      <c r="M16" s="2">
        <f>InputTOTAL!F129</f>
        <v>0</v>
      </c>
      <c r="N16" s="2">
        <f>InputTOTAL!G129</f>
        <v>0</v>
      </c>
      <c r="O16" s="2">
        <f>InputTOTAL!H129</f>
        <v>0</v>
      </c>
      <c r="P16" s="2">
        <f>InputTOTAL!I129</f>
        <v>0</v>
      </c>
      <c r="Q16" s="2">
        <f>InputTOTAL!J129</f>
        <v>0</v>
      </c>
      <c r="R16" s="2">
        <f>InputTOTAL!K129</f>
        <v>0</v>
      </c>
      <c r="S16" s="253">
        <f>InputTOTAL!L129</f>
        <v>0</v>
      </c>
      <c r="T16" s="145">
        <f t="shared" si="2"/>
        <v>0</v>
      </c>
    </row>
    <row r="17" spans="1:20" ht="15.75" customHeight="1">
      <c r="A17" s="176" t="s">
        <v>82</v>
      </c>
      <c r="B17" s="252">
        <f aca="true" t="shared" si="3" ref="B17:B35">B16-1</f>
        <v>2019</v>
      </c>
      <c r="C17" s="161" t="str">
        <f>InputTOTAL!D108</f>
        <v>XXX</v>
      </c>
      <c r="D17" s="2">
        <f>InputTOTAL!E108</f>
        <v>0</v>
      </c>
      <c r="E17" s="2">
        <f>InputTOTAL!F108</f>
        <v>0</v>
      </c>
      <c r="F17" s="2">
        <f>InputTOTAL!G108</f>
        <v>0</v>
      </c>
      <c r="G17" s="2">
        <f>InputTOTAL!H108</f>
        <v>0</v>
      </c>
      <c r="H17" s="2">
        <f>InputTOTAL!I108</f>
        <v>0</v>
      </c>
      <c r="I17" s="2">
        <f>InputTOTAL!J108</f>
        <v>0</v>
      </c>
      <c r="J17" s="2">
        <f>InputTOTAL!K108</f>
        <v>0</v>
      </c>
      <c r="K17" s="2">
        <f>InputTOTAL!L108</f>
        <v>0</v>
      </c>
      <c r="L17" s="2">
        <f>InputTOTAL!E130</f>
        <v>0</v>
      </c>
      <c r="M17" s="2">
        <f>InputTOTAL!F130</f>
        <v>0</v>
      </c>
      <c r="N17" s="2">
        <f>InputTOTAL!G130</f>
        <v>0</v>
      </c>
      <c r="O17" s="2">
        <f>InputTOTAL!H130</f>
        <v>0</v>
      </c>
      <c r="P17" s="2">
        <f>InputTOTAL!I130</f>
        <v>0</v>
      </c>
      <c r="Q17" s="2">
        <f>InputTOTAL!J130</f>
        <v>0</v>
      </c>
      <c r="R17" s="2">
        <f>InputTOTAL!K130</f>
        <v>0</v>
      </c>
      <c r="S17" s="253">
        <f>InputTOTAL!L130</f>
        <v>0</v>
      </c>
      <c r="T17" s="145">
        <f t="shared" si="2"/>
        <v>0</v>
      </c>
    </row>
    <row r="18" spans="1:20" ht="15.75" customHeight="1">
      <c r="A18" s="176" t="s">
        <v>83</v>
      </c>
      <c r="B18" s="252">
        <f t="shared" si="3"/>
        <v>2018</v>
      </c>
      <c r="C18" s="161" t="str">
        <f>InputTOTAL!D109</f>
        <v>XXX</v>
      </c>
      <c r="D18" s="2">
        <f>InputTOTAL!E109</f>
        <v>0</v>
      </c>
      <c r="E18" s="2">
        <f>InputTOTAL!F109</f>
        <v>0</v>
      </c>
      <c r="F18" s="2">
        <f>InputTOTAL!G109</f>
        <v>0</v>
      </c>
      <c r="G18" s="2">
        <f>InputTOTAL!H109</f>
        <v>0</v>
      </c>
      <c r="H18" s="2">
        <f>InputTOTAL!I109</f>
        <v>0</v>
      </c>
      <c r="I18" s="2">
        <f>InputTOTAL!J109</f>
        <v>0</v>
      </c>
      <c r="J18" s="2">
        <f>InputTOTAL!K109</f>
        <v>0</v>
      </c>
      <c r="K18" s="2">
        <f>InputTOTAL!L109</f>
        <v>0</v>
      </c>
      <c r="L18" s="2">
        <f>InputTOTAL!E131</f>
        <v>0</v>
      </c>
      <c r="M18" s="2">
        <f>InputTOTAL!F131</f>
        <v>0</v>
      </c>
      <c r="N18" s="2">
        <f>InputTOTAL!G131</f>
        <v>0</v>
      </c>
      <c r="O18" s="2">
        <f>InputTOTAL!H131</f>
        <v>0</v>
      </c>
      <c r="P18" s="2">
        <f>InputTOTAL!I131</f>
        <v>0</v>
      </c>
      <c r="Q18" s="2">
        <f>InputTOTAL!J131</f>
        <v>0</v>
      </c>
      <c r="R18" s="2">
        <f>InputTOTAL!K131</f>
        <v>0</v>
      </c>
      <c r="S18" s="253">
        <f>InputTOTAL!L131</f>
        <v>0</v>
      </c>
      <c r="T18" s="145">
        <f t="shared" si="2"/>
        <v>0</v>
      </c>
    </row>
    <row r="19" spans="1:20" ht="15.75" customHeight="1">
      <c r="A19" s="176" t="s">
        <v>84</v>
      </c>
      <c r="B19" s="252">
        <f t="shared" si="3"/>
        <v>2017</v>
      </c>
      <c r="C19" s="161" t="str">
        <f>InputTOTAL!D110</f>
        <v>XXX</v>
      </c>
      <c r="D19" s="2">
        <f>InputTOTAL!E110</f>
        <v>0</v>
      </c>
      <c r="E19" s="2">
        <f>InputTOTAL!F110</f>
        <v>0</v>
      </c>
      <c r="F19" s="2">
        <f>InputTOTAL!G110</f>
        <v>0</v>
      </c>
      <c r="G19" s="2">
        <f>InputTOTAL!H110</f>
        <v>0</v>
      </c>
      <c r="H19" s="2">
        <f>InputTOTAL!I110</f>
        <v>0</v>
      </c>
      <c r="I19" s="2">
        <f>InputTOTAL!J110</f>
        <v>0</v>
      </c>
      <c r="J19" s="2">
        <f>InputTOTAL!K110</f>
        <v>0</v>
      </c>
      <c r="K19" s="2">
        <f>InputTOTAL!L110</f>
        <v>0</v>
      </c>
      <c r="L19" s="2">
        <f>InputTOTAL!E132</f>
        <v>0</v>
      </c>
      <c r="M19" s="2">
        <f>InputTOTAL!F132</f>
        <v>0</v>
      </c>
      <c r="N19" s="2">
        <f>InputTOTAL!G132</f>
        <v>0</v>
      </c>
      <c r="O19" s="2">
        <f>InputTOTAL!H132</f>
        <v>0</v>
      </c>
      <c r="P19" s="2">
        <f>InputTOTAL!I132</f>
        <v>0</v>
      </c>
      <c r="Q19" s="2">
        <f>InputTOTAL!J132</f>
        <v>0</v>
      </c>
      <c r="R19" s="2">
        <f>InputTOTAL!K132</f>
        <v>0</v>
      </c>
      <c r="S19" s="253">
        <f>InputTOTAL!L132</f>
        <v>0</v>
      </c>
      <c r="T19" s="145">
        <f t="shared" si="2"/>
        <v>0</v>
      </c>
    </row>
    <row r="20" spans="1:20" ht="15.75" customHeight="1">
      <c r="A20" s="176" t="s">
        <v>85</v>
      </c>
      <c r="B20" s="252">
        <f t="shared" si="3"/>
        <v>2016</v>
      </c>
      <c r="C20" s="161" t="str">
        <f>InputTOTAL!D111</f>
        <v>XXX</v>
      </c>
      <c r="D20" s="2">
        <f>InputTOTAL!E111</f>
        <v>0</v>
      </c>
      <c r="E20" s="2">
        <f>InputTOTAL!F111</f>
        <v>0</v>
      </c>
      <c r="F20" s="2">
        <f>InputTOTAL!G111</f>
        <v>0</v>
      </c>
      <c r="G20" s="2">
        <f>InputTOTAL!H111</f>
        <v>0</v>
      </c>
      <c r="H20" s="2">
        <f>InputTOTAL!I111</f>
        <v>0</v>
      </c>
      <c r="I20" s="2">
        <f>InputTOTAL!J111</f>
        <v>0</v>
      </c>
      <c r="J20" s="2">
        <f>InputTOTAL!K111</f>
        <v>0</v>
      </c>
      <c r="K20" s="2">
        <f>InputTOTAL!L111</f>
        <v>0</v>
      </c>
      <c r="L20" s="2">
        <f>InputTOTAL!E133</f>
        <v>0</v>
      </c>
      <c r="M20" s="2">
        <f>InputTOTAL!F133</f>
        <v>0</v>
      </c>
      <c r="N20" s="2">
        <f>InputTOTAL!G133</f>
        <v>0</v>
      </c>
      <c r="O20" s="2">
        <f>InputTOTAL!H133</f>
        <v>0</v>
      </c>
      <c r="P20" s="2">
        <f>InputTOTAL!I133</f>
        <v>0</v>
      </c>
      <c r="Q20" s="2">
        <f>InputTOTAL!J133</f>
        <v>0</v>
      </c>
      <c r="R20" s="2">
        <f>InputTOTAL!K133</f>
        <v>0</v>
      </c>
      <c r="S20" s="253">
        <f>InputTOTAL!L133</f>
        <v>0</v>
      </c>
      <c r="T20" s="145">
        <f t="shared" si="2"/>
        <v>0</v>
      </c>
    </row>
    <row r="21" spans="1:20" ht="15.75" customHeight="1">
      <c r="A21" s="176" t="s">
        <v>86</v>
      </c>
      <c r="B21" s="252">
        <f t="shared" si="3"/>
        <v>2015</v>
      </c>
      <c r="C21" s="161" t="str">
        <f>InputTOTAL!D112</f>
        <v>XXX</v>
      </c>
      <c r="D21" s="161" t="str">
        <f>InputTOTAL!E112</f>
        <v>XXX</v>
      </c>
      <c r="E21" s="2">
        <f>InputTOTAL!F112</f>
        <v>0</v>
      </c>
      <c r="F21" s="2">
        <f>InputTOTAL!G112</f>
        <v>0</v>
      </c>
      <c r="G21" s="2">
        <f>InputTOTAL!H112</f>
        <v>0</v>
      </c>
      <c r="H21" s="2">
        <f>InputTOTAL!I112</f>
        <v>0</v>
      </c>
      <c r="I21" s="2">
        <f>InputTOTAL!J112</f>
        <v>0</v>
      </c>
      <c r="J21" s="2">
        <f>InputTOTAL!K112</f>
        <v>0</v>
      </c>
      <c r="K21" s="2">
        <f>InputTOTAL!L112</f>
        <v>0</v>
      </c>
      <c r="L21" s="2">
        <f>InputTOTAL!E134</f>
        <v>0</v>
      </c>
      <c r="M21" s="2">
        <f>InputTOTAL!F134</f>
        <v>0</v>
      </c>
      <c r="N21" s="2">
        <f>InputTOTAL!G134</f>
        <v>0</v>
      </c>
      <c r="O21" s="2">
        <f>InputTOTAL!H134</f>
        <v>0</v>
      </c>
      <c r="P21" s="2">
        <f>InputTOTAL!I134</f>
        <v>0</v>
      </c>
      <c r="Q21" s="2">
        <f>InputTOTAL!J134</f>
        <v>0</v>
      </c>
      <c r="R21" s="2">
        <f>InputTOTAL!K134</f>
        <v>0</v>
      </c>
      <c r="S21" s="253">
        <f>InputTOTAL!L134</f>
        <v>0</v>
      </c>
      <c r="T21" s="145">
        <f t="shared" si="2"/>
        <v>0</v>
      </c>
    </row>
    <row r="22" spans="1:20" ht="15.75" customHeight="1">
      <c r="A22" s="176" t="s">
        <v>87</v>
      </c>
      <c r="B22" s="252">
        <f t="shared" si="3"/>
        <v>2014</v>
      </c>
      <c r="C22" s="161" t="str">
        <f>InputTOTAL!D113</f>
        <v>XXX</v>
      </c>
      <c r="D22" s="161" t="str">
        <f>InputTOTAL!E113</f>
        <v>XXX</v>
      </c>
      <c r="E22" s="161" t="str">
        <f>InputTOTAL!F113</f>
        <v>XXX</v>
      </c>
      <c r="F22" s="2">
        <f>InputTOTAL!G113</f>
        <v>0</v>
      </c>
      <c r="G22" s="2">
        <f>InputTOTAL!H113</f>
        <v>0</v>
      </c>
      <c r="H22" s="2">
        <f>InputTOTAL!I113</f>
        <v>0</v>
      </c>
      <c r="I22" s="2">
        <f>InputTOTAL!J113</f>
        <v>0</v>
      </c>
      <c r="J22" s="2">
        <f>InputTOTAL!K113</f>
        <v>0</v>
      </c>
      <c r="K22" s="2">
        <f>InputTOTAL!L113</f>
        <v>0</v>
      </c>
      <c r="L22" s="2">
        <f>InputTOTAL!E135</f>
        <v>0</v>
      </c>
      <c r="M22" s="2">
        <f>InputTOTAL!F135</f>
        <v>0</v>
      </c>
      <c r="N22" s="2">
        <f>InputTOTAL!G135</f>
        <v>0</v>
      </c>
      <c r="O22" s="2">
        <f>InputTOTAL!H135</f>
        <v>0</v>
      </c>
      <c r="P22" s="2">
        <f>InputTOTAL!I135</f>
        <v>0</v>
      </c>
      <c r="Q22" s="2">
        <f>InputTOTAL!J135</f>
        <v>0</v>
      </c>
      <c r="R22" s="2">
        <f>InputTOTAL!K135</f>
        <v>0</v>
      </c>
      <c r="S22" s="253">
        <f>InputTOTAL!L135</f>
        <v>0</v>
      </c>
      <c r="T22" s="145">
        <f t="shared" si="2"/>
        <v>0</v>
      </c>
    </row>
    <row r="23" spans="1:20" ht="15.75" customHeight="1">
      <c r="A23" s="176" t="s">
        <v>88</v>
      </c>
      <c r="B23" s="252">
        <f t="shared" si="3"/>
        <v>2013</v>
      </c>
      <c r="C23" s="161" t="str">
        <f>InputTOTAL!D114</f>
        <v>XXX</v>
      </c>
      <c r="D23" s="161" t="str">
        <f>InputTOTAL!E114</f>
        <v>XXX</v>
      </c>
      <c r="E23" s="161" t="str">
        <f>InputTOTAL!F114</f>
        <v>XXX</v>
      </c>
      <c r="F23" s="161" t="str">
        <f>InputTOTAL!G114</f>
        <v>XXX</v>
      </c>
      <c r="G23" s="2">
        <f>InputTOTAL!H114</f>
        <v>0</v>
      </c>
      <c r="H23" s="2">
        <f>InputTOTAL!I114</f>
        <v>0</v>
      </c>
      <c r="I23" s="2">
        <f>InputTOTAL!J114</f>
        <v>0</v>
      </c>
      <c r="J23" s="2">
        <f>InputTOTAL!K114</f>
        <v>0</v>
      </c>
      <c r="K23" s="2">
        <f>InputTOTAL!L114</f>
        <v>0</v>
      </c>
      <c r="L23" s="2">
        <f>InputTOTAL!E136</f>
        <v>0</v>
      </c>
      <c r="M23" s="2">
        <f>InputTOTAL!F136</f>
        <v>0</v>
      </c>
      <c r="N23" s="2">
        <f>InputTOTAL!G136</f>
        <v>0</v>
      </c>
      <c r="O23" s="2">
        <f>InputTOTAL!H136</f>
        <v>0</v>
      </c>
      <c r="P23" s="2">
        <f>InputTOTAL!I136</f>
        <v>0</v>
      </c>
      <c r="Q23" s="2">
        <f>InputTOTAL!J136</f>
        <v>0</v>
      </c>
      <c r="R23" s="2">
        <f>InputTOTAL!K136</f>
        <v>0</v>
      </c>
      <c r="S23" s="253">
        <f>InputTOTAL!L136</f>
        <v>0</v>
      </c>
      <c r="T23" s="145">
        <f t="shared" si="2"/>
        <v>0</v>
      </c>
    </row>
    <row r="24" spans="1:20" ht="15.75" customHeight="1">
      <c r="A24" s="176" t="s">
        <v>89</v>
      </c>
      <c r="B24" s="252">
        <f t="shared" si="3"/>
        <v>2012</v>
      </c>
      <c r="C24" s="161" t="str">
        <f>InputTOTAL!D115</f>
        <v>XXX</v>
      </c>
      <c r="D24" s="161" t="str">
        <f>InputTOTAL!E115</f>
        <v>XXX</v>
      </c>
      <c r="E24" s="161" t="str">
        <f>InputTOTAL!F115</f>
        <v>XXX</v>
      </c>
      <c r="F24" s="161" t="str">
        <f>InputTOTAL!G115</f>
        <v>XXX</v>
      </c>
      <c r="G24" s="161" t="str">
        <f>InputTOTAL!H115</f>
        <v>XXX</v>
      </c>
      <c r="H24" s="2">
        <f>InputTOTAL!I115</f>
        <v>0</v>
      </c>
      <c r="I24" s="2">
        <f>InputTOTAL!J115</f>
        <v>0</v>
      </c>
      <c r="J24" s="2">
        <f>InputTOTAL!K115</f>
        <v>0</v>
      </c>
      <c r="K24" s="2">
        <f>InputTOTAL!L115</f>
        <v>0</v>
      </c>
      <c r="L24" s="2">
        <f>InputTOTAL!E137</f>
        <v>0</v>
      </c>
      <c r="M24" s="2">
        <f>InputTOTAL!F137</f>
        <v>0</v>
      </c>
      <c r="N24" s="2">
        <f>InputTOTAL!G137</f>
        <v>0</v>
      </c>
      <c r="O24" s="2">
        <f>InputTOTAL!H137</f>
        <v>0</v>
      </c>
      <c r="P24" s="2">
        <f>InputTOTAL!I137</f>
        <v>0</v>
      </c>
      <c r="Q24" s="2">
        <f>InputTOTAL!J137</f>
        <v>0</v>
      </c>
      <c r="R24" s="2">
        <f>InputTOTAL!K137</f>
        <v>0</v>
      </c>
      <c r="S24" s="253">
        <f>InputTOTAL!L137</f>
        <v>0</v>
      </c>
      <c r="T24" s="145">
        <f t="shared" si="2"/>
        <v>0</v>
      </c>
    </row>
    <row r="25" spans="1:20" ht="15.75" customHeight="1">
      <c r="A25" s="176" t="s">
        <v>90</v>
      </c>
      <c r="B25" s="252">
        <f t="shared" si="3"/>
        <v>2011</v>
      </c>
      <c r="C25" s="161" t="str">
        <f>InputTOTAL!D116</f>
        <v>XXX</v>
      </c>
      <c r="D25" s="161" t="str">
        <f>InputTOTAL!E116</f>
        <v>XXX</v>
      </c>
      <c r="E25" s="161" t="str">
        <f>InputTOTAL!F116</f>
        <v>XXX</v>
      </c>
      <c r="F25" s="161" t="str">
        <f>InputTOTAL!G116</f>
        <v>XXX</v>
      </c>
      <c r="G25" s="161" t="str">
        <f>InputTOTAL!H116</f>
        <v>XXX</v>
      </c>
      <c r="H25" s="161" t="str">
        <f>InputTOTAL!I116</f>
        <v>XXX</v>
      </c>
      <c r="I25" s="2">
        <f>InputTOTAL!J116</f>
        <v>0</v>
      </c>
      <c r="J25" s="2">
        <f>InputTOTAL!K116</f>
        <v>0</v>
      </c>
      <c r="K25" s="2">
        <f>InputTOTAL!L116</f>
        <v>0</v>
      </c>
      <c r="L25" s="2">
        <f>InputTOTAL!E138</f>
        <v>0</v>
      </c>
      <c r="M25" s="2">
        <f>InputTOTAL!F138</f>
        <v>0</v>
      </c>
      <c r="N25" s="2">
        <f>InputTOTAL!G138</f>
        <v>0</v>
      </c>
      <c r="O25" s="2">
        <f>InputTOTAL!H138</f>
        <v>0</v>
      </c>
      <c r="P25" s="2">
        <f>InputTOTAL!I138</f>
        <v>0</v>
      </c>
      <c r="Q25" s="2">
        <f>InputTOTAL!J138</f>
        <v>0</v>
      </c>
      <c r="R25" s="2">
        <f>InputTOTAL!K138</f>
        <v>0</v>
      </c>
      <c r="S25" s="253">
        <f>InputTOTAL!L138</f>
        <v>0</v>
      </c>
      <c r="T25" s="145">
        <f t="shared" si="2"/>
        <v>0</v>
      </c>
    </row>
    <row r="26" spans="1:20" ht="15.75" customHeight="1">
      <c r="A26" s="176" t="s">
        <v>91</v>
      </c>
      <c r="B26" s="252">
        <f t="shared" si="3"/>
        <v>2010</v>
      </c>
      <c r="C26" s="161" t="str">
        <f>InputTOTAL!D117</f>
        <v>XXX</v>
      </c>
      <c r="D26" s="161" t="str">
        <f>InputTOTAL!E117</f>
        <v>XXX</v>
      </c>
      <c r="E26" s="161" t="str">
        <f>InputTOTAL!F117</f>
        <v>XXX</v>
      </c>
      <c r="F26" s="161" t="str">
        <f>InputTOTAL!G117</f>
        <v>XXX</v>
      </c>
      <c r="G26" s="161" t="str">
        <f>InputTOTAL!H117</f>
        <v>XXX</v>
      </c>
      <c r="H26" s="161" t="str">
        <f>InputTOTAL!I117</f>
        <v>XXX</v>
      </c>
      <c r="I26" s="161" t="str">
        <f>InputTOTAL!J117</f>
        <v>XXX</v>
      </c>
      <c r="J26" s="2">
        <f>InputTOTAL!K117</f>
        <v>0</v>
      </c>
      <c r="K26" s="2">
        <f>InputTOTAL!L117</f>
        <v>0</v>
      </c>
      <c r="L26" s="2">
        <f>InputTOTAL!E139</f>
        <v>0</v>
      </c>
      <c r="M26" s="2">
        <f>InputTOTAL!F139</f>
        <v>0</v>
      </c>
      <c r="N26" s="2">
        <f>InputTOTAL!G139</f>
        <v>0</v>
      </c>
      <c r="O26" s="2">
        <f>InputTOTAL!H139</f>
        <v>0</v>
      </c>
      <c r="P26" s="2">
        <f>InputTOTAL!I139</f>
        <v>0</v>
      </c>
      <c r="Q26" s="2">
        <f>InputTOTAL!J139</f>
        <v>0</v>
      </c>
      <c r="R26" s="2">
        <f>InputTOTAL!K139</f>
        <v>0</v>
      </c>
      <c r="S26" s="253">
        <f>InputTOTAL!L139</f>
        <v>0</v>
      </c>
      <c r="T26" s="145">
        <f t="shared" si="2"/>
        <v>0</v>
      </c>
    </row>
    <row r="27" spans="1:20" ht="15.75" customHeight="1">
      <c r="A27" s="176" t="s">
        <v>92</v>
      </c>
      <c r="B27" s="252">
        <f t="shared" si="3"/>
        <v>2009</v>
      </c>
      <c r="C27" s="161" t="str">
        <f>InputTOTAL!D118</f>
        <v>XXX</v>
      </c>
      <c r="D27" s="161" t="str">
        <f>InputTOTAL!E118</f>
        <v>XXX</v>
      </c>
      <c r="E27" s="161" t="str">
        <f>InputTOTAL!F118</f>
        <v>XXX</v>
      </c>
      <c r="F27" s="161" t="str">
        <f>InputTOTAL!G118</f>
        <v>XXX</v>
      </c>
      <c r="G27" s="161" t="str">
        <f>InputTOTAL!H118</f>
        <v>XXX</v>
      </c>
      <c r="H27" s="161" t="str">
        <f>InputTOTAL!I118</f>
        <v>XXX</v>
      </c>
      <c r="I27" s="161" t="str">
        <f>InputTOTAL!J118</f>
        <v>XXX</v>
      </c>
      <c r="J27" s="161" t="str">
        <f>InputTOTAL!K118</f>
        <v>XXX</v>
      </c>
      <c r="K27" s="2">
        <f>InputTOTAL!L118</f>
        <v>0</v>
      </c>
      <c r="L27" s="2">
        <f>InputTOTAL!E140</f>
        <v>0</v>
      </c>
      <c r="M27" s="2">
        <f>InputTOTAL!F140</f>
        <v>0</v>
      </c>
      <c r="N27" s="2">
        <f>InputTOTAL!G140</f>
        <v>0</v>
      </c>
      <c r="O27" s="2">
        <f>InputTOTAL!H140</f>
        <v>0</v>
      </c>
      <c r="P27" s="2">
        <f>InputTOTAL!I140</f>
        <v>0</v>
      </c>
      <c r="Q27" s="2">
        <f>InputTOTAL!J140</f>
        <v>0</v>
      </c>
      <c r="R27" s="2">
        <f>InputTOTAL!K140</f>
        <v>0</v>
      </c>
      <c r="S27" s="253">
        <f>InputTOTAL!L140</f>
        <v>0</v>
      </c>
      <c r="T27" s="145">
        <f t="shared" si="2"/>
        <v>0</v>
      </c>
    </row>
    <row r="28" spans="1:20" ht="15.75" customHeight="1">
      <c r="A28" s="176" t="s">
        <v>93</v>
      </c>
      <c r="B28" s="252">
        <f t="shared" si="3"/>
        <v>2008</v>
      </c>
      <c r="C28" s="91" t="s">
        <v>0</v>
      </c>
      <c r="D28" s="91" t="s">
        <v>0</v>
      </c>
      <c r="E28" s="91" t="s">
        <v>0</v>
      </c>
      <c r="F28" s="91" t="s">
        <v>0</v>
      </c>
      <c r="G28" s="91" t="s">
        <v>0</v>
      </c>
      <c r="H28" s="91" t="s">
        <v>0</v>
      </c>
      <c r="I28" s="91" t="s">
        <v>0</v>
      </c>
      <c r="J28" s="91" t="s">
        <v>0</v>
      </c>
      <c r="K28" s="91" t="s">
        <v>0</v>
      </c>
      <c r="L28" s="2">
        <f>InputTOTAL!E141</f>
        <v>0</v>
      </c>
      <c r="M28" s="2">
        <f>InputTOTAL!F141</f>
        <v>0</v>
      </c>
      <c r="N28" s="2">
        <f>InputTOTAL!G141</f>
        <v>0</v>
      </c>
      <c r="O28" s="2">
        <f>InputTOTAL!H141</f>
        <v>0</v>
      </c>
      <c r="P28" s="2">
        <f>InputTOTAL!I141</f>
        <v>0</v>
      </c>
      <c r="Q28" s="2">
        <f>InputTOTAL!J141</f>
        <v>0</v>
      </c>
      <c r="R28" s="2">
        <f>InputTOTAL!K141</f>
        <v>0</v>
      </c>
      <c r="S28" s="253">
        <f>InputTOTAL!L141</f>
        <v>0</v>
      </c>
      <c r="T28" s="145">
        <f t="shared" si="2"/>
        <v>0</v>
      </c>
    </row>
    <row r="29" spans="1:20" ht="15.75" customHeight="1">
      <c r="A29" s="176" t="s">
        <v>94</v>
      </c>
      <c r="B29" s="252">
        <f t="shared" si="3"/>
        <v>2007</v>
      </c>
      <c r="C29" s="91" t="s">
        <v>0</v>
      </c>
      <c r="D29" s="91" t="s">
        <v>0</v>
      </c>
      <c r="E29" s="91" t="s">
        <v>0</v>
      </c>
      <c r="F29" s="91" t="s">
        <v>0</v>
      </c>
      <c r="G29" s="91" t="s">
        <v>0</v>
      </c>
      <c r="H29" s="91" t="s">
        <v>0</v>
      </c>
      <c r="I29" s="91" t="s">
        <v>0</v>
      </c>
      <c r="J29" s="91" t="s">
        <v>0</v>
      </c>
      <c r="K29" s="91" t="s">
        <v>0</v>
      </c>
      <c r="L29" s="161" t="str">
        <f>InputTOTAL!E142</f>
        <v>XXX</v>
      </c>
      <c r="M29" s="2">
        <f>InputTOTAL!F142</f>
        <v>0</v>
      </c>
      <c r="N29" s="2">
        <f>InputTOTAL!G142</f>
        <v>0</v>
      </c>
      <c r="O29" s="2">
        <f>InputTOTAL!H142</f>
        <v>0</v>
      </c>
      <c r="P29" s="2">
        <f>InputTOTAL!I142</f>
        <v>0</v>
      </c>
      <c r="Q29" s="2">
        <f>InputTOTAL!J142</f>
        <v>0</v>
      </c>
      <c r="R29" s="2">
        <f>InputTOTAL!K142</f>
        <v>0</v>
      </c>
      <c r="S29" s="253">
        <f>InputTOTAL!L142</f>
        <v>0</v>
      </c>
      <c r="T29" s="145">
        <f t="shared" si="2"/>
        <v>0</v>
      </c>
    </row>
    <row r="30" spans="1:20" ht="15.75" customHeight="1">
      <c r="A30" s="176" t="s">
        <v>95</v>
      </c>
      <c r="B30" s="252">
        <f t="shared" si="3"/>
        <v>2006</v>
      </c>
      <c r="C30" s="91" t="s">
        <v>0</v>
      </c>
      <c r="D30" s="91" t="s">
        <v>0</v>
      </c>
      <c r="E30" s="91" t="s">
        <v>0</v>
      </c>
      <c r="F30" s="91" t="s">
        <v>0</v>
      </c>
      <c r="G30" s="91" t="s">
        <v>0</v>
      </c>
      <c r="H30" s="91" t="s">
        <v>0</v>
      </c>
      <c r="I30" s="91" t="s">
        <v>0</v>
      </c>
      <c r="J30" s="91" t="s">
        <v>0</v>
      </c>
      <c r="K30" s="91" t="s">
        <v>0</v>
      </c>
      <c r="L30" s="161" t="str">
        <f>InputTOTAL!E143</f>
        <v>XXX</v>
      </c>
      <c r="M30" s="161" t="str">
        <f>InputTOTAL!F143</f>
        <v>XXX</v>
      </c>
      <c r="N30" s="2">
        <f>InputTOTAL!G143</f>
        <v>0</v>
      </c>
      <c r="O30" s="2">
        <f>InputTOTAL!H143</f>
        <v>0</v>
      </c>
      <c r="P30" s="2">
        <f>InputTOTAL!I143</f>
        <v>0</v>
      </c>
      <c r="Q30" s="2">
        <f>InputTOTAL!J143</f>
        <v>0</v>
      </c>
      <c r="R30" s="2">
        <f>InputTOTAL!K143</f>
        <v>0</v>
      </c>
      <c r="S30" s="253">
        <f>InputTOTAL!L143</f>
        <v>0</v>
      </c>
      <c r="T30" s="145">
        <f t="shared" si="2"/>
        <v>0</v>
      </c>
    </row>
    <row r="31" spans="1:20" ht="15.75" customHeight="1">
      <c r="A31" s="176" t="s">
        <v>96</v>
      </c>
      <c r="B31" s="252">
        <f t="shared" si="3"/>
        <v>2005</v>
      </c>
      <c r="C31" s="91" t="s">
        <v>0</v>
      </c>
      <c r="D31" s="91" t="s">
        <v>0</v>
      </c>
      <c r="E31" s="91" t="s">
        <v>0</v>
      </c>
      <c r="F31" s="91" t="s">
        <v>0</v>
      </c>
      <c r="G31" s="91" t="s">
        <v>0</v>
      </c>
      <c r="H31" s="91" t="s">
        <v>0</v>
      </c>
      <c r="I31" s="91" t="s">
        <v>0</v>
      </c>
      <c r="J31" s="91" t="s">
        <v>0</v>
      </c>
      <c r="K31" s="91" t="s">
        <v>0</v>
      </c>
      <c r="L31" s="161" t="str">
        <f>InputTOTAL!E144</f>
        <v>XXX</v>
      </c>
      <c r="M31" s="161" t="str">
        <f>InputTOTAL!F144</f>
        <v>XXX</v>
      </c>
      <c r="N31" s="161" t="str">
        <f>InputTOTAL!G144</f>
        <v>XXX</v>
      </c>
      <c r="O31" s="2">
        <f>InputTOTAL!H144</f>
        <v>0</v>
      </c>
      <c r="P31" s="2">
        <f>InputTOTAL!I144</f>
        <v>0</v>
      </c>
      <c r="Q31" s="2">
        <f>InputTOTAL!J144</f>
        <v>0</v>
      </c>
      <c r="R31" s="2">
        <f>InputTOTAL!K144</f>
        <v>0</v>
      </c>
      <c r="S31" s="253">
        <f>InputTOTAL!L144</f>
        <v>0</v>
      </c>
      <c r="T31" s="145">
        <f t="shared" si="2"/>
        <v>0</v>
      </c>
    </row>
    <row r="32" spans="1:20" ht="15.75" customHeight="1">
      <c r="A32" s="176" t="s">
        <v>244</v>
      </c>
      <c r="B32" s="252">
        <f t="shared" si="3"/>
        <v>2004</v>
      </c>
      <c r="C32" s="91" t="s">
        <v>0</v>
      </c>
      <c r="D32" s="91" t="s">
        <v>0</v>
      </c>
      <c r="E32" s="91" t="s">
        <v>0</v>
      </c>
      <c r="F32" s="91" t="s">
        <v>0</v>
      </c>
      <c r="G32" s="91" t="s">
        <v>0</v>
      </c>
      <c r="H32" s="91" t="s">
        <v>0</v>
      </c>
      <c r="I32" s="91" t="s">
        <v>0</v>
      </c>
      <c r="J32" s="91" t="s">
        <v>0</v>
      </c>
      <c r="K32" s="91" t="s">
        <v>0</v>
      </c>
      <c r="L32" s="161" t="str">
        <f>InputTOTAL!E145</f>
        <v>XXX</v>
      </c>
      <c r="M32" s="161" t="str">
        <f>InputTOTAL!F145</f>
        <v>XXX</v>
      </c>
      <c r="N32" s="161" t="str">
        <f>InputTOTAL!G145</f>
        <v>XXX</v>
      </c>
      <c r="O32" s="161" t="str">
        <f>InputTOTAL!H145</f>
        <v>XXX</v>
      </c>
      <c r="P32" s="2">
        <f>InputTOTAL!I145</f>
        <v>0</v>
      </c>
      <c r="Q32" s="2">
        <f>InputTOTAL!J145</f>
        <v>0</v>
      </c>
      <c r="R32" s="2">
        <f>InputTOTAL!K145</f>
        <v>0</v>
      </c>
      <c r="S32" s="253">
        <f>InputTOTAL!L145</f>
        <v>0</v>
      </c>
      <c r="T32" s="145">
        <f t="shared" si="2"/>
        <v>0</v>
      </c>
    </row>
    <row r="33" spans="1:20" ht="15.75" customHeight="1">
      <c r="A33" s="176" t="s">
        <v>245</v>
      </c>
      <c r="B33" s="252">
        <f t="shared" si="3"/>
        <v>2003</v>
      </c>
      <c r="C33" s="91" t="s">
        <v>0</v>
      </c>
      <c r="D33" s="91" t="s">
        <v>0</v>
      </c>
      <c r="E33" s="91" t="s">
        <v>0</v>
      </c>
      <c r="F33" s="91" t="s">
        <v>0</v>
      </c>
      <c r="G33" s="91" t="s">
        <v>0</v>
      </c>
      <c r="H33" s="91" t="s">
        <v>0</v>
      </c>
      <c r="I33" s="91" t="s">
        <v>0</v>
      </c>
      <c r="J33" s="91" t="s">
        <v>0</v>
      </c>
      <c r="K33" s="91" t="s">
        <v>0</v>
      </c>
      <c r="L33" s="161" t="str">
        <f>InputTOTAL!E146</f>
        <v>XXX</v>
      </c>
      <c r="M33" s="161" t="str">
        <f>InputTOTAL!F146</f>
        <v>XXX</v>
      </c>
      <c r="N33" s="161" t="str">
        <f>InputTOTAL!G146</f>
        <v>XXX</v>
      </c>
      <c r="O33" s="161" t="str">
        <f>InputTOTAL!H146</f>
        <v>XXX</v>
      </c>
      <c r="P33" s="161" t="str">
        <f>InputTOTAL!I146</f>
        <v>XXX</v>
      </c>
      <c r="Q33" s="2">
        <f>InputTOTAL!J146</f>
        <v>0</v>
      </c>
      <c r="R33" s="2">
        <f>InputTOTAL!K146</f>
        <v>0</v>
      </c>
      <c r="S33" s="253">
        <f>InputTOTAL!L146</f>
        <v>0</v>
      </c>
      <c r="T33" s="145">
        <f t="shared" si="2"/>
        <v>0</v>
      </c>
    </row>
    <row r="34" spans="1:20" ht="15.75" customHeight="1">
      <c r="A34" s="176" t="s">
        <v>246</v>
      </c>
      <c r="B34" s="252">
        <f t="shared" si="3"/>
        <v>2002</v>
      </c>
      <c r="C34" s="91" t="s">
        <v>0</v>
      </c>
      <c r="D34" s="91" t="s">
        <v>0</v>
      </c>
      <c r="E34" s="91" t="s">
        <v>0</v>
      </c>
      <c r="F34" s="91" t="s">
        <v>0</v>
      </c>
      <c r="G34" s="91" t="s">
        <v>0</v>
      </c>
      <c r="H34" s="91" t="s">
        <v>0</v>
      </c>
      <c r="I34" s="91" t="s">
        <v>0</v>
      </c>
      <c r="J34" s="91" t="s">
        <v>0</v>
      </c>
      <c r="K34" s="91" t="s">
        <v>0</v>
      </c>
      <c r="L34" s="161" t="str">
        <f>InputTOTAL!E147</f>
        <v>XXX</v>
      </c>
      <c r="M34" s="161" t="str">
        <f>InputTOTAL!F147</f>
        <v>XXX</v>
      </c>
      <c r="N34" s="161" t="str">
        <f>InputTOTAL!G147</f>
        <v>XXX</v>
      </c>
      <c r="O34" s="161" t="str">
        <f>InputTOTAL!H147</f>
        <v>XXX</v>
      </c>
      <c r="P34" s="161" t="str">
        <f>InputTOTAL!I147</f>
        <v>XXX</v>
      </c>
      <c r="Q34" s="161" t="str">
        <f>InputTOTAL!J147</f>
        <v>XXX</v>
      </c>
      <c r="R34" s="2">
        <f>InputTOTAL!K147</f>
        <v>0</v>
      </c>
      <c r="S34" s="253">
        <f>InputTOTAL!L147</f>
        <v>0</v>
      </c>
      <c r="T34" s="145">
        <f t="shared" si="2"/>
        <v>0</v>
      </c>
    </row>
    <row r="35" spans="1:20" ht="15.75" customHeight="1">
      <c r="A35" s="176" t="s">
        <v>247</v>
      </c>
      <c r="B35" s="252">
        <f t="shared" si="3"/>
        <v>2001</v>
      </c>
      <c r="C35" s="254" t="s">
        <v>0</v>
      </c>
      <c r="D35" s="254" t="s">
        <v>0</v>
      </c>
      <c r="E35" s="254" t="s">
        <v>0</v>
      </c>
      <c r="F35" s="254" t="s">
        <v>0</v>
      </c>
      <c r="G35" s="254" t="s">
        <v>0</v>
      </c>
      <c r="H35" s="254" t="s">
        <v>0</v>
      </c>
      <c r="I35" s="254" t="s">
        <v>0</v>
      </c>
      <c r="J35" s="254" t="s">
        <v>0</v>
      </c>
      <c r="K35" s="254" t="s">
        <v>0</v>
      </c>
      <c r="L35" s="255" t="str">
        <f>InputTOTAL!E148</f>
        <v>XXX</v>
      </c>
      <c r="M35" s="255" t="str">
        <f>InputTOTAL!F148</f>
        <v>XXX</v>
      </c>
      <c r="N35" s="255" t="str">
        <f>InputTOTAL!G148</f>
        <v>XXX</v>
      </c>
      <c r="O35" s="255" t="str">
        <f>InputTOTAL!H148</f>
        <v>XXX</v>
      </c>
      <c r="P35" s="255" t="str">
        <f>InputTOTAL!I148</f>
        <v>XXX</v>
      </c>
      <c r="Q35" s="255" t="str">
        <f>InputTOTAL!J148</f>
        <v>XXX</v>
      </c>
      <c r="R35" s="255" t="str">
        <f>InputTOTAL!K148</f>
        <v>XXX</v>
      </c>
      <c r="S35" s="256">
        <f>InputTOTAL!L148</f>
        <v>0</v>
      </c>
      <c r="T35" s="464">
        <f t="shared" si="2"/>
        <v>0</v>
      </c>
    </row>
    <row r="36" spans="1:20" ht="15.75" customHeight="1">
      <c r="A36" s="257" t="s">
        <v>59</v>
      </c>
      <c r="B36" s="258"/>
      <c r="C36" s="417"/>
      <c r="D36" s="417"/>
      <c r="E36" s="417"/>
      <c r="F36" s="417"/>
      <c r="G36" s="417"/>
      <c r="H36" s="417"/>
      <c r="I36" s="417"/>
      <c r="J36" s="417"/>
      <c r="K36" s="417"/>
      <c r="L36" s="161"/>
      <c r="M36" s="161"/>
      <c r="N36" s="161"/>
      <c r="O36" s="161"/>
      <c r="P36" s="161"/>
      <c r="Q36" s="161"/>
      <c r="R36" s="161"/>
      <c r="S36" s="2"/>
      <c r="T36" s="145"/>
    </row>
    <row r="37" spans="1:20" ht="15.75" customHeight="1">
      <c r="A37" s="242" t="s">
        <v>173</v>
      </c>
      <c r="B37" s="260"/>
      <c r="C37" s="161" t="s">
        <v>0</v>
      </c>
      <c r="D37" s="2">
        <f aca="true" t="shared" si="4" ref="D37:T37">SUM(D13:D35)</f>
        <v>0</v>
      </c>
      <c r="E37" s="2">
        <f t="shared" si="4"/>
        <v>0</v>
      </c>
      <c r="F37" s="2">
        <f t="shared" si="4"/>
        <v>0</v>
      </c>
      <c r="G37" s="2">
        <f t="shared" si="4"/>
        <v>0</v>
      </c>
      <c r="H37" s="2">
        <f t="shared" si="4"/>
        <v>0</v>
      </c>
      <c r="I37" s="2">
        <f t="shared" si="4"/>
        <v>0</v>
      </c>
      <c r="J37" s="2">
        <f t="shared" si="4"/>
        <v>0</v>
      </c>
      <c r="K37" s="2">
        <f t="shared" si="4"/>
        <v>0</v>
      </c>
      <c r="L37" s="2">
        <f t="shared" si="4"/>
        <v>0</v>
      </c>
      <c r="M37" s="2">
        <f t="shared" si="4"/>
        <v>0</v>
      </c>
      <c r="N37" s="2">
        <f t="shared" si="4"/>
        <v>0</v>
      </c>
      <c r="O37" s="2">
        <f t="shared" si="4"/>
        <v>0</v>
      </c>
      <c r="P37" s="2">
        <f t="shared" si="4"/>
        <v>0</v>
      </c>
      <c r="Q37" s="2">
        <f t="shared" si="4"/>
        <v>0</v>
      </c>
      <c r="R37" s="2">
        <f t="shared" si="4"/>
        <v>0</v>
      </c>
      <c r="S37" s="2">
        <f t="shared" si="4"/>
        <v>0</v>
      </c>
      <c r="T37" s="145">
        <f t="shared" si="4"/>
        <v>0</v>
      </c>
    </row>
    <row r="38" spans="1:20" ht="15.75" customHeight="1">
      <c r="A38" s="240" t="s">
        <v>59</v>
      </c>
      <c r="B38" s="260"/>
      <c r="C38" s="2"/>
      <c r="D38" s="2"/>
      <c r="E38" s="2"/>
      <c r="F38" s="2"/>
      <c r="G38" s="2"/>
      <c r="H38" s="2"/>
      <c r="I38" s="2"/>
      <c r="J38" s="2"/>
      <c r="K38" s="2"/>
      <c r="L38" s="2"/>
      <c r="M38" s="2"/>
      <c r="N38" s="2"/>
      <c r="O38" s="2"/>
      <c r="P38" s="2"/>
      <c r="Q38" s="2"/>
      <c r="R38" s="2"/>
      <c r="S38" s="2"/>
      <c r="T38" s="145"/>
    </row>
    <row r="39" spans="1:20" ht="15.75" customHeight="1" thickBot="1">
      <c r="A39" s="261" t="s">
        <v>174</v>
      </c>
      <c r="B39" s="262"/>
      <c r="C39" s="465" t="s">
        <v>0</v>
      </c>
      <c r="D39" s="13" t="e">
        <f aca="true" t="shared" si="5" ref="D39:T39">D8-D37</f>
        <v>#DIV/0!</v>
      </c>
      <c r="E39" s="13" t="e">
        <f t="shared" si="5"/>
        <v>#DIV/0!</v>
      </c>
      <c r="F39" s="13" t="e">
        <f t="shared" si="5"/>
        <v>#DIV/0!</v>
      </c>
      <c r="G39" s="13" t="e">
        <f t="shared" si="5"/>
        <v>#DIV/0!</v>
      </c>
      <c r="H39" s="13" t="e">
        <f t="shared" si="5"/>
        <v>#DIV/0!</v>
      </c>
      <c r="I39" s="13" t="e">
        <f t="shared" si="5"/>
        <v>#DIV/0!</v>
      </c>
      <c r="J39" s="13" t="e">
        <f t="shared" si="5"/>
        <v>#DIV/0!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245" t="e">
        <f t="shared" si="5"/>
        <v>#DIV/0!</v>
      </c>
    </row>
  </sheetData>
  <sheetProtection password="DCE9" sheet="1" objects="1" scenarios="1"/>
  <printOptions headings="1"/>
  <pageMargins left="0.75" right="0.75" top="1" bottom="1" header="0.5" footer="0.5"/>
  <pageSetup horizontalDpi="300" verticalDpi="300" orientation="landscape" scale="70" r:id="rId1"/>
  <headerFooter alignWithMargins="0">
    <oddFooter>&amp;L&amp;D&amp;RPage &amp;P of &amp;N</oddFooter>
  </headerFooter>
  <colBreaks count="1" manualBreakCount="1">
    <brk id="10" max="65535" man="1"/>
  </colBreaks>
</worksheet>
</file>

<file path=xl/worksheets/sheet26.xml><?xml version="1.0" encoding="utf-8"?>
<worksheet xmlns="http://schemas.openxmlformats.org/spreadsheetml/2006/main" xmlns:r="http://schemas.openxmlformats.org/officeDocument/2006/relationships">
  <sheetPr codeName="Sheet102"/>
  <dimension ref="A1:T39"/>
  <sheetViews>
    <sheetView view="pageBreakPreview" zoomScale="85" zoomScaleNormal="85" zoomScaleSheetLayoutView="85" zoomScalePageLayoutView="0" workbookViewId="0" topLeftCell="A1">
      <selection activeCell="A1" sqref="A1"/>
    </sheetView>
  </sheetViews>
  <sheetFormatPr defaultColWidth="9.140625" defaultRowHeight="15.75" customHeight="1"/>
  <cols>
    <col min="1" max="2" width="16.7109375" style="104" customWidth="1"/>
    <col min="3" max="20" width="13.7109375" style="104" customWidth="1"/>
    <col min="21" max="16384" width="9.140625" style="104" customWidth="1"/>
  </cols>
  <sheetData>
    <row r="1" spans="1:20" ht="15.75" customHeight="1">
      <c r="A1" s="136" t="str">
        <f>InputB!$A$1</f>
        <v>Group Name:</v>
      </c>
      <c r="B1" s="136"/>
      <c r="C1" s="137" t="str">
        <f>InputB!$C$1</f>
        <v>enter group name here</v>
      </c>
      <c r="D1" s="142"/>
      <c r="E1" s="142"/>
      <c r="F1"/>
      <c r="G1"/>
      <c r="H1"/>
      <c r="I1"/>
      <c r="J1" s="138" t="s">
        <v>58</v>
      </c>
      <c r="K1" s="142" t="str">
        <f>A1</f>
        <v>Group Name:</v>
      </c>
      <c r="L1" s="142"/>
      <c r="M1" s="137" t="str">
        <f>C1</f>
        <v>enter group name here</v>
      </c>
      <c r="N1" s="142"/>
      <c r="O1" s="142"/>
      <c r="P1"/>
      <c r="Q1"/>
      <c r="R1"/>
      <c r="S1"/>
      <c r="T1" s="107" t="str">
        <f>J1</f>
        <v>Exhibit 8</v>
      </c>
    </row>
    <row r="2" spans="1:20" ht="15.75" customHeight="1">
      <c r="A2" s="140" t="str">
        <f>InputB!$A$2</f>
        <v>Group NAIC #:</v>
      </c>
      <c r="B2" s="140"/>
      <c r="C2" s="137" t="str">
        <f>InputB!$C$2</f>
        <v>enter group # here</v>
      </c>
      <c r="D2" s="142"/>
      <c r="E2" s="142"/>
      <c r="F2"/>
      <c r="G2"/>
      <c r="H2"/>
      <c r="I2"/>
      <c r="J2" s="107" t="s">
        <v>103</v>
      </c>
      <c r="K2" s="142" t="str">
        <f>A2</f>
        <v>Group NAIC #:</v>
      </c>
      <c r="L2" s="142"/>
      <c r="M2" s="137" t="str">
        <f>C2</f>
        <v>enter group # here</v>
      </c>
      <c r="N2" s="142"/>
      <c r="O2" s="142"/>
      <c r="P2"/>
      <c r="Q2"/>
      <c r="R2"/>
      <c r="S2"/>
      <c r="T2" s="138" t="s">
        <v>116</v>
      </c>
    </row>
    <row r="3" spans="1:20" ht="15.75" customHeight="1">
      <c r="A3" s="136" t="str">
        <f>InputB!$A$3</f>
        <v>Year Filed:</v>
      </c>
      <c r="B3" s="136"/>
      <c r="C3" s="141">
        <f>InputB!$C$3</f>
        <v>2024</v>
      </c>
      <c r="D3" s="142"/>
      <c r="E3" s="142"/>
      <c r="F3"/>
      <c r="G3"/>
      <c r="H3"/>
      <c r="I3"/>
      <c r="K3" s="142" t="str">
        <f>A3</f>
        <v>Year Filed:</v>
      </c>
      <c r="L3" s="142"/>
      <c r="M3" s="141">
        <f>C3</f>
        <v>2024</v>
      </c>
      <c r="N3" s="142"/>
      <c r="O3" s="142"/>
      <c r="P3"/>
      <c r="Q3"/>
      <c r="R3"/>
      <c r="S3"/>
      <c r="T3" s="142"/>
    </row>
    <row r="4" spans="1:20" ht="15.75" customHeight="1">
      <c r="A4" s="142"/>
      <c r="B4" s="142"/>
      <c r="C4" s="142"/>
      <c r="D4" s="142"/>
      <c r="E4" s="142"/>
      <c r="F4" s="142"/>
      <c r="G4" s="142"/>
      <c r="H4" s="142"/>
      <c r="I4" s="142"/>
      <c r="J4" s="142"/>
      <c r="K4" s="142"/>
      <c r="L4" s="142"/>
      <c r="M4" s="142"/>
      <c r="N4" s="142"/>
      <c r="O4" s="142"/>
      <c r="P4" s="142"/>
      <c r="Q4" s="142"/>
      <c r="R4" s="142"/>
      <c r="S4" s="142"/>
      <c r="T4" s="142"/>
    </row>
    <row r="5" spans="1:20" ht="15.75" customHeight="1" thickBot="1">
      <c r="A5" s="142"/>
      <c r="B5" s="142"/>
      <c r="C5" s="142"/>
      <c r="D5" s="142"/>
      <c r="E5" s="142"/>
      <c r="F5" s="142"/>
      <c r="G5" s="142"/>
      <c r="H5" s="142"/>
      <c r="I5" s="142"/>
      <c r="J5" s="142"/>
      <c r="K5" s="142"/>
      <c r="L5" s="142"/>
      <c r="M5" s="142"/>
      <c r="N5" s="142"/>
      <c r="O5" s="142"/>
      <c r="P5" s="142"/>
      <c r="Q5" s="142"/>
      <c r="R5" s="142"/>
      <c r="S5" s="142"/>
      <c r="T5" s="142"/>
    </row>
    <row r="6" spans="1:20" ht="15.75" customHeight="1">
      <c r="A6" s="237"/>
      <c r="B6" s="168"/>
      <c r="C6" s="238" t="s">
        <v>17</v>
      </c>
      <c r="D6" s="223"/>
      <c r="E6" s="223"/>
      <c r="F6" s="223"/>
      <c r="G6" s="223"/>
      <c r="H6" s="223"/>
      <c r="I6" s="223"/>
      <c r="J6" s="223"/>
      <c r="K6" s="223" t="str">
        <f>$C6</f>
        <v>Calendar Year</v>
      </c>
      <c r="L6" s="223"/>
      <c r="M6" s="223"/>
      <c r="N6" s="223"/>
      <c r="O6" s="223"/>
      <c r="P6" s="223"/>
      <c r="Q6" s="223"/>
      <c r="R6" s="223"/>
      <c r="S6" s="223"/>
      <c r="T6" s="239"/>
    </row>
    <row r="7" spans="1:20" ht="15.75" customHeight="1">
      <c r="A7" s="240" t="s">
        <v>59</v>
      </c>
      <c r="B7" s="203"/>
      <c r="C7" s="177">
        <f>ReportYear</f>
        <v>2024</v>
      </c>
      <c r="D7" s="177">
        <f>ReportYear-1</f>
        <v>2023</v>
      </c>
      <c r="E7" s="177">
        <f>ReportYear-2</f>
        <v>2022</v>
      </c>
      <c r="F7" s="177">
        <f aca="true" t="shared" si="0" ref="F7:R7">E7-1</f>
        <v>2021</v>
      </c>
      <c r="G7" s="177">
        <f t="shared" si="0"/>
        <v>2020</v>
      </c>
      <c r="H7" s="177">
        <f t="shared" si="0"/>
        <v>2019</v>
      </c>
      <c r="I7" s="177">
        <f t="shared" si="0"/>
        <v>2018</v>
      </c>
      <c r="J7" s="177">
        <f t="shared" si="0"/>
        <v>2017</v>
      </c>
      <c r="K7" s="177">
        <f t="shared" si="0"/>
        <v>2016</v>
      </c>
      <c r="L7" s="177">
        <f t="shared" si="0"/>
        <v>2015</v>
      </c>
      <c r="M7" s="177">
        <f t="shared" si="0"/>
        <v>2014</v>
      </c>
      <c r="N7" s="177">
        <f t="shared" si="0"/>
        <v>2013</v>
      </c>
      <c r="O7" s="177">
        <f t="shared" si="0"/>
        <v>2012</v>
      </c>
      <c r="P7" s="177">
        <f t="shared" si="0"/>
        <v>2011</v>
      </c>
      <c r="Q7" s="177">
        <f t="shared" si="0"/>
        <v>2010</v>
      </c>
      <c r="R7" s="177">
        <f t="shared" si="0"/>
        <v>2009</v>
      </c>
      <c r="S7" s="177">
        <f>ReportYear-16</f>
        <v>2008</v>
      </c>
      <c r="T7" s="241" t="s">
        <v>18</v>
      </c>
    </row>
    <row r="8" spans="1:20" ht="15.75" customHeight="1" thickBot="1">
      <c r="A8" s="244" t="s">
        <v>351</v>
      </c>
      <c r="B8" s="387"/>
      <c r="C8" s="13">
        <f>InputTOTAL!D154</f>
        <v>0</v>
      </c>
      <c r="D8" s="13">
        <f>InputTOTAL!E154</f>
        <v>0</v>
      </c>
      <c r="E8" s="13">
        <f>InputTOTAL!F154</f>
        <v>0</v>
      </c>
      <c r="F8" s="13">
        <f>InputTOTAL!G154</f>
        <v>0</v>
      </c>
      <c r="G8" s="13">
        <f>InputTOTAL!H154</f>
        <v>0</v>
      </c>
      <c r="H8" s="13">
        <f>InputTOTAL!I154</f>
        <v>0</v>
      </c>
      <c r="I8" s="13">
        <f>InputTOTAL!J154</f>
        <v>0</v>
      </c>
      <c r="J8" s="13">
        <f>InputTOTAL!K154</f>
        <v>0</v>
      </c>
      <c r="K8" s="13">
        <f>InputTOTAL!L154</f>
        <v>0</v>
      </c>
      <c r="L8" s="13">
        <f>InputTOTAL!E176</f>
        <v>0</v>
      </c>
      <c r="M8" s="13">
        <f>InputTOTAL!F176</f>
        <v>0</v>
      </c>
      <c r="N8" s="13">
        <f>InputTOTAL!G176</f>
        <v>0</v>
      </c>
      <c r="O8" s="13">
        <f>InputTOTAL!H176</f>
        <v>0</v>
      </c>
      <c r="P8" s="13">
        <f>InputTOTAL!I176</f>
        <v>0</v>
      </c>
      <c r="Q8" s="13">
        <f>InputTOTAL!J176</f>
        <v>0</v>
      </c>
      <c r="R8" s="13">
        <f>InputTOTAL!K176</f>
        <v>0</v>
      </c>
      <c r="S8" s="408">
        <f>InputTOTAL!L176</f>
        <v>0</v>
      </c>
      <c r="T8" s="245">
        <f>SUM(C8:S8)</f>
        <v>0</v>
      </c>
    </row>
    <row r="9" spans="1:20" ht="15.75" customHeight="1">
      <c r="A9" s="161"/>
      <c r="B9" s="161"/>
      <c r="C9" s="2"/>
      <c r="D9" s="2"/>
      <c r="E9" s="2"/>
      <c r="F9" s="2"/>
      <c r="G9" s="2"/>
      <c r="H9" s="2"/>
      <c r="I9" s="2"/>
      <c r="J9" s="2"/>
      <c r="K9" s="2"/>
      <c r="L9" s="2"/>
      <c r="M9" s="2"/>
      <c r="N9" s="2"/>
      <c r="O9" s="2"/>
      <c r="P9" s="2"/>
      <c r="Q9" s="2"/>
      <c r="R9" s="2"/>
      <c r="S9" s="2"/>
      <c r="T9" s="2"/>
    </row>
    <row r="10" spans="1:20" ht="15.75" customHeight="1" thickBot="1">
      <c r="A10" s="4"/>
      <c r="B10" s="4"/>
      <c r="C10" s="8"/>
      <c r="D10" s="8"/>
      <c r="E10" s="8"/>
      <c r="F10" s="8"/>
      <c r="G10" s="8"/>
      <c r="H10" s="8"/>
      <c r="I10" s="8"/>
      <c r="J10" s="8"/>
      <c r="K10" s="8"/>
      <c r="L10" s="8"/>
      <c r="M10" s="8"/>
      <c r="N10" s="8"/>
      <c r="O10" s="8"/>
      <c r="P10" s="8"/>
      <c r="Q10" s="8"/>
      <c r="R10" s="8"/>
      <c r="S10" s="8"/>
      <c r="T10" s="166"/>
    </row>
    <row r="11" spans="1:20" ht="15.75" customHeight="1">
      <c r="A11" s="247" t="s">
        <v>50</v>
      </c>
      <c r="B11" s="200"/>
      <c r="C11" s="223" t="s">
        <v>214</v>
      </c>
      <c r="D11" s="223"/>
      <c r="E11" s="223"/>
      <c r="F11" s="223"/>
      <c r="G11" s="223"/>
      <c r="H11" s="223"/>
      <c r="I11" s="223"/>
      <c r="J11" s="223"/>
      <c r="K11" s="223" t="str">
        <f>$C11</f>
        <v>Calendar Year Reinvestment</v>
      </c>
      <c r="L11" s="223"/>
      <c r="M11" s="223"/>
      <c r="N11" s="223"/>
      <c r="O11" s="223"/>
      <c r="P11" s="223"/>
      <c r="Q11" s="223"/>
      <c r="R11" s="223"/>
      <c r="S11" s="223"/>
      <c r="T11" s="248"/>
    </row>
    <row r="12" spans="1:20" ht="15.75" customHeight="1">
      <c r="A12" s="249" t="s">
        <v>142</v>
      </c>
      <c r="B12" s="250"/>
      <c r="C12" s="177">
        <f>C7</f>
        <v>2024</v>
      </c>
      <c r="D12" s="177">
        <f aca="true" t="shared" si="1" ref="D12:T12">D7</f>
        <v>2023</v>
      </c>
      <c r="E12" s="177">
        <f t="shared" si="1"/>
        <v>2022</v>
      </c>
      <c r="F12" s="177">
        <f t="shared" si="1"/>
        <v>2021</v>
      </c>
      <c r="G12" s="177">
        <f t="shared" si="1"/>
        <v>2020</v>
      </c>
      <c r="H12" s="177">
        <f t="shared" si="1"/>
        <v>2019</v>
      </c>
      <c r="I12" s="177">
        <f t="shared" si="1"/>
        <v>2018</v>
      </c>
      <c r="J12" s="177">
        <f t="shared" si="1"/>
        <v>2017</v>
      </c>
      <c r="K12" s="177">
        <f t="shared" si="1"/>
        <v>2016</v>
      </c>
      <c r="L12" s="177">
        <f t="shared" si="1"/>
        <v>2015</v>
      </c>
      <c r="M12" s="177">
        <f t="shared" si="1"/>
        <v>2014</v>
      </c>
      <c r="N12" s="177">
        <f t="shared" si="1"/>
        <v>2013</v>
      </c>
      <c r="O12" s="177">
        <f t="shared" si="1"/>
        <v>2012</v>
      </c>
      <c r="P12" s="177">
        <f t="shared" si="1"/>
        <v>2011</v>
      </c>
      <c r="Q12" s="177">
        <f t="shared" si="1"/>
        <v>2010</v>
      </c>
      <c r="R12" s="177">
        <f t="shared" si="1"/>
        <v>2009</v>
      </c>
      <c r="S12" s="251">
        <f t="shared" si="1"/>
        <v>2008</v>
      </c>
      <c r="T12" s="243" t="str">
        <f t="shared" si="1"/>
        <v>Total</v>
      </c>
    </row>
    <row r="13" spans="1:20" ht="15.75" customHeight="1">
      <c r="A13" s="176" t="s">
        <v>66</v>
      </c>
      <c r="B13" s="252">
        <f>ReportYear-1</f>
        <v>2023</v>
      </c>
      <c r="C13" s="2">
        <f>InputTOTAL!D157</f>
        <v>0</v>
      </c>
      <c r="D13" s="2">
        <f>InputTOTAL!E157</f>
        <v>0</v>
      </c>
      <c r="E13" s="2">
        <f>InputTOTAL!F157</f>
        <v>0</v>
      </c>
      <c r="F13" s="2">
        <f>InputTOTAL!G157</f>
        <v>0</v>
      </c>
      <c r="G13" s="2">
        <f>InputTOTAL!H157</f>
        <v>0</v>
      </c>
      <c r="H13" s="2">
        <f>InputTOTAL!I157</f>
        <v>0</v>
      </c>
      <c r="I13" s="2">
        <f>InputTOTAL!J157</f>
        <v>0</v>
      </c>
      <c r="J13" s="2">
        <f>InputTOTAL!K157</f>
        <v>0</v>
      </c>
      <c r="K13" s="2">
        <f>InputTOTAL!L157</f>
        <v>0</v>
      </c>
      <c r="L13" s="2">
        <f>InputTOTAL!E179</f>
        <v>0</v>
      </c>
      <c r="M13" s="2">
        <f>InputTOTAL!F179</f>
        <v>0</v>
      </c>
      <c r="N13" s="2">
        <f>InputTOTAL!G179</f>
        <v>0</v>
      </c>
      <c r="O13" s="2">
        <f>InputTOTAL!H179</f>
        <v>0</v>
      </c>
      <c r="P13" s="2">
        <f>InputTOTAL!I179</f>
        <v>0</v>
      </c>
      <c r="Q13" s="2">
        <f>InputTOTAL!J179</f>
        <v>0</v>
      </c>
      <c r="R13" s="2">
        <f>InputTOTAL!K179</f>
        <v>0</v>
      </c>
      <c r="S13" s="253">
        <f>InputTOTAL!L179</f>
        <v>0</v>
      </c>
      <c r="T13" s="145">
        <f aca="true" t="shared" si="2" ref="T13:T35">SUM(C13:S13)</f>
        <v>0</v>
      </c>
    </row>
    <row r="14" spans="1:20" ht="15.75" customHeight="1">
      <c r="A14" s="176" t="s">
        <v>67</v>
      </c>
      <c r="B14" s="252">
        <f>ReportYear-2</f>
        <v>2022</v>
      </c>
      <c r="C14" s="2">
        <f>InputTOTAL!D158</f>
        <v>0</v>
      </c>
      <c r="D14" s="2">
        <f>InputTOTAL!E158</f>
        <v>0</v>
      </c>
      <c r="E14" s="2">
        <f>InputTOTAL!F158</f>
        <v>0</v>
      </c>
      <c r="F14" s="2">
        <f>InputTOTAL!G158</f>
        <v>0</v>
      </c>
      <c r="G14" s="2">
        <f>InputTOTAL!H158</f>
        <v>0</v>
      </c>
      <c r="H14" s="2">
        <f>InputTOTAL!I158</f>
        <v>0</v>
      </c>
      <c r="I14" s="2">
        <f>InputTOTAL!J158</f>
        <v>0</v>
      </c>
      <c r="J14" s="2">
        <f>InputTOTAL!K158</f>
        <v>0</v>
      </c>
      <c r="K14" s="2">
        <f>InputTOTAL!L158</f>
        <v>0</v>
      </c>
      <c r="L14" s="2">
        <f>InputTOTAL!E180</f>
        <v>0</v>
      </c>
      <c r="M14" s="2">
        <f>InputTOTAL!F180</f>
        <v>0</v>
      </c>
      <c r="N14" s="2">
        <f>InputTOTAL!G180</f>
        <v>0</v>
      </c>
      <c r="O14" s="2">
        <f>InputTOTAL!H180</f>
        <v>0</v>
      </c>
      <c r="P14" s="2">
        <f>InputTOTAL!I180</f>
        <v>0</v>
      </c>
      <c r="Q14" s="2">
        <f>InputTOTAL!J180</f>
        <v>0</v>
      </c>
      <c r="R14" s="2">
        <f>InputTOTAL!K180</f>
        <v>0</v>
      </c>
      <c r="S14" s="253">
        <f>InputTOTAL!L180</f>
        <v>0</v>
      </c>
      <c r="T14" s="145">
        <f t="shared" si="2"/>
        <v>0</v>
      </c>
    </row>
    <row r="15" spans="1:20" ht="15.75" customHeight="1">
      <c r="A15" s="176" t="s">
        <v>80</v>
      </c>
      <c r="B15" s="252">
        <f>ReportYear-3</f>
        <v>2021</v>
      </c>
      <c r="C15" s="2">
        <f>InputTOTAL!D159</f>
        <v>0</v>
      </c>
      <c r="D15" s="2">
        <f>InputTOTAL!E159</f>
        <v>0</v>
      </c>
      <c r="E15" s="2">
        <f>InputTOTAL!F159</f>
        <v>0</v>
      </c>
      <c r="F15" s="2">
        <f>InputTOTAL!G159</f>
        <v>0</v>
      </c>
      <c r="G15" s="2">
        <f>InputTOTAL!H159</f>
        <v>0</v>
      </c>
      <c r="H15" s="2">
        <f>InputTOTAL!I159</f>
        <v>0</v>
      </c>
      <c r="I15" s="2">
        <f>InputTOTAL!J159</f>
        <v>0</v>
      </c>
      <c r="J15" s="2">
        <f>InputTOTAL!K159</f>
        <v>0</v>
      </c>
      <c r="K15" s="2">
        <f>InputTOTAL!L159</f>
        <v>0</v>
      </c>
      <c r="L15" s="2">
        <f>InputTOTAL!E181</f>
        <v>0</v>
      </c>
      <c r="M15" s="2">
        <f>InputTOTAL!F181</f>
        <v>0</v>
      </c>
      <c r="N15" s="2">
        <f>InputTOTAL!G181</f>
        <v>0</v>
      </c>
      <c r="O15" s="2">
        <f>InputTOTAL!H181</f>
        <v>0</v>
      </c>
      <c r="P15" s="2">
        <f>InputTOTAL!I181</f>
        <v>0</v>
      </c>
      <c r="Q15" s="2">
        <f>InputTOTAL!J181</f>
        <v>0</v>
      </c>
      <c r="R15" s="2">
        <f>InputTOTAL!K181</f>
        <v>0</v>
      </c>
      <c r="S15" s="253">
        <f>InputTOTAL!L181</f>
        <v>0</v>
      </c>
      <c r="T15" s="145">
        <f t="shared" si="2"/>
        <v>0</v>
      </c>
    </row>
    <row r="16" spans="1:20" ht="15.75" customHeight="1">
      <c r="A16" s="176" t="s">
        <v>81</v>
      </c>
      <c r="B16" s="252">
        <f>ReportYear-4</f>
        <v>2020</v>
      </c>
      <c r="C16" s="2">
        <f>InputTOTAL!D160</f>
        <v>0</v>
      </c>
      <c r="D16" s="2">
        <f>InputTOTAL!E160</f>
        <v>0</v>
      </c>
      <c r="E16" s="2">
        <f>InputTOTAL!F160</f>
        <v>0</v>
      </c>
      <c r="F16" s="2">
        <f>InputTOTAL!G160</f>
        <v>0</v>
      </c>
      <c r="G16" s="2">
        <f>InputTOTAL!H160</f>
        <v>0</v>
      </c>
      <c r="H16" s="2">
        <f>InputTOTAL!I160</f>
        <v>0</v>
      </c>
      <c r="I16" s="2">
        <f>InputTOTAL!J160</f>
        <v>0</v>
      </c>
      <c r="J16" s="2">
        <f>InputTOTAL!K160</f>
        <v>0</v>
      </c>
      <c r="K16" s="2">
        <f>InputTOTAL!L160</f>
        <v>0</v>
      </c>
      <c r="L16" s="2">
        <f>InputTOTAL!E182</f>
        <v>0</v>
      </c>
      <c r="M16" s="2">
        <f>InputTOTAL!F182</f>
        <v>0</v>
      </c>
      <c r="N16" s="2">
        <f>InputTOTAL!G182</f>
        <v>0</v>
      </c>
      <c r="O16" s="2">
        <f>InputTOTAL!H182</f>
        <v>0</v>
      </c>
      <c r="P16" s="2">
        <f>InputTOTAL!I182</f>
        <v>0</v>
      </c>
      <c r="Q16" s="2">
        <f>InputTOTAL!J182</f>
        <v>0</v>
      </c>
      <c r="R16" s="2">
        <f>InputTOTAL!K182</f>
        <v>0</v>
      </c>
      <c r="S16" s="253">
        <f>InputTOTAL!L182</f>
        <v>0</v>
      </c>
      <c r="T16" s="145">
        <f t="shared" si="2"/>
        <v>0</v>
      </c>
    </row>
    <row r="17" spans="1:20" ht="15.75" customHeight="1">
      <c r="A17" s="176" t="s">
        <v>82</v>
      </c>
      <c r="B17" s="252">
        <f aca="true" t="shared" si="3" ref="B17:B35">B16-1</f>
        <v>2019</v>
      </c>
      <c r="C17" s="2">
        <f>InputTOTAL!D161</f>
        <v>0</v>
      </c>
      <c r="D17" s="2">
        <f>InputTOTAL!E161</f>
        <v>0</v>
      </c>
      <c r="E17" s="2">
        <f>InputTOTAL!F161</f>
        <v>0</v>
      </c>
      <c r="F17" s="2">
        <f>InputTOTAL!G161</f>
        <v>0</v>
      </c>
      <c r="G17" s="2">
        <f>InputTOTAL!H161</f>
        <v>0</v>
      </c>
      <c r="H17" s="2">
        <f>InputTOTAL!I161</f>
        <v>0</v>
      </c>
      <c r="I17" s="2">
        <f>InputTOTAL!J161</f>
        <v>0</v>
      </c>
      <c r="J17" s="2">
        <f>InputTOTAL!K161</f>
        <v>0</v>
      </c>
      <c r="K17" s="2">
        <f>InputTOTAL!L161</f>
        <v>0</v>
      </c>
      <c r="L17" s="2">
        <f>InputTOTAL!E183</f>
        <v>0</v>
      </c>
      <c r="M17" s="2">
        <f>InputTOTAL!F183</f>
        <v>0</v>
      </c>
      <c r="N17" s="2">
        <f>InputTOTAL!G183</f>
        <v>0</v>
      </c>
      <c r="O17" s="2">
        <f>InputTOTAL!H183</f>
        <v>0</v>
      </c>
      <c r="P17" s="2">
        <f>InputTOTAL!I183</f>
        <v>0</v>
      </c>
      <c r="Q17" s="2">
        <f>InputTOTAL!J183</f>
        <v>0</v>
      </c>
      <c r="R17" s="2">
        <f>InputTOTAL!K183</f>
        <v>0</v>
      </c>
      <c r="S17" s="253">
        <f>InputTOTAL!L183</f>
        <v>0</v>
      </c>
      <c r="T17" s="145">
        <f t="shared" si="2"/>
        <v>0</v>
      </c>
    </row>
    <row r="18" spans="1:20" ht="15.75" customHeight="1">
      <c r="A18" s="176" t="s">
        <v>83</v>
      </c>
      <c r="B18" s="252">
        <f t="shared" si="3"/>
        <v>2018</v>
      </c>
      <c r="C18" s="2">
        <f>InputTOTAL!D162</f>
        <v>0</v>
      </c>
      <c r="D18" s="2">
        <f>InputTOTAL!E162</f>
        <v>0</v>
      </c>
      <c r="E18" s="2">
        <f>InputTOTAL!F162</f>
        <v>0</v>
      </c>
      <c r="F18" s="2">
        <f>InputTOTAL!G162</f>
        <v>0</v>
      </c>
      <c r="G18" s="2">
        <f>InputTOTAL!H162</f>
        <v>0</v>
      </c>
      <c r="H18" s="2">
        <f>InputTOTAL!I162</f>
        <v>0</v>
      </c>
      <c r="I18" s="2">
        <f>InputTOTAL!J162</f>
        <v>0</v>
      </c>
      <c r="J18" s="2">
        <f>InputTOTAL!K162</f>
        <v>0</v>
      </c>
      <c r="K18" s="2">
        <f>InputTOTAL!L162</f>
        <v>0</v>
      </c>
      <c r="L18" s="2">
        <f>InputTOTAL!E184</f>
        <v>0</v>
      </c>
      <c r="M18" s="2">
        <f>InputTOTAL!F184</f>
        <v>0</v>
      </c>
      <c r="N18" s="2">
        <f>InputTOTAL!G184</f>
        <v>0</v>
      </c>
      <c r="O18" s="2">
        <f>InputTOTAL!H184</f>
        <v>0</v>
      </c>
      <c r="P18" s="2">
        <f>InputTOTAL!I184</f>
        <v>0</v>
      </c>
      <c r="Q18" s="2">
        <f>InputTOTAL!J184</f>
        <v>0</v>
      </c>
      <c r="R18" s="2">
        <f>InputTOTAL!K184</f>
        <v>0</v>
      </c>
      <c r="S18" s="253">
        <f>InputTOTAL!L184</f>
        <v>0</v>
      </c>
      <c r="T18" s="145">
        <f t="shared" si="2"/>
        <v>0</v>
      </c>
    </row>
    <row r="19" spans="1:20" ht="15.75" customHeight="1">
      <c r="A19" s="176" t="s">
        <v>84</v>
      </c>
      <c r="B19" s="252">
        <f t="shared" si="3"/>
        <v>2017</v>
      </c>
      <c r="C19" s="2">
        <f>InputTOTAL!D163</f>
        <v>0</v>
      </c>
      <c r="D19" s="2">
        <f>InputTOTAL!E163</f>
        <v>0</v>
      </c>
      <c r="E19" s="2">
        <f>InputTOTAL!F163</f>
        <v>0</v>
      </c>
      <c r="F19" s="2">
        <f>InputTOTAL!G163</f>
        <v>0</v>
      </c>
      <c r="G19" s="2">
        <f>InputTOTAL!H163</f>
        <v>0</v>
      </c>
      <c r="H19" s="2">
        <f>InputTOTAL!I163</f>
        <v>0</v>
      </c>
      <c r="I19" s="2">
        <f>InputTOTAL!J163</f>
        <v>0</v>
      </c>
      <c r="J19" s="2">
        <f>InputTOTAL!K163</f>
        <v>0</v>
      </c>
      <c r="K19" s="2">
        <f>InputTOTAL!L163</f>
        <v>0</v>
      </c>
      <c r="L19" s="2">
        <f>InputTOTAL!E185</f>
        <v>0</v>
      </c>
      <c r="M19" s="2">
        <f>InputTOTAL!F185</f>
        <v>0</v>
      </c>
      <c r="N19" s="2">
        <f>InputTOTAL!G185</f>
        <v>0</v>
      </c>
      <c r="O19" s="2">
        <f>InputTOTAL!H185</f>
        <v>0</v>
      </c>
      <c r="P19" s="2">
        <f>InputTOTAL!I185</f>
        <v>0</v>
      </c>
      <c r="Q19" s="2">
        <f>InputTOTAL!J185</f>
        <v>0</v>
      </c>
      <c r="R19" s="2">
        <f>InputTOTAL!K185</f>
        <v>0</v>
      </c>
      <c r="S19" s="253">
        <f>InputTOTAL!L185</f>
        <v>0</v>
      </c>
      <c r="T19" s="145">
        <f t="shared" si="2"/>
        <v>0</v>
      </c>
    </row>
    <row r="20" spans="1:20" ht="15.75" customHeight="1">
      <c r="A20" s="176" t="s">
        <v>85</v>
      </c>
      <c r="B20" s="252">
        <f t="shared" si="3"/>
        <v>2016</v>
      </c>
      <c r="C20" s="161" t="str">
        <f>InputTOTAL!D164</f>
        <v>XXX</v>
      </c>
      <c r="D20" s="2">
        <f>InputTOTAL!E164</f>
        <v>0</v>
      </c>
      <c r="E20" s="2">
        <f>InputTOTAL!F164</f>
        <v>0</v>
      </c>
      <c r="F20" s="2">
        <f>InputTOTAL!G164</f>
        <v>0</v>
      </c>
      <c r="G20" s="2">
        <f>InputTOTAL!H164</f>
        <v>0</v>
      </c>
      <c r="H20" s="2">
        <f>InputTOTAL!I164</f>
        <v>0</v>
      </c>
      <c r="I20" s="2">
        <f>InputTOTAL!J164</f>
        <v>0</v>
      </c>
      <c r="J20" s="2">
        <f>InputTOTAL!K164</f>
        <v>0</v>
      </c>
      <c r="K20" s="2">
        <f>InputTOTAL!L164</f>
        <v>0</v>
      </c>
      <c r="L20" s="2">
        <f>InputTOTAL!E186</f>
        <v>0</v>
      </c>
      <c r="M20" s="2">
        <f>InputTOTAL!F186</f>
        <v>0</v>
      </c>
      <c r="N20" s="2">
        <f>InputTOTAL!G186</f>
        <v>0</v>
      </c>
      <c r="O20" s="2">
        <f>InputTOTAL!H186</f>
        <v>0</v>
      </c>
      <c r="P20" s="2">
        <f>InputTOTAL!I186</f>
        <v>0</v>
      </c>
      <c r="Q20" s="2">
        <f>InputTOTAL!J186</f>
        <v>0</v>
      </c>
      <c r="R20" s="2">
        <f>InputTOTAL!K186</f>
        <v>0</v>
      </c>
      <c r="S20" s="253">
        <f>InputTOTAL!L186</f>
        <v>0</v>
      </c>
      <c r="T20" s="145">
        <f t="shared" si="2"/>
        <v>0</v>
      </c>
    </row>
    <row r="21" spans="1:20" ht="15.75" customHeight="1">
      <c r="A21" s="176" t="s">
        <v>86</v>
      </c>
      <c r="B21" s="252">
        <f t="shared" si="3"/>
        <v>2015</v>
      </c>
      <c r="C21" s="161" t="str">
        <f>InputTOTAL!D165</f>
        <v>XXX</v>
      </c>
      <c r="D21" s="161" t="str">
        <f>InputTOTAL!E165</f>
        <v>XXX</v>
      </c>
      <c r="E21" s="2">
        <f>InputTOTAL!F165</f>
        <v>0</v>
      </c>
      <c r="F21" s="2">
        <f>InputTOTAL!G165</f>
        <v>0</v>
      </c>
      <c r="G21" s="2">
        <f>InputTOTAL!H165</f>
        <v>0</v>
      </c>
      <c r="H21" s="2">
        <f>InputTOTAL!I165</f>
        <v>0</v>
      </c>
      <c r="I21" s="2">
        <f>InputTOTAL!J165</f>
        <v>0</v>
      </c>
      <c r="J21" s="2">
        <f>InputTOTAL!K165</f>
        <v>0</v>
      </c>
      <c r="K21" s="2">
        <f>InputTOTAL!L165</f>
        <v>0</v>
      </c>
      <c r="L21" s="2">
        <f>InputTOTAL!E187</f>
        <v>0</v>
      </c>
      <c r="M21" s="2">
        <f>InputTOTAL!F187</f>
        <v>0</v>
      </c>
      <c r="N21" s="2">
        <f>InputTOTAL!G187</f>
        <v>0</v>
      </c>
      <c r="O21" s="2">
        <f>InputTOTAL!H187</f>
        <v>0</v>
      </c>
      <c r="P21" s="2">
        <f>InputTOTAL!I187</f>
        <v>0</v>
      </c>
      <c r="Q21" s="2">
        <f>InputTOTAL!J187</f>
        <v>0</v>
      </c>
      <c r="R21" s="2">
        <f>InputTOTAL!K187</f>
        <v>0</v>
      </c>
      <c r="S21" s="253">
        <f>InputTOTAL!L187</f>
        <v>0</v>
      </c>
      <c r="T21" s="145">
        <f t="shared" si="2"/>
        <v>0</v>
      </c>
    </row>
    <row r="22" spans="1:20" ht="15.75" customHeight="1">
      <c r="A22" s="176" t="s">
        <v>87</v>
      </c>
      <c r="B22" s="252">
        <f t="shared" si="3"/>
        <v>2014</v>
      </c>
      <c r="C22" s="161" t="str">
        <f>InputTOTAL!D166</f>
        <v>XXX</v>
      </c>
      <c r="D22" s="161" t="str">
        <f>InputTOTAL!E166</f>
        <v>XXX</v>
      </c>
      <c r="E22" s="161" t="str">
        <f>InputTOTAL!F166</f>
        <v>XXX</v>
      </c>
      <c r="F22" s="2">
        <f>InputTOTAL!G166</f>
        <v>0</v>
      </c>
      <c r="G22" s="2">
        <f>InputTOTAL!H166</f>
        <v>0</v>
      </c>
      <c r="H22" s="2">
        <f>InputTOTAL!I166</f>
        <v>0</v>
      </c>
      <c r="I22" s="2">
        <f>InputTOTAL!J166</f>
        <v>0</v>
      </c>
      <c r="J22" s="2">
        <f>InputTOTAL!K166</f>
        <v>0</v>
      </c>
      <c r="K22" s="2">
        <f>InputTOTAL!L166</f>
        <v>0</v>
      </c>
      <c r="L22" s="2">
        <f>InputTOTAL!E188</f>
        <v>0</v>
      </c>
      <c r="M22" s="2">
        <f>InputTOTAL!F188</f>
        <v>0</v>
      </c>
      <c r="N22" s="2">
        <f>InputTOTAL!G188</f>
        <v>0</v>
      </c>
      <c r="O22" s="2">
        <f>InputTOTAL!H188</f>
        <v>0</v>
      </c>
      <c r="P22" s="2">
        <f>InputTOTAL!I188</f>
        <v>0</v>
      </c>
      <c r="Q22" s="2">
        <f>InputTOTAL!J188</f>
        <v>0</v>
      </c>
      <c r="R22" s="2">
        <f>InputTOTAL!K188</f>
        <v>0</v>
      </c>
      <c r="S22" s="253">
        <f>InputTOTAL!L188</f>
        <v>0</v>
      </c>
      <c r="T22" s="145">
        <f t="shared" si="2"/>
        <v>0</v>
      </c>
    </row>
    <row r="23" spans="1:20" ht="15.75" customHeight="1">
      <c r="A23" s="176" t="s">
        <v>88</v>
      </c>
      <c r="B23" s="252">
        <f t="shared" si="3"/>
        <v>2013</v>
      </c>
      <c r="C23" s="161" t="str">
        <f>InputTOTAL!D167</f>
        <v>XXX</v>
      </c>
      <c r="D23" s="161" t="str">
        <f>InputTOTAL!E167</f>
        <v>XXX</v>
      </c>
      <c r="E23" s="161" t="str">
        <f>InputTOTAL!F167</f>
        <v>XXX</v>
      </c>
      <c r="F23" s="161" t="str">
        <f>InputTOTAL!G167</f>
        <v>XXX</v>
      </c>
      <c r="G23" s="2">
        <f>InputTOTAL!H167</f>
        <v>0</v>
      </c>
      <c r="H23" s="2">
        <f>InputTOTAL!I167</f>
        <v>0</v>
      </c>
      <c r="I23" s="2">
        <f>InputTOTAL!J167</f>
        <v>0</v>
      </c>
      <c r="J23" s="2">
        <f>InputTOTAL!K167</f>
        <v>0</v>
      </c>
      <c r="K23" s="2">
        <f>InputTOTAL!L167</f>
        <v>0</v>
      </c>
      <c r="L23" s="2">
        <f>InputTOTAL!E189</f>
        <v>0</v>
      </c>
      <c r="M23" s="2">
        <f>InputTOTAL!F189</f>
        <v>0</v>
      </c>
      <c r="N23" s="2">
        <f>InputTOTAL!G189</f>
        <v>0</v>
      </c>
      <c r="O23" s="2">
        <f>InputTOTAL!H189</f>
        <v>0</v>
      </c>
      <c r="P23" s="2">
        <f>InputTOTAL!I189</f>
        <v>0</v>
      </c>
      <c r="Q23" s="2">
        <f>InputTOTAL!J189</f>
        <v>0</v>
      </c>
      <c r="R23" s="2">
        <f>InputTOTAL!K189</f>
        <v>0</v>
      </c>
      <c r="S23" s="253">
        <f>InputTOTAL!L189</f>
        <v>0</v>
      </c>
      <c r="T23" s="145">
        <f t="shared" si="2"/>
        <v>0</v>
      </c>
    </row>
    <row r="24" spans="1:20" ht="15.75" customHeight="1">
      <c r="A24" s="176" t="s">
        <v>89</v>
      </c>
      <c r="B24" s="252">
        <f t="shared" si="3"/>
        <v>2012</v>
      </c>
      <c r="C24" s="161" t="str">
        <f>InputTOTAL!D168</f>
        <v>XXX</v>
      </c>
      <c r="D24" s="161" t="str">
        <f>InputTOTAL!E168</f>
        <v>XXX</v>
      </c>
      <c r="E24" s="161" t="str">
        <f>InputTOTAL!F168</f>
        <v>XXX</v>
      </c>
      <c r="F24" s="161" t="str">
        <f>InputTOTAL!G168</f>
        <v>XXX</v>
      </c>
      <c r="G24" s="161" t="str">
        <f>InputTOTAL!H168</f>
        <v>XXX</v>
      </c>
      <c r="H24" s="2">
        <f>InputTOTAL!I168</f>
        <v>0</v>
      </c>
      <c r="I24" s="2">
        <f>InputTOTAL!J168</f>
        <v>0</v>
      </c>
      <c r="J24" s="2">
        <f>InputTOTAL!K168</f>
        <v>0</v>
      </c>
      <c r="K24" s="2">
        <f>InputTOTAL!L168</f>
        <v>0</v>
      </c>
      <c r="L24" s="2">
        <f>InputTOTAL!E190</f>
        <v>0</v>
      </c>
      <c r="M24" s="2">
        <f>InputTOTAL!F190</f>
        <v>0</v>
      </c>
      <c r="N24" s="2">
        <f>InputTOTAL!G190</f>
        <v>0</v>
      </c>
      <c r="O24" s="2">
        <f>InputTOTAL!H190</f>
        <v>0</v>
      </c>
      <c r="P24" s="2">
        <f>InputTOTAL!I190</f>
        <v>0</v>
      </c>
      <c r="Q24" s="2">
        <f>InputTOTAL!J190</f>
        <v>0</v>
      </c>
      <c r="R24" s="2">
        <f>InputTOTAL!K190</f>
        <v>0</v>
      </c>
      <c r="S24" s="253">
        <f>InputTOTAL!L190</f>
        <v>0</v>
      </c>
      <c r="T24" s="145">
        <f t="shared" si="2"/>
        <v>0</v>
      </c>
    </row>
    <row r="25" spans="1:20" ht="15.75" customHeight="1">
      <c r="A25" s="176" t="s">
        <v>90</v>
      </c>
      <c r="B25" s="252">
        <f t="shared" si="3"/>
        <v>2011</v>
      </c>
      <c r="C25" s="161" t="str">
        <f>InputTOTAL!D169</f>
        <v>XXX</v>
      </c>
      <c r="D25" s="161" t="str">
        <f>InputTOTAL!E169</f>
        <v>XXX</v>
      </c>
      <c r="E25" s="161" t="str">
        <f>InputTOTAL!F169</f>
        <v>XXX</v>
      </c>
      <c r="F25" s="161" t="str">
        <f>InputTOTAL!G169</f>
        <v>XXX</v>
      </c>
      <c r="G25" s="161" t="str">
        <f>InputTOTAL!H169</f>
        <v>XXX</v>
      </c>
      <c r="H25" s="161" t="str">
        <f>InputTOTAL!I169</f>
        <v>XXX</v>
      </c>
      <c r="I25" s="2">
        <f>InputTOTAL!J169</f>
        <v>0</v>
      </c>
      <c r="J25" s="2">
        <f>InputTOTAL!K169</f>
        <v>0</v>
      </c>
      <c r="K25" s="2">
        <f>InputTOTAL!L169</f>
        <v>0</v>
      </c>
      <c r="L25" s="2">
        <f>InputTOTAL!E191</f>
        <v>0</v>
      </c>
      <c r="M25" s="2">
        <f>InputTOTAL!F191</f>
        <v>0</v>
      </c>
      <c r="N25" s="2">
        <f>InputTOTAL!G191</f>
        <v>0</v>
      </c>
      <c r="O25" s="2">
        <f>InputTOTAL!H191</f>
        <v>0</v>
      </c>
      <c r="P25" s="2">
        <f>InputTOTAL!I191</f>
        <v>0</v>
      </c>
      <c r="Q25" s="2">
        <f>InputTOTAL!J191</f>
        <v>0</v>
      </c>
      <c r="R25" s="2">
        <f>InputTOTAL!K191</f>
        <v>0</v>
      </c>
      <c r="S25" s="253">
        <f>InputTOTAL!L191</f>
        <v>0</v>
      </c>
      <c r="T25" s="145">
        <f t="shared" si="2"/>
        <v>0</v>
      </c>
    </row>
    <row r="26" spans="1:20" ht="15.75" customHeight="1">
      <c r="A26" s="176" t="s">
        <v>91</v>
      </c>
      <c r="B26" s="252">
        <f t="shared" si="3"/>
        <v>2010</v>
      </c>
      <c r="C26" s="161" t="str">
        <f>InputTOTAL!D170</f>
        <v>XXX</v>
      </c>
      <c r="D26" s="161" t="str">
        <f>InputTOTAL!E170</f>
        <v>XXX</v>
      </c>
      <c r="E26" s="161" t="str">
        <f>InputTOTAL!F170</f>
        <v>XXX</v>
      </c>
      <c r="F26" s="161" t="str">
        <f>InputTOTAL!G170</f>
        <v>XXX</v>
      </c>
      <c r="G26" s="161" t="str">
        <f>InputTOTAL!H170</f>
        <v>XXX</v>
      </c>
      <c r="H26" s="161" t="str">
        <f>InputTOTAL!I170</f>
        <v>XXX</v>
      </c>
      <c r="I26" s="161" t="str">
        <f>InputTOTAL!J170</f>
        <v>XXX</v>
      </c>
      <c r="J26" s="2">
        <f>InputTOTAL!K170</f>
        <v>0</v>
      </c>
      <c r="K26" s="2">
        <f>InputTOTAL!L170</f>
        <v>0</v>
      </c>
      <c r="L26" s="2">
        <f>InputTOTAL!E192</f>
        <v>0</v>
      </c>
      <c r="M26" s="2">
        <f>InputTOTAL!F192</f>
        <v>0</v>
      </c>
      <c r="N26" s="2">
        <f>InputTOTAL!G192</f>
        <v>0</v>
      </c>
      <c r="O26" s="2">
        <f>InputTOTAL!H192</f>
        <v>0</v>
      </c>
      <c r="P26" s="2">
        <f>InputTOTAL!I192</f>
        <v>0</v>
      </c>
      <c r="Q26" s="2">
        <f>InputTOTAL!J192</f>
        <v>0</v>
      </c>
      <c r="R26" s="2">
        <f>InputTOTAL!K192</f>
        <v>0</v>
      </c>
      <c r="S26" s="253">
        <f>InputTOTAL!L192</f>
        <v>0</v>
      </c>
      <c r="T26" s="145">
        <f t="shared" si="2"/>
        <v>0</v>
      </c>
    </row>
    <row r="27" spans="1:20" ht="15.75" customHeight="1">
      <c r="A27" s="176" t="s">
        <v>92</v>
      </c>
      <c r="B27" s="252">
        <f t="shared" si="3"/>
        <v>2009</v>
      </c>
      <c r="C27" s="161" t="str">
        <f>InputTOTAL!D171</f>
        <v>XXX</v>
      </c>
      <c r="D27" s="161" t="str">
        <f>InputTOTAL!E171</f>
        <v>XXX</v>
      </c>
      <c r="E27" s="161" t="str">
        <f>InputTOTAL!F171</f>
        <v>XXX</v>
      </c>
      <c r="F27" s="161" t="str">
        <f>InputTOTAL!G171</f>
        <v>XXX</v>
      </c>
      <c r="G27" s="161" t="str">
        <f>InputTOTAL!H171</f>
        <v>XXX</v>
      </c>
      <c r="H27" s="161" t="str">
        <f>InputTOTAL!I171</f>
        <v>XXX</v>
      </c>
      <c r="I27" s="161" t="str">
        <f>InputTOTAL!J171</f>
        <v>XXX</v>
      </c>
      <c r="J27" s="161" t="str">
        <f>InputTOTAL!K171</f>
        <v>XXX</v>
      </c>
      <c r="K27" s="2">
        <f>InputTOTAL!L171</f>
        <v>0</v>
      </c>
      <c r="L27" s="2">
        <f>InputTOTAL!E193</f>
        <v>0</v>
      </c>
      <c r="M27" s="2">
        <f>InputTOTAL!F193</f>
        <v>0</v>
      </c>
      <c r="N27" s="2">
        <f>InputTOTAL!G193</f>
        <v>0</v>
      </c>
      <c r="O27" s="2">
        <f>InputTOTAL!H193</f>
        <v>0</v>
      </c>
      <c r="P27" s="2">
        <f>InputTOTAL!I193</f>
        <v>0</v>
      </c>
      <c r="Q27" s="2">
        <f>InputTOTAL!J193</f>
        <v>0</v>
      </c>
      <c r="R27" s="2">
        <f>InputTOTAL!K193</f>
        <v>0</v>
      </c>
      <c r="S27" s="253">
        <f>InputTOTAL!L193</f>
        <v>0</v>
      </c>
      <c r="T27" s="145">
        <f t="shared" si="2"/>
        <v>0</v>
      </c>
    </row>
    <row r="28" spans="1:20" ht="15.75" customHeight="1">
      <c r="A28" s="176" t="s">
        <v>93</v>
      </c>
      <c r="B28" s="252">
        <f t="shared" si="3"/>
        <v>2008</v>
      </c>
      <c r="C28" s="91" t="s">
        <v>0</v>
      </c>
      <c r="D28" s="91" t="s">
        <v>0</v>
      </c>
      <c r="E28" s="91" t="s">
        <v>0</v>
      </c>
      <c r="F28" s="91" t="s">
        <v>0</v>
      </c>
      <c r="G28" s="91" t="s">
        <v>0</v>
      </c>
      <c r="H28" s="91" t="s">
        <v>0</v>
      </c>
      <c r="I28" s="91" t="s">
        <v>0</v>
      </c>
      <c r="J28" s="91" t="s">
        <v>0</v>
      </c>
      <c r="K28" s="91" t="s">
        <v>0</v>
      </c>
      <c r="L28" s="2">
        <f>InputTOTAL!E194</f>
        <v>0</v>
      </c>
      <c r="M28" s="2">
        <f>InputTOTAL!F194</f>
        <v>0</v>
      </c>
      <c r="N28" s="2">
        <f>InputTOTAL!G194</f>
        <v>0</v>
      </c>
      <c r="O28" s="2">
        <f>InputTOTAL!H194</f>
        <v>0</v>
      </c>
      <c r="P28" s="2">
        <f>InputTOTAL!I194</f>
        <v>0</v>
      </c>
      <c r="Q28" s="2">
        <f>InputTOTAL!J194</f>
        <v>0</v>
      </c>
      <c r="R28" s="2">
        <f>InputTOTAL!K194</f>
        <v>0</v>
      </c>
      <c r="S28" s="253">
        <f>InputTOTAL!L194</f>
        <v>0</v>
      </c>
      <c r="T28" s="145">
        <f t="shared" si="2"/>
        <v>0</v>
      </c>
    </row>
    <row r="29" spans="1:20" ht="15.75" customHeight="1">
      <c r="A29" s="176" t="s">
        <v>94</v>
      </c>
      <c r="B29" s="252">
        <f t="shared" si="3"/>
        <v>2007</v>
      </c>
      <c r="C29" s="91" t="s">
        <v>0</v>
      </c>
      <c r="D29" s="91" t="s">
        <v>0</v>
      </c>
      <c r="E29" s="91" t="s">
        <v>0</v>
      </c>
      <c r="F29" s="91" t="s">
        <v>0</v>
      </c>
      <c r="G29" s="91" t="s">
        <v>0</v>
      </c>
      <c r="H29" s="91" t="s">
        <v>0</v>
      </c>
      <c r="I29" s="91" t="s">
        <v>0</v>
      </c>
      <c r="J29" s="91" t="s">
        <v>0</v>
      </c>
      <c r="K29" s="91" t="s">
        <v>0</v>
      </c>
      <c r="L29" s="161" t="str">
        <f>InputTOTAL!E195</f>
        <v>XXX</v>
      </c>
      <c r="M29" s="2">
        <f>InputTOTAL!F195</f>
        <v>0</v>
      </c>
      <c r="N29" s="2">
        <f>InputTOTAL!G195</f>
        <v>0</v>
      </c>
      <c r="O29" s="2">
        <f>InputTOTAL!H195</f>
        <v>0</v>
      </c>
      <c r="P29" s="2">
        <f>InputTOTAL!I195</f>
        <v>0</v>
      </c>
      <c r="Q29" s="2">
        <f>InputTOTAL!J195</f>
        <v>0</v>
      </c>
      <c r="R29" s="2">
        <f>InputTOTAL!K195</f>
        <v>0</v>
      </c>
      <c r="S29" s="253">
        <f>InputTOTAL!L195</f>
        <v>0</v>
      </c>
      <c r="T29" s="145">
        <f t="shared" si="2"/>
        <v>0</v>
      </c>
    </row>
    <row r="30" spans="1:20" ht="15.75" customHeight="1">
      <c r="A30" s="176" t="s">
        <v>95</v>
      </c>
      <c r="B30" s="252">
        <f t="shared" si="3"/>
        <v>2006</v>
      </c>
      <c r="C30" s="91" t="s">
        <v>0</v>
      </c>
      <c r="D30" s="91" t="s">
        <v>0</v>
      </c>
      <c r="E30" s="91" t="s">
        <v>0</v>
      </c>
      <c r="F30" s="91" t="s">
        <v>0</v>
      </c>
      <c r="G30" s="91" t="s">
        <v>0</v>
      </c>
      <c r="H30" s="91" t="s">
        <v>0</v>
      </c>
      <c r="I30" s="91" t="s">
        <v>0</v>
      </c>
      <c r="J30" s="91" t="s">
        <v>0</v>
      </c>
      <c r="K30" s="91" t="s">
        <v>0</v>
      </c>
      <c r="L30" s="161" t="str">
        <f>InputTOTAL!E196</f>
        <v>XXX</v>
      </c>
      <c r="M30" s="161" t="str">
        <f>InputTOTAL!F196</f>
        <v>XXX</v>
      </c>
      <c r="N30" s="2">
        <f>InputTOTAL!G196</f>
        <v>0</v>
      </c>
      <c r="O30" s="2">
        <f>InputTOTAL!H196</f>
        <v>0</v>
      </c>
      <c r="P30" s="2">
        <f>InputTOTAL!I196</f>
        <v>0</v>
      </c>
      <c r="Q30" s="2">
        <f>InputTOTAL!J196</f>
        <v>0</v>
      </c>
      <c r="R30" s="2">
        <f>InputTOTAL!K196</f>
        <v>0</v>
      </c>
      <c r="S30" s="253">
        <f>InputTOTAL!L196</f>
        <v>0</v>
      </c>
      <c r="T30" s="145">
        <f t="shared" si="2"/>
        <v>0</v>
      </c>
    </row>
    <row r="31" spans="1:20" ht="15.75" customHeight="1">
      <c r="A31" s="176" t="s">
        <v>96</v>
      </c>
      <c r="B31" s="252">
        <f t="shared" si="3"/>
        <v>2005</v>
      </c>
      <c r="C31" s="91" t="s">
        <v>0</v>
      </c>
      <c r="D31" s="91" t="s">
        <v>0</v>
      </c>
      <c r="E31" s="91" t="s">
        <v>0</v>
      </c>
      <c r="F31" s="91" t="s">
        <v>0</v>
      </c>
      <c r="G31" s="91" t="s">
        <v>0</v>
      </c>
      <c r="H31" s="91" t="s">
        <v>0</v>
      </c>
      <c r="I31" s="91" t="s">
        <v>0</v>
      </c>
      <c r="J31" s="91" t="s">
        <v>0</v>
      </c>
      <c r="K31" s="91" t="s">
        <v>0</v>
      </c>
      <c r="L31" s="161" t="str">
        <f>InputTOTAL!E197</f>
        <v>XXX</v>
      </c>
      <c r="M31" s="161" t="str">
        <f>InputTOTAL!F197</f>
        <v>XXX</v>
      </c>
      <c r="N31" s="161" t="str">
        <f>InputTOTAL!G197</f>
        <v>XXX</v>
      </c>
      <c r="O31" s="2">
        <f>InputTOTAL!H197</f>
        <v>0</v>
      </c>
      <c r="P31" s="2">
        <f>InputTOTAL!I197</f>
        <v>0</v>
      </c>
      <c r="Q31" s="2">
        <f>InputTOTAL!J197</f>
        <v>0</v>
      </c>
      <c r="R31" s="2">
        <f>InputTOTAL!K197</f>
        <v>0</v>
      </c>
      <c r="S31" s="253">
        <f>InputTOTAL!L197</f>
        <v>0</v>
      </c>
      <c r="T31" s="145">
        <f t="shared" si="2"/>
        <v>0</v>
      </c>
    </row>
    <row r="32" spans="1:20" ht="15.75" customHeight="1">
      <c r="A32" s="176" t="s">
        <v>244</v>
      </c>
      <c r="B32" s="252">
        <f t="shared" si="3"/>
        <v>2004</v>
      </c>
      <c r="C32" s="91" t="s">
        <v>0</v>
      </c>
      <c r="D32" s="91" t="s">
        <v>0</v>
      </c>
      <c r="E32" s="91" t="s">
        <v>0</v>
      </c>
      <c r="F32" s="91" t="s">
        <v>0</v>
      </c>
      <c r="G32" s="91" t="s">
        <v>0</v>
      </c>
      <c r="H32" s="91" t="s">
        <v>0</v>
      </c>
      <c r="I32" s="91" t="s">
        <v>0</v>
      </c>
      <c r="J32" s="91" t="s">
        <v>0</v>
      </c>
      <c r="K32" s="91" t="s">
        <v>0</v>
      </c>
      <c r="L32" s="161" t="str">
        <f>InputTOTAL!E198</f>
        <v>XXX</v>
      </c>
      <c r="M32" s="161" t="str">
        <f>InputTOTAL!F198</f>
        <v>XXX</v>
      </c>
      <c r="N32" s="161" t="str">
        <f>InputTOTAL!G198</f>
        <v>XXX</v>
      </c>
      <c r="O32" s="161" t="str">
        <f>InputTOTAL!H198</f>
        <v>XXX</v>
      </c>
      <c r="P32" s="2">
        <f>InputTOTAL!I198</f>
        <v>0</v>
      </c>
      <c r="Q32" s="2">
        <f>InputTOTAL!J198</f>
        <v>0</v>
      </c>
      <c r="R32" s="2">
        <f>InputTOTAL!K198</f>
        <v>0</v>
      </c>
      <c r="S32" s="253">
        <f>InputTOTAL!L198</f>
        <v>0</v>
      </c>
      <c r="T32" s="145">
        <f t="shared" si="2"/>
        <v>0</v>
      </c>
    </row>
    <row r="33" spans="1:20" ht="15.75" customHeight="1">
      <c r="A33" s="176" t="s">
        <v>245</v>
      </c>
      <c r="B33" s="252">
        <f t="shared" si="3"/>
        <v>2003</v>
      </c>
      <c r="C33" s="91" t="s">
        <v>0</v>
      </c>
      <c r="D33" s="91" t="s">
        <v>0</v>
      </c>
      <c r="E33" s="91" t="s">
        <v>0</v>
      </c>
      <c r="F33" s="91" t="s">
        <v>0</v>
      </c>
      <c r="G33" s="91" t="s">
        <v>0</v>
      </c>
      <c r="H33" s="91" t="s">
        <v>0</v>
      </c>
      <c r="I33" s="91" t="s">
        <v>0</v>
      </c>
      <c r="J33" s="91" t="s">
        <v>0</v>
      </c>
      <c r="K33" s="91" t="s">
        <v>0</v>
      </c>
      <c r="L33" s="161" t="str">
        <f>InputTOTAL!E199</f>
        <v>XXX</v>
      </c>
      <c r="M33" s="161" t="str">
        <f>InputTOTAL!F199</f>
        <v>XXX</v>
      </c>
      <c r="N33" s="161" t="str">
        <f>InputTOTAL!G199</f>
        <v>XXX</v>
      </c>
      <c r="O33" s="161" t="str">
        <f>InputTOTAL!H199</f>
        <v>XXX</v>
      </c>
      <c r="P33" s="161" t="str">
        <f>InputTOTAL!I199</f>
        <v>XXX</v>
      </c>
      <c r="Q33" s="2">
        <f>InputTOTAL!J199</f>
        <v>0</v>
      </c>
      <c r="R33" s="2">
        <f>InputTOTAL!K199</f>
        <v>0</v>
      </c>
      <c r="S33" s="253">
        <f>InputTOTAL!L199</f>
        <v>0</v>
      </c>
      <c r="T33" s="145">
        <f t="shared" si="2"/>
        <v>0</v>
      </c>
    </row>
    <row r="34" spans="1:20" ht="15.75" customHeight="1">
      <c r="A34" s="176" t="s">
        <v>246</v>
      </c>
      <c r="B34" s="252">
        <f t="shared" si="3"/>
        <v>2002</v>
      </c>
      <c r="C34" s="91" t="s">
        <v>0</v>
      </c>
      <c r="D34" s="91" t="s">
        <v>0</v>
      </c>
      <c r="E34" s="91" t="s">
        <v>0</v>
      </c>
      <c r="F34" s="91" t="s">
        <v>0</v>
      </c>
      <c r="G34" s="91" t="s">
        <v>0</v>
      </c>
      <c r="H34" s="91" t="s">
        <v>0</v>
      </c>
      <c r="I34" s="91" t="s">
        <v>0</v>
      </c>
      <c r="J34" s="91" t="s">
        <v>0</v>
      </c>
      <c r="K34" s="91" t="s">
        <v>0</v>
      </c>
      <c r="L34" s="161" t="str">
        <f>InputTOTAL!E200</f>
        <v>XXX</v>
      </c>
      <c r="M34" s="161" t="str">
        <f>InputTOTAL!F200</f>
        <v>XXX</v>
      </c>
      <c r="N34" s="161" t="str">
        <f>InputTOTAL!G200</f>
        <v>XXX</v>
      </c>
      <c r="O34" s="161" t="str">
        <f>InputTOTAL!H200</f>
        <v>XXX</v>
      </c>
      <c r="P34" s="161" t="str">
        <f>InputTOTAL!I200</f>
        <v>XXX</v>
      </c>
      <c r="Q34" s="161" t="str">
        <f>InputTOTAL!J200</f>
        <v>XXX</v>
      </c>
      <c r="R34" s="2">
        <f>InputTOTAL!K200</f>
        <v>0</v>
      </c>
      <c r="S34" s="253">
        <f>InputTOTAL!L200</f>
        <v>0</v>
      </c>
      <c r="T34" s="145">
        <f t="shared" si="2"/>
        <v>0</v>
      </c>
    </row>
    <row r="35" spans="1:20" ht="15.75" customHeight="1">
      <c r="A35" s="176" t="s">
        <v>247</v>
      </c>
      <c r="B35" s="252">
        <f t="shared" si="3"/>
        <v>2001</v>
      </c>
      <c r="C35" s="254" t="s">
        <v>0</v>
      </c>
      <c r="D35" s="254" t="s">
        <v>0</v>
      </c>
      <c r="E35" s="254" t="s">
        <v>0</v>
      </c>
      <c r="F35" s="254" t="s">
        <v>0</v>
      </c>
      <c r="G35" s="254" t="s">
        <v>0</v>
      </c>
      <c r="H35" s="254" t="s">
        <v>0</v>
      </c>
      <c r="I35" s="254" t="s">
        <v>0</v>
      </c>
      <c r="J35" s="254" t="s">
        <v>0</v>
      </c>
      <c r="K35" s="254" t="s">
        <v>0</v>
      </c>
      <c r="L35" s="255" t="str">
        <f>InputTOTAL!E201</f>
        <v>XXX</v>
      </c>
      <c r="M35" s="255" t="str">
        <f>InputTOTAL!F201</f>
        <v>XXX</v>
      </c>
      <c r="N35" s="255" t="str">
        <f>InputTOTAL!G201</f>
        <v>XXX</v>
      </c>
      <c r="O35" s="255" t="str">
        <f>InputTOTAL!H201</f>
        <v>XXX</v>
      </c>
      <c r="P35" s="255" t="str">
        <f>InputTOTAL!I201</f>
        <v>XXX</v>
      </c>
      <c r="Q35" s="255" t="str">
        <f>InputTOTAL!J201</f>
        <v>XXX</v>
      </c>
      <c r="R35" s="255" t="str">
        <f>InputTOTAL!K201</f>
        <v>XXX</v>
      </c>
      <c r="S35" s="256">
        <f>InputTOTAL!L201</f>
        <v>0</v>
      </c>
      <c r="T35" s="464">
        <f t="shared" si="2"/>
        <v>0</v>
      </c>
    </row>
    <row r="36" spans="1:20" ht="15.75" customHeight="1">
      <c r="A36" s="257" t="s">
        <v>59</v>
      </c>
      <c r="B36" s="258"/>
      <c r="C36" s="259"/>
      <c r="D36" s="259"/>
      <c r="E36" s="259"/>
      <c r="F36" s="259"/>
      <c r="G36" s="259"/>
      <c r="H36" s="259"/>
      <c r="I36" s="259"/>
      <c r="J36" s="259"/>
      <c r="K36" s="259"/>
      <c r="L36" s="161"/>
      <c r="M36" s="161"/>
      <c r="N36" s="161"/>
      <c r="O36" s="161"/>
      <c r="P36" s="161"/>
      <c r="Q36" s="161"/>
      <c r="R36" s="161"/>
      <c r="S36" s="2"/>
      <c r="T36" s="145"/>
    </row>
    <row r="37" spans="1:20" ht="15.75" customHeight="1">
      <c r="A37" s="242" t="s">
        <v>173</v>
      </c>
      <c r="B37" s="260"/>
      <c r="C37" s="2">
        <f aca="true" t="shared" si="4" ref="C37:T37">SUM(C13:C35)</f>
        <v>0</v>
      </c>
      <c r="D37" s="2">
        <f t="shared" si="4"/>
        <v>0</v>
      </c>
      <c r="E37" s="2">
        <f t="shared" si="4"/>
        <v>0</v>
      </c>
      <c r="F37" s="2">
        <f t="shared" si="4"/>
        <v>0</v>
      </c>
      <c r="G37" s="2">
        <f t="shared" si="4"/>
        <v>0</v>
      </c>
      <c r="H37" s="2">
        <f t="shared" si="4"/>
        <v>0</v>
      </c>
      <c r="I37" s="2">
        <f t="shared" si="4"/>
        <v>0</v>
      </c>
      <c r="J37" s="2">
        <f t="shared" si="4"/>
        <v>0</v>
      </c>
      <c r="K37" s="2">
        <f t="shared" si="4"/>
        <v>0</v>
      </c>
      <c r="L37" s="2">
        <f t="shared" si="4"/>
        <v>0</v>
      </c>
      <c r="M37" s="2">
        <f t="shared" si="4"/>
        <v>0</v>
      </c>
      <c r="N37" s="2">
        <f t="shared" si="4"/>
        <v>0</v>
      </c>
      <c r="O37" s="2">
        <f t="shared" si="4"/>
        <v>0</v>
      </c>
      <c r="P37" s="2">
        <f t="shared" si="4"/>
        <v>0</v>
      </c>
      <c r="Q37" s="2">
        <f t="shared" si="4"/>
        <v>0</v>
      </c>
      <c r="R37" s="2">
        <f t="shared" si="4"/>
        <v>0</v>
      </c>
      <c r="S37" s="2">
        <f t="shared" si="4"/>
        <v>0</v>
      </c>
      <c r="T37" s="145">
        <f t="shared" si="4"/>
        <v>0</v>
      </c>
    </row>
    <row r="38" spans="1:20" ht="15.75" customHeight="1">
      <c r="A38" s="240" t="s">
        <v>59</v>
      </c>
      <c r="B38" s="260"/>
      <c r="C38" s="2"/>
      <c r="D38" s="2"/>
      <c r="E38" s="2"/>
      <c r="F38" s="2"/>
      <c r="G38" s="2"/>
      <c r="H38" s="2"/>
      <c r="I38" s="2"/>
      <c r="J38" s="2"/>
      <c r="K38" s="2"/>
      <c r="L38" s="2"/>
      <c r="M38" s="2"/>
      <c r="N38" s="2"/>
      <c r="O38" s="2"/>
      <c r="P38" s="2"/>
      <c r="Q38" s="2"/>
      <c r="R38" s="2"/>
      <c r="S38" s="2"/>
      <c r="T38" s="145"/>
    </row>
    <row r="39" spans="1:20" ht="15.75" customHeight="1" thickBot="1">
      <c r="A39" s="261" t="s">
        <v>174</v>
      </c>
      <c r="B39" s="262"/>
      <c r="C39" s="13">
        <f aca="true" t="shared" si="5" ref="C39:T39">C8-C37</f>
        <v>0</v>
      </c>
      <c r="D39" s="13">
        <f t="shared" si="5"/>
        <v>0</v>
      </c>
      <c r="E39" s="13">
        <f t="shared" si="5"/>
        <v>0</v>
      </c>
      <c r="F39" s="13">
        <f t="shared" si="5"/>
        <v>0</v>
      </c>
      <c r="G39" s="13">
        <f t="shared" si="5"/>
        <v>0</v>
      </c>
      <c r="H39" s="13">
        <f t="shared" si="5"/>
        <v>0</v>
      </c>
      <c r="I39" s="13">
        <f t="shared" si="5"/>
        <v>0</v>
      </c>
      <c r="J39" s="13">
        <f t="shared" si="5"/>
        <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245">
        <f t="shared" si="5"/>
        <v>0</v>
      </c>
    </row>
  </sheetData>
  <sheetProtection password="DCE9" sheet="1" objects="1" scenarios="1"/>
  <printOptions headings="1"/>
  <pageMargins left="0.75" right="0.75" top="1" bottom="1" header="0.5" footer="0.5"/>
  <pageSetup horizontalDpi="300" verticalDpi="300" orientation="landscape" scale="70" r:id="rId1"/>
  <headerFooter alignWithMargins="0">
    <oddFooter>&amp;L&amp;D&amp;RPage &amp;P of &amp;N</oddFooter>
  </headerFooter>
  <colBreaks count="1" manualBreakCount="1">
    <brk id="10" max="65535" man="1"/>
  </colBreaks>
</worksheet>
</file>

<file path=xl/worksheets/sheet27.xml><?xml version="1.0" encoding="utf-8"?>
<worksheet xmlns="http://schemas.openxmlformats.org/spreadsheetml/2006/main" xmlns:r="http://schemas.openxmlformats.org/officeDocument/2006/relationships">
  <sheetPr codeName="Sheet19" transitionEvaluation="1">
    <pageSetUpPr fitToPage="1"/>
  </sheetPr>
  <dimension ref="A1:J44"/>
  <sheetViews>
    <sheetView view="pageBreakPreview" zoomScale="85" zoomScaleNormal="85" zoomScaleSheetLayoutView="85" zoomScalePageLayoutView="0" workbookViewId="0" topLeftCell="A10">
      <selection activeCell="C24" sqref="C24"/>
    </sheetView>
  </sheetViews>
  <sheetFormatPr defaultColWidth="11.7109375" defaultRowHeight="15.75" customHeight="1"/>
  <cols>
    <col min="1" max="1" width="21.7109375" style="3" customWidth="1"/>
    <col min="2" max="2" width="94.140625" style="3" bestFit="1" customWidth="1"/>
    <col min="3" max="10" width="16.7109375" style="3" customWidth="1"/>
    <col min="11" max="16384" width="11.7109375" style="3" customWidth="1"/>
  </cols>
  <sheetData>
    <row r="1" spans="1:10" ht="15.75" customHeight="1">
      <c r="A1" s="197" t="str">
        <f>InputB!$A$1</f>
        <v>Group Name:</v>
      </c>
      <c r="B1" s="137" t="str">
        <f>InputB!$C$1</f>
        <v>enter group name here</v>
      </c>
      <c r="C1"/>
      <c r="D1"/>
      <c r="E1"/>
      <c r="F1"/>
      <c r="G1"/>
      <c r="H1"/>
      <c r="I1"/>
      <c r="J1" s="139" t="s">
        <v>217</v>
      </c>
    </row>
    <row r="2" spans="1:10" ht="15.75" customHeight="1">
      <c r="A2" s="140" t="str">
        <f>InputB!$A$2</f>
        <v>Group NAIC #:</v>
      </c>
      <c r="B2" s="137" t="str">
        <f>InputB!$C$2</f>
        <v>enter group # here</v>
      </c>
      <c r="C2"/>
      <c r="D2"/>
      <c r="E2"/>
      <c r="F2"/>
      <c r="G2"/>
      <c r="H2"/>
      <c r="I2"/>
      <c r="J2" s="138"/>
    </row>
    <row r="3" spans="1:10" ht="15.75" customHeight="1">
      <c r="A3" s="197" t="str">
        <f>InputB!$A$3</f>
        <v>Year Filed:</v>
      </c>
      <c r="B3" s="141">
        <f>InputB!$C$3</f>
        <v>2024</v>
      </c>
      <c r="C3"/>
      <c r="D3" s="710"/>
      <c r="E3"/>
      <c r="F3"/>
      <c r="G3"/>
      <c r="H3"/>
      <c r="I3"/>
      <c r="J3" s="138"/>
    </row>
    <row r="4" ht="15.75" customHeight="1" thickBot="1"/>
    <row r="5" spans="1:10" ht="15.75" customHeight="1">
      <c r="A5" s="397" t="s">
        <v>59</v>
      </c>
      <c r="B5" s="227"/>
      <c r="C5" s="263">
        <f aca="true" t="shared" si="0" ref="C5:H5">D5-1</f>
        <v>2017</v>
      </c>
      <c r="D5" s="263">
        <f t="shared" si="0"/>
        <v>2018</v>
      </c>
      <c r="E5" s="263">
        <f t="shared" si="0"/>
        <v>2019</v>
      </c>
      <c r="F5" s="263">
        <f t="shared" si="0"/>
        <v>2020</v>
      </c>
      <c r="G5" s="263">
        <f t="shared" si="0"/>
        <v>2021</v>
      </c>
      <c r="H5" s="263">
        <f t="shared" si="0"/>
        <v>2022</v>
      </c>
      <c r="I5" s="263">
        <f>ReportYear-1</f>
        <v>2023</v>
      </c>
      <c r="J5" s="264" t="s">
        <v>377</v>
      </c>
    </row>
    <row r="6" spans="1:10" ht="15.75" customHeight="1">
      <c r="A6" s="187" t="s">
        <v>6</v>
      </c>
      <c r="B6" s="163" t="str">
        <f>"Direct Calendar Year Written Premium Net of UCJF [Exhibit 1"&amp;A$5&amp;", Col (1), "&amp;Exh1A!$A$11&amp;" - "&amp;Exh1A!$A$12&amp;"]"</f>
        <v>Direct Calendar Year Written Premium Net of UCJF [Exhibit 1, Col (1), Item 3 - Item 4]</v>
      </c>
      <c r="C6" s="53">
        <f>Exh1T!$D$95</f>
        <v>0</v>
      </c>
      <c r="D6" s="53">
        <f>Exh1T!$D$78</f>
        <v>0</v>
      </c>
      <c r="E6" s="53">
        <f>Exh1T!$D$66</f>
        <v>0</v>
      </c>
      <c r="F6" s="53">
        <f>Exh1T!$D$54</f>
        <v>0</v>
      </c>
      <c r="G6" s="53">
        <f>Exh1T!$D$37</f>
        <v>0</v>
      </c>
      <c r="H6" s="53">
        <f>Exh1T!$D$25</f>
        <v>0</v>
      </c>
      <c r="I6" s="53">
        <f>Exh1T!$D$13</f>
        <v>0</v>
      </c>
      <c r="J6" s="92">
        <f>SUM(C6:I6)</f>
        <v>0</v>
      </c>
    </row>
    <row r="7" spans="1:10" ht="15.75" customHeight="1">
      <c r="A7" s="187" t="s">
        <v>1</v>
      </c>
      <c r="B7" s="163" t="str">
        <f>"Direct Calendar Year Earned Premium Net of UCJF [Exhibit 1"&amp;A$5&amp;", Col (1), "&amp;Exh1A!$A$11&amp;" - "&amp;Exh1A!$A$12&amp;"]"</f>
        <v>Direct Calendar Year Earned Premium Net of UCJF [Exhibit 1, Col (1), Item 3 - Item 4]</v>
      </c>
      <c r="C7" s="53">
        <f>Exh1T!$E$95</f>
        <v>0</v>
      </c>
      <c r="D7" s="53">
        <f>Exh1T!$E$78</f>
        <v>0</v>
      </c>
      <c r="E7" s="53">
        <f>Exh1T!$E$66</f>
        <v>0</v>
      </c>
      <c r="F7" s="53">
        <f>Exh1T!$E$54</f>
        <v>0</v>
      </c>
      <c r="G7" s="53">
        <f>Exh1T!$E$37</f>
        <v>0</v>
      </c>
      <c r="H7" s="53">
        <f>Exh1T!$E$25</f>
        <v>0</v>
      </c>
      <c r="I7" s="53">
        <f>Exh1T!$E$13</f>
        <v>0</v>
      </c>
      <c r="J7" s="92">
        <f>SUM(C7:I7)</f>
        <v>0</v>
      </c>
    </row>
    <row r="8" spans="1:10" ht="15.75" customHeight="1">
      <c r="A8" s="187" t="s">
        <v>2</v>
      </c>
      <c r="B8" s="265" t="str">
        <f>"Dividends excluding Refund of Excess Profit [Exhibit 1"&amp;A$5&amp;", Col (3), "&amp;Exh1A!$A$15&amp;"]"</f>
        <v>Dividends excluding Refund of Excess Profit [Exhibit 1, Col (3), Item 6]</v>
      </c>
      <c r="C8" s="53">
        <f>Exh1T!$F$97</f>
        <v>0</v>
      </c>
      <c r="D8" s="53">
        <f>Exh1T!$F$80</f>
        <v>0</v>
      </c>
      <c r="E8" s="53">
        <f>Exh1T!$F$68</f>
        <v>0</v>
      </c>
      <c r="F8" s="53">
        <f>Exh1T!$F$56</f>
        <v>0</v>
      </c>
      <c r="G8" s="53">
        <f>Exh1T!$F$39</f>
        <v>0</v>
      </c>
      <c r="H8" s="53">
        <f>Exh1T!$F$27</f>
        <v>0</v>
      </c>
      <c r="I8" s="53">
        <f>Exh1T!$F$15</f>
        <v>0</v>
      </c>
      <c r="J8" s="54">
        <f>SUM(C8:I8)</f>
        <v>0</v>
      </c>
    </row>
    <row r="9" spans="1:10" ht="15.75" customHeight="1">
      <c r="A9" s="187" t="s">
        <v>7</v>
      </c>
      <c r="B9" s="211" t="s">
        <v>352</v>
      </c>
      <c r="C9" s="5">
        <f>InputTOTAL!L217+InputTOTAL!L218-InputTOTAL!L219</f>
        <v>0</v>
      </c>
      <c r="D9" s="5">
        <f>InputTOTAL!K217+InputTOTAL!K218-InputTOTAL!K219</f>
        <v>0</v>
      </c>
      <c r="E9" s="5">
        <f>InputTOTAL!J217+InputTOTAL!J218-InputTOTAL!J219</f>
        <v>0</v>
      </c>
      <c r="F9" s="5">
        <f>InputTOTAL!I217+InputTOTAL!I218-InputTOTAL!I219</f>
        <v>0</v>
      </c>
      <c r="G9" s="5">
        <f>InputTOTAL!H217+InputTOTAL!H218-InputTOTAL!H219</f>
        <v>0</v>
      </c>
      <c r="H9" s="5">
        <f>InputTOTAL!G217+InputTOTAL!G218-InputTOTAL!G219</f>
        <v>0</v>
      </c>
      <c r="I9" s="5">
        <f>InputTOTAL!F217+InputTOTAL!F218-InputTOTAL!F219</f>
        <v>0</v>
      </c>
      <c r="J9" s="92">
        <f>SUM(C9:I9)</f>
        <v>0</v>
      </c>
    </row>
    <row r="10" spans="1:10" ht="15.75" customHeight="1">
      <c r="A10" s="187" t="s">
        <v>3</v>
      </c>
      <c r="B10" s="211" t="s">
        <v>375</v>
      </c>
      <c r="C10" s="5">
        <f>C7-C8+C9</f>
        <v>0</v>
      </c>
      <c r="D10" s="5">
        <f aca="true" t="shared" si="1" ref="D10:I10">D7-D8+D9</f>
        <v>0</v>
      </c>
      <c r="E10" s="5">
        <f t="shared" si="1"/>
        <v>0</v>
      </c>
      <c r="F10" s="5">
        <f t="shared" si="1"/>
        <v>0</v>
      </c>
      <c r="G10" s="5">
        <f t="shared" si="1"/>
        <v>0</v>
      </c>
      <c r="H10" s="5">
        <f t="shared" si="1"/>
        <v>0</v>
      </c>
      <c r="I10" s="5">
        <f t="shared" si="1"/>
        <v>0</v>
      </c>
      <c r="J10" s="92">
        <f>SUM(C10:I10)</f>
        <v>0</v>
      </c>
    </row>
    <row r="11" spans="1:10" ht="15.75" customHeight="1">
      <c r="A11" s="187"/>
      <c r="B11" s="265"/>
      <c r="C11" s="432"/>
      <c r="D11" s="432"/>
      <c r="E11" s="432"/>
      <c r="F11" s="432"/>
      <c r="G11" s="5"/>
      <c r="H11" s="5"/>
      <c r="I11" s="5"/>
      <c r="J11" s="92"/>
    </row>
    <row r="12" spans="1:10" ht="15.75" customHeight="1">
      <c r="A12" s="187" t="s">
        <v>4</v>
      </c>
      <c r="B12" s="163" t="s">
        <v>357</v>
      </c>
      <c r="C12" s="53">
        <f>Exh2T!$L$39</f>
        <v>0</v>
      </c>
      <c r="D12" s="53">
        <f>Exh2T!$L$38</f>
        <v>0</v>
      </c>
      <c r="E12" s="53">
        <f>Exh2T!$L$37</f>
        <v>0</v>
      </c>
      <c r="F12" s="53">
        <f>Exh2T!$L$36</f>
        <v>0</v>
      </c>
      <c r="G12" s="53">
        <f>Exh2T!$L$35</f>
        <v>0</v>
      </c>
      <c r="H12" s="53">
        <f>Exh2T!$L$34</f>
        <v>0</v>
      </c>
      <c r="I12" s="53">
        <f>Exh2T!$L$33</f>
        <v>0</v>
      </c>
      <c r="J12" s="92">
        <f>SUM(C12:I12)</f>
        <v>0</v>
      </c>
    </row>
    <row r="13" spans="1:10" ht="15.75" customHeight="1">
      <c r="A13" s="187"/>
      <c r="B13" s="267"/>
      <c r="C13" s="433"/>
      <c r="D13" s="433"/>
      <c r="E13" s="433"/>
      <c r="F13" s="433"/>
      <c r="G13" s="434"/>
      <c r="H13" s="434"/>
      <c r="I13" s="434"/>
      <c r="J13" s="435"/>
    </row>
    <row r="14" spans="1:10" ht="15.75" customHeight="1">
      <c r="A14" s="187" t="s">
        <v>11</v>
      </c>
      <c r="B14" s="163" t="str">
        <f>"Direct Commission &amp; Brokerage Expense [Exhibit 3"&amp;A$5&amp;", Col (3), "&amp;Exh3A!$A$11&amp;"]"</f>
        <v>Direct Commission &amp; Brokerage Expense [Exhibit 3, Col (3), Item 5]</v>
      </c>
      <c r="C14" s="711" t="e">
        <f>IF(Exh3T!$F$103&gt;Exh3T!$F$102,Exh3T!$F$101,(Exh3T!F$103/Exh3T!$F$102)*Exh3T!$F$101)</f>
        <v>#DIV/0!</v>
      </c>
      <c r="D14" s="711" t="e">
        <f>IF(Exh3T!$F$88&gt;Exh3T!$F$87,Exh3T!$F$86,(Exh3T!F$88/Exh3T!$F$87)*Exh3T!$F$86)</f>
        <v>#DIV/0!</v>
      </c>
      <c r="E14" s="711" t="e">
        <f>IF(Exh3T!$F$73&gt;Exh3T!$F$72,Exh3T!$F$71,(Exh3T!F$73/Exh3T!$F$72)*Exh3T!$F$71)</f>
        <v>#DIV/0!</v>
      </c>
      <c r="F14" s="711" t="e">
        <f>IF(Exh3T!$F$58&gt;Exh3T!$F$57,Exh3T!$F$56,(Exh3T!F$58/Exh3T!$F$57)*Exh3T!$F$56)</f>
        <v>#DIV/0!</v>
      </c>
      <c r="G14" s="711" t="e">
        <f>IF(Exh3T!$F$43&gt;Exh3T!$F$42,Exh3T!$F$41,(Exh3T!F$43/Exh3T!$F$42)*Exh3T!$F$41)</f>
        <v>#DIV/0!</v>
      </c>
      <c r="H14" s="711" t="e">
        <f>IF(Exh3T!$F$28&gt;Exh3T!$F$27,Exh3T!$F$26,(Exh3T!F$28/Exh3T!$F$27)*Exh3T!$F$26)</f>
        <v>#DIV/0!</v>
      </c>
      <c r="I14" s="711" t="e">
        <f>IF(Exh3T!$F$13&gt;Exh3T!$F$12,Exh3T!$F$11,(Exh3T!F$13/Exh3T!$F$12)*Exh3T!$F$11)</f>
        <v>#DIV/0!</v>
      </c>
      <c r="J14" s="422" t="e">
        <f>SUM(C14:I14)</f>
        <v>#DIV/0!</v>
      </c>
    </row>
    <row r="15" spans="1:10" ht="15.75" customHeight="1">
      <c r="A15" s="187" t="s">
        <v>5</v>
      </c>
      <c r="B15" s="163" t="str">
        <f>"Direct Other Acquisition Expense [Exhibit 3"&amp;A$5&amp;", Col (3), "&amp;Exh3A!$A$9&amp;"]"</f>
        <v>Direct Other Acquisition Expense [Exhibit 3, Col (3), Item 3]</v>
      </c>
      <c r="C15" s="711" t="e">
        <f>IF(Exh3T!$F$103&gt;Exh3T!$F$102,Exh3T!$F$99,(Exh3T!F$103/Exh3T!$F$102)*Exh3T!$F$99)</f>
        <v>#DIV/0!</v>
      </c>
      <c r="D15" s="711" t="e">
        <f>IF(Exh3T!$F$88&gt;Exh3T!$F$87,Exh3T!$F$84,(Exh3T!F$88/Exh3T!$F$87)*Exh3T!$F$84)</f>
        <v>#DIV/0!</v>
      </c>
      <c r="E15" s="711" t="e">
        <f>IF(Exh3T!$F$73&gt;Exh3T!$F$72,Exh3T!$F$69,(Exh3T!F$73/Exh3T!$F$72)*Exh3T!$F$69)</f>
        <v>#DIV/0!</v>
      </c>
      <c r="F15" s="711" t="e">
        <f>IF(Exh3T!$F$58&gt;Exh3T!$F$57,Exh3T!$F$54,(Exh3T!F$58/Exh3T!$F$57)*Exh3T!$F$54)</f>
        <v>#DIV/0!</v>
      </c>
      <c r="G15" s="711" t="e">
        <f>IF(Exh3T!$F$43&gt;Exh3T!$F$42,Exh3T!$F$39,(Exh3T!F$43/Exh3T!$F$42)*Exh3T!$F$39)</f>
        <v>#DIV/0!</v>
      </c>
      <c r="H15" s="711" t="e">
        <f>IF(Exh3T!$F$28&gt;Exh3T!$F$27,Exh3T!$F$24,(Exh3T!F$28/Exh3T!$F$27)*Exh3T!$F$24)</f>
        <v>#DIV/0!</v>
      </c>
      <c r="I15" s="711" t="e">
        <f>IF(Exh3T!$F$13&gt;Exh3T!$F$12,Exh3T!$F$9,(Exh3T!F$13/Exh3T!$F$12)*Exh3T!$F$9)</f>
        <v>#DIV/0!</v>
      </c>
      <c r="J15" s="422" t="e">
        <f aca="true" t="shared" si="2" ref="J15:J21">SUM(C15:I15)</f>
        <v>#DIV/0!</v>
      </c>
    </row>
    <row r="16" spans="1:10" ht="15.75" customHeight="1">
      <c r="A16" s="187" t="s">
        <v>14</v>
      </c>
      <c r="B16" s="163" t="str">
        <f>"Direct General Expense [Exhibit 3"&amp;A$5&amp;", Col (3), "&amp;Exh3A!$A$10&amp;"]"</f>
        <v>Direct General Expense [Exhibit 3, Col (3), Item 4]</v>
      </c>
      <c r="C16" s="711" t="e">
        <f>IF(Exh3T!$F$103&gt;Exh3T!$F$102,Exh3T!$F$100,(Exh3T!F$103/Exh3T!$F$102)*Exh3T!$F$100)</f>
        <v>#DIV/0!</v>
      </c>
      <c r="D16" s="711" t="e">
        <f>IF(Exh3T!$F$88&gt;Exh3T!$F$87,Exh3T!$F$85,(Exh3T!F$88/Exh3T!$F$87)*Exh3T!$F$85)</f>
        <v>#DIV/0!</v>
      </c>
      <c r="E16" s="711" t="e">
        <f>IF(Exh3T!$F$73&gt;Exh3T!$F$72,Exh3T!$F$70,(Exh3T!F$73/Exh3T!$F$72)*Exh3T!$F$70)</f>
        <v>#DIV/0!</v>
      </c>
      <c r="F16" s="711" t="e">
        <f>IF(Exh3T!$F$58&gt;Exh3T!$F$57,Exh3T!$F$55,(Exh3T!F$58/Exh3T!$F$57)*Exh3T!$F$55)</f>
        <v>#DIV/0!</v>
      </c>
      <c r="G16" s="711" t="e">
        <f>IF(Exh3T!$F$43&gt;Exh3T!$F$42,Exh3T!$F$40,(Exh3T!F$43/Exh3T!$F$42)*Exh3T!$F$40)</f>
        <v>#DIV/0!</v>
      </c>
      <c r="H16" s="711" t="e">
        <f>IF(Exh3T!$F$28&gt;Exh3T!$F$27,Exh3T!$F$25,(Exh3T!F$28/Exh3T!$F$27)*Exh3T!$F$25)</f>
        <v>#DIV/0!</v>
      </c>
      <c r="I16" s="711" t="e">
        <f>IF(Exh3T!$F$13&gt;Exh3T!$F$12,Exh3T!$F$10,(Exh3T!F$13/Exh3T!$F$12)*Exh3T!$F$10)</f>
        <v>#DIV/0!</v>
      </c>
      <c r="J16" s="422" t="e">
        <f t="shared" si="2"/>
        <v>#DIV/0!</v>
      </c>
    </row>
    <row r="17" spans="1:10" ht="15.75" customHeight="1">
      <c r="A17" s="187" t="s">
        <v>23</v>
      </c>
      <c r="B17" s="163" t="str">
        <f>"Additional Allowable Expense [Exhibit 3"&amp;A$5&amp;", Col (3), "&amp;Exh3A!$A$14&amp;"]"</f>
        <v>Additional Allowable Expense [Exhibit 3, Col (3), Item 6]</v>
      </c>
      <c r="C17" s="53">
        <f>Exh3T!$F$104</f>
        <v>0</v>
      </c>
      <c r="D17" s="53">
        <f>Exh3T!$F$89</f>
        <v>0</v>
      </c>
      <c r="E17" s="53">
        <f>Exh3T!$F$74</f>
        <v>0</v>
      </c>
      <c r="F17" s="53">
        <f>Exh3T!$F$59</f>
        <v>0</v>
      </c>
      <c r="G17" s="53">
        <f>Exh3T!$F$44</f>
        <v>0</v>
      </c>
      <c r="H17" s="53">
        <f>Exh3T!$F$29</f>
        <v>0</v>
      </c>
      <c r="I17" s="53">
        <f>Exh3T!$F$14</f>
        <v>0</v>
      </c>
      <c r="J17" s="422">
        <f t="shared" si="2"/>
        <v>0</v>
      </c>
    </row>
    <row r="18" spans="1:10" ht="15.75" customHeight="1">
      <c r="A18" s="187" t="s">
        <v>24</v>
      </c>
      <c r="B18" s="163" t="str">
        <f>"Direct Taxes, Licenses &amp; Fees [Exhibit 3"&amp;A$5&amp;", Col (3), "&amp;Exh3A!$A$15&amp;"]"</f>
        <v>Direct Taxes, Licenses &amp; Fees [Exhibit 3, Col (3), Item 7]</v>
      </c>
      <c r="C18" s="53">
        <f>Exh3T!$F$105</f>
        <v>0</v>
      </c>
      <c r="D18" s="53">
        <f>Exh3T!$F$90</f>
        <v>0</v>
      </c>
      <c r="E18" s="53">
        <f>Exh3T!$F$75</f>
        <v>0</v>
      </c>
      <c r="F18" s="53">
        <f>Exh3T!$F$60</f>
        <v>0</v>
      </c>
      <c r="G18" s="53">
        <f>Exh3T!$F$45</f>
        <v>0</v>
      </c>
      <c r="H18" s="53">
        <f>Exh3T!$F$30</f>
        <v>0</v>
      </c>
      <c r="I18" s="53">
        <f>Exh3T!$F$15</f>
        <v>0</v>
      </c>
      <c r="J18" s="422">
        <f t="shared" si="2"/>
        <v>0</v>
      </c>
    </row>
    <row r="19" spans="1:10" ht="15.75" customHeight="1">
      <c r="A19" s="187" t="s">
        <v>25</v>
      </c>
      <c r="B19" s="163" t="str">
        <f>"Net Catastrophe Reinsurance [Exhibit 3"&amp;A$5&amp;", Col (3), "&amp;Exh3A!$A$17&amp;"]"</f>
        <v>Net Catastrophe Reinsurance [Exhibit 3, Col (3), Item 9]</v>
      </c>
      <c r="C19" s="53">
        <f>Exh3T!$F$107</f>
        <v>0</v>
      </c>
      <c r="D19" s="53">
        <f>Exh3T!$F$92</f>
        <v>0</v>
      </c>
      <c r="E19" s="53">
        <f>Exh3T!$F$77</f>
        <v>0</v>
      </c>
      <c r="F19" s="53">
        <f>Exh3T!$F$62</f>
        <v>0</v>
      </c>
      <c r="G19" s="53">
        <f>Exh3T!$F$47</f>
        <v>0</v>
      </c>
      <c r="H19" s="53">
        <f>Exh3T!$F$32</f>
        <v>0</v>
      </c>
      <c r="I19" s="53">
        <f>Exh3T!$F$17</f>
        <v>0</v>
      </c>
      <c r="J19" s="422">
        <f t="shared" si="2"/>
        <v>0</v>
      </c>
    </row>
    <row r="20" spans="1:10" ht="15.75" customHeight="1">
      <c r="A20" s="187" t="s">
        <v>26</v>
      </c>
      <c r="B20" s="163" t="str">
        <f>"LAD Fees Paid [Exhibit 3"&amp;A$5&amp;", Col (3), "&amp;Exh3A!$A$18&amp;"]"</f>
        <v>LAD Fees Paid [Exhibit 3, Col (3), Item 10]</v>
      </c>
      <c r="C20" s="53">
        <f>Exh3T!$F$108</f>
        <v>0</v>
      </c>
      <c r="D20" s="53">
        <f>Exh3T!$F$93</f>
        <v>0</v>
      </c>
      <c r="E20" s="53">
        <f>Exh3T!$F$78</f>
        <v>0</v>
      </c>
      <c r="F20" s="53">
        <f>Exh3T!$F$63</f>
        <v>0</v>
      </c>
      <c r="G20" s="53">
        <f>Exh3T!$F$48</f>
        <v>0</v>
      </c>
      <c r="H20" s="53">
        <f>Exh3T!$F$33</f>
        <v>0</v>
      </c>
      <c r="I20" s="53">
        <f>Exh3T!$F$18</f>
        <v>0</v>
      </c>
      <c r="J20" s="422">
        <f t="shared" si="2"/>
        <v>0</v>
      </c>
    </row>
    <row r="21" spans="1:10" ht="15.75" customHeight="1">
      <c r="A21" s="187" t="s">
        <v>27</v>
      </c>
      <c r="B21" s="211" t="s">
        <v>376</v>
      </c>
      <c r="C21" s="53" t="e">
        <f>SUM(C14:C20)</f>
        <v>#DIV/0!</v>
      </c>
      <c r="D21" s="53" t="e">
        <f aca="true" t="shared" si="3" ref="D21:I21">SUM(D14:D20)</f>
        <v>#DIV/0!</v>
      </c>
      <c r="E21" s="53" t="e">
        <f t="shared" si="3"/>
        <v>#DIV/0!</v>
      </c>
      <c r="F21" s="53" t="e">
        <f t="shared" si="3"/>
        <v>#DIV/0!</v>
      </c>
      <c r="G21" s="53" t="e">
        <f t="shared" si="3"/>
        <v>#DIV/0!</v>
      </c>
      <c r="H21" s="53" t="e">
        <f t="shared" si="3"/>
        <v>#DIV/0!</v>
      </c>
      <c r="I21" s="53" t="e">
        <f t="shared" si="3"/>
        <v>#DIV/0!</v>
      </c>
      <c r="J21" s="422" t="e">
        <f t="shared" si="2"/>
        <v>#DIV/0!</v>
      </c>
    </row>
    <row r="22" spans="1:10" ht="15.75" customHeight="1">
      <c r="A22" s="187"/>
      <c r="B22" s="163"/>
      <c r="C22" s="157"/>
      <c r="D22" s="157"/>
      <c r="E22" s="157"/>
      <c r="F22" s="157"/>
      <c r="G22" s="5"/>
      <c r="H22" s="5"/>
      <c r="I22" s="5"/>
      <c r="J22" s="92"/>
    </row>
    <row r="23" spans="1:10" ht="15.75" customHeight="1">
      <c r="A23" s="187" t="s">
        <v>28</v>
      </c>
      <c r="B23" s="211" t="str">
        <f>"Underwriting Income ["&amp;A10&amp;" - "&amp;A12&amp;" - "&amp;A21&amp;"]"</f>
        <v>Underwriting Income [Item 5 - Item 6 - Item 14]</v>
      </c>
      <c r="C23" s="5" t="e">
        <f>C10-C12-C21</f>
        <v>#DIV/0!</v>
      </c>
      <c r="D23" s="5" t="e">
        <f aca="true" t="shared" si="4" ref="D23:I23">D10-D12-D21</f>
        <v>#DIV/0!</v>
      </c>
      <c r="E23" s="5" t="e">
        <f t="shared" si="4"/>
        <v>#DIV/0!</v>
      </c>
      <c r="F23" s="5" t="e">
        <f t="shared" si="4"/>
        <v>#DIV/0!</v>
      </c>
      <c r="G23" s="5" t="e">
        <f t="shared" si="4"/>
        <v>#DIV/0!</v>
      </c>
      <c r="H23" s="5" t="e">
        <f t="shared" si="4"/>
        <v>#DIV/0!</v>
      </c>
      <c r="I23" s="5" t="e">
        <f t="shared" si="4"/>
        <v>#DIV/0!</v>
      </c>
      <c r="J23" s="92" t="e">
        <f>SUM(C23:I23)</f>
        <v>#DIV/0!</v>
      </c>
    </row>
    <row r="24" spans="1:10" ht="15.75" customHeight="1">
      <c r="A24" s="187" t="s">
        <v>29</v>
      </c>
      <c r="B24" s="509" t="str">
        <f>"Target After-Tax Operating Return on Surplus"</f>
        <v>Target After-Tax Operating Return on Surplus</v>
      </c>
      <c r="C24" s="510" t="e">
        <f>C7*(InputTOTAL!$E$222-InputTOTAL!$E$223)/InputTOTAL!$E$224/(1-0.35)</f>
        <v>#DIV/0!</v>
      </c>
      <c r="D24" s="510" t="e">
        <f>D7*(InputTOTAL!$E$222-InputTOTAL!$E$223)/InputTOTAL!$E$224/(1-0.21)</f>
        <v>#DIV/0!</v>
      </c>
      <c r="E24" s="510" t="e">
        <f>E7*(InputTOTAL!$F$222-InputTOTAL!$F$223)/InputTOTAL!$F$224/(1-0.21)</f>
        <v>#DIV/0!</v>
      </c>
      <c r="F24" s="510" t="e">
        <f>F7*(InputTOTAL!$F$222-InputTOTAL!$F$223)/InputTOTAL!$F$224/(1-0.21)</f>
        <v>#DIV/0!</v>
      </c>
      <c r="G24" s="510" t="e">
        <f>G7*(InputTOTAL!$F$222-InputTOTAL!$F$223)/InputTOTAL!$F$224/(1-0.21)</f>
        <v>#DIV/0!</v>
      </c>
      <c r="H24" s="510" t="e">
        <f>H7*(InputTOTAL!$F$222-InputTOTAL!$F$223)/InputTOTAL!$F$224/(1-0.21)</f>
        <v>#DIV/0!</v>
      </c>
      <c r="I24" s="510" t="e">
        <f>I7*(InputTOTAL!$F$222-InputTOTAL!$F$223)/InputTOTAL!$F$224/(1-0.21)</f>
        <v>#DIV/0!</v>
      </c>
      <c r="J24" s="92" t="e">
        <f>SUM(C24:I24)</f>
        <v>#DIV/0!</v>
      </c>
    </row>
    <row r="25" spans="1:10" ht="15.75" customHeight="1">
      <c r="A25" s="171" t="s">
        <v>30</v>
      </c>
      <c r="B25" s="509" t="str">
        <f>"Actual Inv. Income Earned on Policyholder Supplied Funds [Exhibit 5"&amp;A$5&amp;", "&amp;Exh5T!$A$27&amp;"]"</f>
        <v>Actual Inv. Income Earned on Policyholder Supplied Funds [Exhibit 5, Item 15]</v>
      </c>
      <c r="C25" s="5">
        <f>Exh5T!C27</f>
        <v>0</v>
      </c>
      <c r="D25" s="5">
        <f>Exh5T!D27</f>
        <v>0</v>
      </c>
      <c r="E25" s="5">
        <f>Exh5T!E27</f>
        <v>0</v>
      </c>
      <c r="F25" s="5">
        <f>Exh5T!F27</f>
        <v>0</v>
      </c>
      <c r="G25" s="5">
        <f>Exh5T!G27</f>
        <v>0</v>
      </c>
      <c r="H25" s="5">
        <f>Exh5T!H27</f>
        <v>0</v>
      </c>
      <c r="I25" s="5">
        <f>Exh5T!I27</f>
        <v>0</v>
      </c>
      <c r="J25" s="92">
        <f>SUM(C25:I25)</f>
        <v>0</v>
      </c>
    </row>
    <row r="26" spans="1:10" ht="15.75" customHeight="1">
      <c r="A26" s="171" t="s">
        <v>31</v>
      </c>
      <c r="B26" s="163" t="str">
        <f>"Actuarial Gain ["&amp;A$23&amp;" - "&amp;A$24&amp;" + "&amp;A$25&amp;"]"</f>
        <v>Actuarial Gain [Item 15 - Item 16 + Item 17]</v>
      </c>
      <c r="C26" s="5" t="e">
        <f aca="true" t="shared" si="5" ref="C26:I26">C23-C24+C25</f>
        <v>#DIV/0!</v>
      </c>
      <c r="D26" s="5" t="e">
        <f t="shared" si="5"/>
        <v>#DIV/0!</v>
      </c>
      <c r="E26" s="5" t="e">
        <f t="shared" si="5"/>
        <v>#DIV/0!</v>
      </c>
      <c r="F26" s="5" t="e">
        <f t="shared" si="5"/>
        <v>#DIV/0!</v>
      </c>
      <c r="G26" s="5" t="e">
        <f t="shared" si="5"/>
        <v>#DIV/0!</v>
      </c>
      <c r="H26" s="5" t="e">
        <f t="shared" si="5"/>
        <v>#DIV/0!</v>
      </c>
      <c r="I26" s="5" t="e">
        <f t="shared" si="5"/>
        <v>#DIV/0!</v>
      </c>
      <c r="J26" s="92" t="e">
        <f>SUM(C26:I26)</f>
        <v>#DIV/0!</v>
      </c>
    </row>
    <row r="27" spans="1:10" ht="15.75" customHeight="1">
      <c r="A27" s="171" t="s">
        <v>161</v>
      </c>
      <c r="B27" s="163" t="str">
        <f>"Total Development Adjustment [Input Sheet]"</f>
        <v>Total Development Adjustment [Input Sheet]</v>
      </c>
      <c r="C27" s="429">
        <f>J27/7</f>
        <v>0</v>
      </c>
      <c r="D27" s="429">
        <f>J27/7</f>
        <v>0</v>
      </c>
      <c r="E27" s="429">
        <f>J27/7</f>
        <v>0</v>
      </c>
      <c r="F27" s="429">
        <f>J27/7</f>
        <v>0</v>
      </c>
      <c r="G27" s="429">
        <f>J27/7</f>
        <v>0</v>
      </c>
      <c r="H27" s="429">
        <f>J27/7</f>
        <v>0</v>
      </c>
      <c r="I27" s="429">
        <f>J27/7</f>
        <v>0</v>
      </c>
      <c r="J27" s="436">
        <f>InputTOTAL!$E$225</f>
        <v>0</v>
      </c>
    </row>
    <row r="28" spans="1:10" ht="15.75" customHeight="1">
      <c r="A28" s="171" t="s">
        <v>162</v>
      </c>
      <c r="B28" s="163" t="str">
        <f>"Total Actuarial Gain ["&amp;A$26&amp;" - "&amp;A$27&amp;"]"</f>
        <v>Total Actuarial Gain [Item 18 - Item 19]</v>
      </c>
      <c r="C28" s="429" t="e">
        <f aca="true" t="shared" si="6" ref="C28:J28">C26-C27</f>
        <v>#DIV/0!</v>
      </c>
      <c r="D28" s="429" t="e">
        <f t="shared" si="6"/>
        <v>#DIV/0!</v>
      </c>
      <c r="E28" s="429" t="e">
        <f t="shared" si="6"/>
        <v>#DIV/0!</v>
      </c>
      <c r="F28" s="429" t="e">
        <f t="shared" si="6"/>
        <v>#DIV/0!</v>
      </c>
      <c r="G28" s="429" t="e">
        <f t="shared" si="6"/>
        <v>#DIV/0!</v>
      </c>
      <c r="H28" s="429" t="e">
        <f t="shared" si="6"/>
        <v>#DIV/0!</v>
      </c>
      <c r="I28" s="429" t="e">
        <f t="shared" si="6"/>
        <v>#DIV/0!</v>
      </c>
      <c r="J28" s="436" t="e">
        <f t="shared" si="6"/>
        <v>#DIV/0!</v>
      </c>
    </row>
    <row r="29" spans="1:10" ht="15.75" customHeight="1">
      <c r="A29" s="187"/>
      <c r="B29" s="267"/>
      <c r="C29" s="431"/>
      <c r="D29" s="431"/>
      <c r="E29" s="431"/>
      <c r="F29" s="431"/>
      <c r="G29" s="431"/>
      <c r="H29" s="431"/>
      <c r="I29" s="431"/>
      <c r="J29" s="430"/>
    </row>
    <row r="30" spans="1:10" ht="15.75" customHeight="1">
      <c r="A30" s="187" t="s">
        <v>163</v>
      </c>
      <c r="B30" s="211" t="str">
        <f>"Additional Non-Excessive Profit Allowance"</f>
        <v>Additional Non-Excessive Profit Allowance</v>
      </c>
      <c r="C30" s="429">
        <f>C7*0.025/0.65</f>
        <v>0</v>
      </c>
      <c r="D30" s="429">
        <f aca="true" t="shared" si="7" ref="D30:I30">D7*0.025/0.79</f>
        <v>0</v>
      </c>
      <c r="E30" s="429">
        <f t="shared" si="7"/>
        <v>0</v>
      </c>
      <c r="F30" s="429">
        <f t="shared" si="7"/>
        <v>0</v>
      </c>
      <c r="G30" s="429">
        <f t="shared" si="7"/>
        <v>0</v>
      </c>
      <c r="H30" s="429">
        <f t="shared" si="7"/>
        <v>0</v>
      </c>
      <c r="I30" s="429">
        <f t="shared" si="7"/>
        <v>0</v>
      </c>
      <c r="J30" s="92">
        <f>SUM(C30:I30)</f>
        <v>0</v>
      </c>
    </row>
    <row r="31" spans="1:10" ht="15.75" customHeight="1">
      <c r="A31" s="171" t="s">
        <v>164</v>
      </c>
      <c r="B31" s="211" t="str">
        <f>"Gross Excess Profit (Loss) ["&amp;A$28&amp;" - "&amp;A$30&amp;"]"</f>
        <v>Gross Excess Profit (Loss) [Item 20 - Item 21]</v>
      </c>
      <c r="C31" s="451" t="e">
        <f>C28-C30</f>
        <v>#DIV/0!</v>
      </c>
      <c r="D31" s="451" t="e">
        <f aca="true" t="shared" si="8" ref="D31:I31">D28-D30</f>
        <v>#DIV/0!</v>
      </c>
      <c r="E31" s="451" t="e">
        <f t="shared" si="8"/>
        <v>#DIV/0!</v>
      </c>
      <c r="F31" s="451" t="e">
        <f t="shared" si="8"/>
        <v>#DIV/0!</v>
      </c>
      <c r="G31" s="451" t="e">
        <f t="shared" si="8"/>
        <v>#DIV/0!</v>
      </c>
      <c r="H31" s="451" t="e">
        <f t="shared" si="8"/>
        <v>#DIV/0!</v>
      </c>
      <c r="I31" s="451" t="e">
        <f t="shared" si="8"/>
        <v>#DIV/0!</v>
      </c>
      <c r="J31" s="436" t="e">
        <f>J28-J30</f>
        <v>#DIV/0!</v>
      </c>
    </row>
    <row r="32" spans="1:10" ht="15.75" customHeight="1">
      <c r="A32" s="187"/>
      <c r="B32" s="267"/>
      <c r="C32" s="452"/>
      <c r="D32" s="452"/>
      <c r="E32" s="452"/>
      <c r="F32" s="452"/>
      <c r="G32" s="453"/>
      <c r="H32" s="453"/>
      <c r="I32" s="453"/>
      <c r="J32" s="454"/>
    </row>
    <row r="33" spans="1:10" ht="15.75" customHeight="1">
      <c r="A33" s="171" t="s">
        <v>165</v>
      </c>
      <c r="B33" s="163" t="str">
        <f>"Carryforward of Refund of Excess Profit [Exhibit 6"&amp;A$5&amp;", Item 2]"</f>
        <v>Carryforward of Refund of Excess Profit [Exhibit 6, Item 2]</v>
      </c>
      <c r="C33" s="507">
        <f>Exh6!$T$19</f>
        <v>0</v>
      </c>
      <c r="D33" s="507">
        <f>Exh6!$T$18</f>
        <v>0</v>
      </c>
      <c r="E33" s="507">
        <f>Exh6!$T$17</f>
        <v>0</v>
      </c>
      <c r="F33" s="507">
        <f>Exh6!$T$16</f>
        <v>0</v>
      </c>
      <c r="G33" s="507">
        <f>Exh6!$T$15</f>
        <v>0</v>
      </c>
      <c r="H33" s="507">
        <f>Exh6!$T$14</f>
        <v>0</v>
      </c>
      <c r="I33" s="507">
        <f>Exh6!$T$13</f>
        <v>0</v>
      </c>
      <c r="J33" s="422">
        <f>SUM(C33:I33)</f>
        <v>0</v>
      </c>
    </row>
    <row r="34" spans="1:10" ht="15.75" customHeight="1">
      <c r="A34" s="266" t="s">
        <v>166</v>
      </c>
      <c r="B34" s="164" t="str">
        <f>"Carryforward of Extraordinary Loss [Exhibit 7, Item 2]"</f>
        <v>Carryforward of Extraordinary Loss [Exhibit 7, Item 2]</v>
      </c>
      <c r="C34" s="450">
        <f>Exh7!$T$19</f>
        <v>0</v>
      </c>
      <c r="D34" s="450">
        <f>Exh7!$T$18</f>
        <v>0</v>
      </c>
      <c r="E34" s="450">
        <f>Exh7!$T$17</f>
        <v>0</v>
      </c>
      <c r="F34" s="450">
        <f>Exh7!$T$16</f>
        <v>0</v>
      </c>
      <c r="G34" s="450">
        <f>Exh7!$T$15</f>
        <v>0</v>
      </c>
      <c r="H34" s="450">
        <f>Exh7!$T$14</f>
        <v>0</v>
      </c>
      <c r="I34" s="450">
        <f>Exh7!$T$13</f>
        <v>0</v>
      </c>
      <c r="J34" s="436">
        <f>SUM(C34:I34)</f>
        <v>0</v>
      </c>
    </row>
    <row r="35" spans="1:10" ht="15.75" customHeight="1">
      <c r="A35" s="266" t="s">
        <v>167</v>
      </c>
      <c r="B35" s="163" t="str">
        <f>"Carryforward of Reinvestment into New Jersey [Exhibit 8, Item 2]"</f>
        <v>Carryforward of Reinvestment into New Jersey [Exhibit 8, Item 2]</v>
      </c>
      <c r="C35" s="450">
        <f>Exh8!$T$19</f>
        <v>0</v>
      </c>
      <c r="D35" s="450">
        <f>Exh8!$T$18</f>
        <v>0</v>
      </c>
      <c r="E35" s="450">
        <f>Exh8!$T$17</f>
        <v>0</v>
      </c>
      <c r="F35" s="450">
        <f>Exh8!$T$16</f>
        <v>0</v>
      </c>
      <c r="G35" s="450">
        <f>Exh8!$T$15</f>
        <v>0</v>
      </c>
      <c r="H35" s="450">
        <f>Exh8!$T$14</f>
        <v>0</v>
      </c>
      <c r="I35" s="450">
        <f>Exh8!$T$13</f>
        <v>0</v>
      </c>
      <c r="J35" s="436">
        <f>SUM(C35:I35)</f>
        <v>0</v>
      </c>
    </row>
    <row r="36" spans="1:10" ht="15.75" customHeight="1" thickBot="1">
      <c r="A36" s="187" t="s">
        <v>180</v>
      </c>
      <c r="B36" s="164" t="s">
        <v>218</v>
      </c>
      <c r="C36" s="455" t="s">
        <v>251</v>
      </c>
      <c r="D36" s="455" t="s">
        <v>251</v>
      </c>
      <c r="E36" s="455" t="s">
        <v>251</v>
      </c>
      <c r="F36" s="455" t="s">
        <v>251</v>
      </c>
      <c r="G36" s="455" t="s">
        <v>251</v>
      </c>
      <c r="H36" s="455" t="s">
        <v>251</v>
      </c>
      <c r="I36" s="455" t="s">
        <v>251</v>
      </c>
      <c r="J36" s="456">
        <v>0</v>
      </c>
    </row>
    <row r="37" spans="1:10" ht="15.75" customHeight="1" thickBot="1">
      <c r="A37" s="420" t="s">
        <v>204</v>
      </c>
      <c r="B37" s="419" t="str">
        <f>"Net Excess Profit / (Loss)  ["&amp;$A$31&amp;" - "&amp;$A$33&amp;" - "&amp;$A$34&amp;" - "&amp;$A$35&amp;" - "&amp;$A$36&amp;"]"</f>
        <v>Net Excess Profit / (Loss)  [Item 22 - Item 23 - Item 24 - Item 25 - Item 26]</v>
      </c>
      <c r="C37" s="447" t="e">
        <f aca="true" t="shared" si="9" ref="C37:J37">C31-C33-C34-C35-C36</f>
        <v>#DIV/0!</v>
      </c>
      <c r="D37" s="447" t="e">
        <f t="shared" si="9"/>
        <v>#DIV/0!</v>
      </c>
      <c r="E37" s="447" t="e">
        <f t="shared" si="9"/>
        <v>#DIV/0!</v>
      </c>
      <c r="F37" s="447" t="e">
        <f t="shared" si="9"/>
        <v>#DIV/0!</v>
      </c>
      <c r="G37" s="447" t="e">
        <f t="shared" si="9"/>
        <v>#DIV/0!</v>
      </c>
      <c r="H37" s="447" t="e">
        <f t="shared" si="9"/>
        <v>#DIV/0!</v>
      </c>
      <c r="I37" s="447" t="e">
        <f t="shared" si="9"/>
        <v>#DIV/0!</v>
      </c>
      <c r="J37" s="591" t="e">
        <f t="shared" si="9"/>
        <v>#DIV/0!</v>
      </c>
    </row>
    <row r="38" spans="1:10" ht="15.75" customHeight="1">
      <c r="A38" s="206"/>
      <c r="B38" s="204"/>
      <c r="C38" s="204"/>
      <c r="D38" s="204"/>
      <c r="E38" s="204"/>
      <c r="F38" s="204"/>
      <c r="G38" s="204"/>
      <c r="H38" s="204"/>
      <c r="I38" s="204"/>
      <c r="J38" s="210"/>
    </row>
    <row r="39" spans="1:10" ht="15.75" customHeight="1">
      <c r="A39" s="187" t="s">
        <v>205</v>
      </c>
      <c r="B39" s="204" t="s">
        <v>423</v>
      </c>
      <c r="C39" s="47" t="e">
        <f aca="true" t="shared" si="10" ref="C39:I39">IF(C37&lt;0,C37*-1,0)</f>
        <v>#DIV/0!</v>
      </c>
      <c r="D39" s="47" t="e">
        <f t="shared" si="10"/>
        <v>#DIV/0!</v>
      </c>
      <c r="E39" s="47" t="e">
        <f t="shared" si="10"/>
        <v>#DIV/0!</v>
      </c>
      <c r="F39" s="47" t="e">
        <f t="shared" si="10"/>
        <v>#DIV/0!</v>
      </c>
      <c r="G39" s="47" t="e">
        <f t="shared" si="10"/>
        <v>#DIV/0!</v>
      </c>
      <c r="H39" s="47" t="e">
        <f t="shared" si="10"/>
        <v>#DIV/0!</v>
      </c>
      <c r="I39" s="47" t="e">
        <f t="shared" si="10"/>
        <v>#DIV/0!</v>
      </c>
      <c r="J39" s="48" t="e">
        <f>IF(J37&lt;0,J37*-1-J36,0)</f>
        <v>#DIV/0!</v>
      </c>
    </row>
    <row r="40" spans="1:10" ht="15.75" customHeight="1">
      <c r="A40" s="187" t="s">
        <v>355</v>
      </c>
      <c r="B40" s="204" t="str">
        <f aca="true" t="shared" si="11" ref="B40:I40">B17</f>
        <v>Additional Allowable Expense [Exhibit 3, Col (3), Item 6]</v>
      </c>
      <c r="C40" s="47">
        <f t="shared" si="11"/>
        <v>0</v>
      </c>
      <c r="D40" s="47">
        <f t="shared" si="11"/>
        <v>0</v>
      </c>
      <c r="E40" s="47">
        <f t="shared" si="11"/>
        <v>0</v>
      </c>
      <c r="F40" s="47">
        <f t="shared" si="11"/>
        <v>0</v>
      </c>
      <c r="G40" s="47">
        <f t="shared" si="11"/>
        <v>0</v>
      </c>
      <c r="H40" s="47">
        <f t="shared" si="11"/>
        <v>0</v>
      </c>
      <c r="I40" s="47">
        <f t="shared" si="11"/>
        <v>0</v>
      </c>
      <c r="J40" s="48">
        <f>SUM(C40:I40)</f>
        <v>0</v>
      </c>
    </row>
    <row r="41" spans="1:10" ht="15.75" customHeight="1">
      <c r="A41" s="187" t="s">
        <v>356</v>
      </c>
      <c r="B41" s="204" t="str">
        <f aca="true" t="shared" si="12" ref="B41:I41">B30</f>
        <v>Additional Non-Excessive Profit Allowance</v>
      </c>
      <c r="C41" s="47">
        <f t="shared" si="12"/>
        <v>0</v>
      </c>
      <c r="D41" s="47">
        <f t="shared" si="12"/>
        <v>0</v>
      </c>
      <c r="E41" s="47">
        <f t="shared" si="12"/>
        <v>0</v>
      </c>
      <c r="F41" s="47">
        <f t="shared" si="12"/>
        <v>0</v>
      </c>
      <c r="G41" s="47">
        <f t="shared" si="12"/>
        <v>0</v>
      </c>
      <c r="H41" s="47">
        <f t="shared" si="12"/>
        <v>0</v>
      </c>
      <c r="I41" s="47">
        <f t="shared" si="12"/>
        <v>0</v>
      </c>
      <c r="J41" s="48">
        <f>SUM(C41:I41)</f>
        <v>0</v>
      </c>
    </row>
    <row r="42" spans="1:10" ht="15.75" customHeight="1">
      <c r="A42" s="187" t="s">
        <v>206</v>
      </c>
      <c r="B42" s="204" t="s">
        <v>350</v>
      </c>
      <c r="C42" s="47">
        <f aca="true" t="shared" si="13" ref="C42:I42">SUM(C40:C41)</f>
        <v>0</v>
      </c>
      <c r="D42" s="47">
        <f t="shared" si="13"/>
        <v>0</v>
      </c>
      <c r="E42" s="47">
        <f t="shared" si="13"/>
        <v>0</v>
      </c>
      <c r="F42" s="47">
        <f t="shared" si="13"/>
        <v>0</v>
      </c>
      <c r="G42" s="47">
        <f t="shared" si="13"/>
        <v>0</v>
      </c>
      <c r="H42" s="47">
        <f t="shared" si="13"/>
        <v>0</v>
      </c>
      <c r="I42" s="47">
        <f t="shared" si="13"/>
        <v>0</v>
      </c>
      <c r="J42" s="48">
        <f>SUM(C42:I42)</f>
        <v>0</v>
      </c>
    </row>
    <row r="43" spans="1:10" ht="15.75" customHeight="1">
      <c r="A43" s="457" t="s">
        <v>208</v>
      </c>
      <c r="B43" s="458" t="s">
        <v>412</v>
      </c>
      <c r="C43" s="459" t="e">
        <f aca="true" t="shared" si="14" ref="C43:I43">IF(C39-C42&gt;0,C39-C42,0)</f>
        <v>#DIV/0!</v>
      </c>
      <c r="D43" s="459" t="e">
        <f t="shared" si="14"/>
        <v>#DIV/0!</v>
      </c>
      <c r="E43" s="459" t="e">
        <f t="shared" si="14"/>
        <v>#DIV/0!</v>
      </c>
      <c r="F43" s="459" t="e">
        <f t="shared" si="14"/>
        <v>#DIV/0!</v>
      </c>
      <c r="G43" s="459" t="e">
        <f t="shared" si="14"/>
        <v>#DIV/0!</v>
      </c>
      <c r="H43" s="459" t="e">
        <f t="shared" si="14"/>
        <v>#DIV/0!</v>
      </c>
      <c r="I43" s="459" t="e">
        <f t="shared" si="14"/>
        <v>#DIV/0!</v>
      </c>
      <c r="J43" s="48" t="e">
        <f>SUM(C43:I43)</f>
        <v>#DIV/0!</v>
      </c>
    </row>
    <row r="44" spans="1:10" ht="15.75" customHeight="1" thickBot="1">
      <c r="A44" s="460" t="s">
        <v>219</v>
      </c>
      <c r="B44" s="461" t="str">
        <f>"Extraordinary Loss ["&amp;$A$43&amp;" - Item 2 * 5% if positive]"</f>
        <v>Extraordinary Loss [Item 30 - Item 2 * 5% if positive]</v>
      </c>
      <c r="C44" s="462" t="e">
        <f aca="true" t="shared" si="15" ref="C44:I44">IF(C43-C7*0.05&gt;0,C43-C7*0.05,0)</f>
        <v>#DIV/0!</v>
      </c>
      <c r="D44" s="462" t="e">
        <f t="shared" si="15"/>
        <v>#DIV/0!</v>
      </c>
      <c r="E44" s="462" t="e">
        <f t="shared" si="15"/>
        <v>#DIV/0!</v>
      </c>
      <c r="F44" s="462" t="e">
        <f t="shared" si="15"/>
        <v>#DIV/0!</v>
      </c>
      <c r="G44" s="462" t="e">
        <f t="shared" si="15"/>
        <v>#DIV/0!</v>
      </c>
      <c r="H44" s="462" t="e">
        <f t="shared" si="15"/>
        <v>#DIV/0!</v>
      </c>
      <c r="I44" s="462" t="e">
        <f t="shared" si="15"/>
        <v>#DIV/0!</v>
      </c>
      <c r="J44" s="697" t="e">
        <f>SUM(C44:I44)</f>
        <v>#DIV/0!</v>
      </c>
    </row>
  </sheetData>
  <sheetProtection password="D329" sheet="1"/>
  <printOptions headings="1"/>
  <pageMargins left="0.5" right="0.5" top="0.5" bottom="0.5" header="0.5" footer="0.5"/>
  <pageSetup fitToHeight="5" fitToWidth="1" horizontalDpi="2400" verticalDpi="2400" orientation="landscape" scale="50" r:id="rId1"/>
  <headerFooter alignWithMargins="0">
    <oddFooter>&amp;L&amp;D&amp;RPage &amp;P of &amp;N</oddFooter>
  </headerFooter>
  <ignoredErrors>
    <ignoredError sqref="C25:J29 J14:J16 C21 D21:J23 C24 H24:J24 C31:J45 C30 H30:J30 C14:I16" evalError="1"/>
  </ignoredErrors>
</worksheet>
</file>

<file path=xl/worksheets/sheet3.xml><?xml version="1.0" encoding="utf-8"?>
<worksheet xmlns="http://schemas.openxmlformats.org/spreadsheetml/2006/main" xmlns:r="http://schemas.openxmlformats.org/officeDocument/2006/relationships">
  <sheetPr codeName="sheetExh0A" transitionEvaluation="1"/>
  <dimension ref="A1:M93"/>
  <sheetViews>
    <sheetView view="pageBreakPreview" zoomScale="85" zoomScaleNormal="75" zoomScaleSheetLayoutView="85" zoomScalePageLayoutView="0" workbookViewId="0" topLeftCell="A1">
      <selection activeCell="E81" sqref="E81"/>
    </sheetView>
  </sheetViews>
  <sheetFormatPr defaultColWidth="9.7109375" defaultRowHeight="15.75" customHeight="1"/>
  <cols>
    <col min="1" max="3" width="14.7109375" style="14" customWidth="1"/>
    <col min="4" max="4" width="28.7109375" style="15" customWidth="1"/>
    <col min="5" max="13" width="20.7109375" style="14" customWidth="1"/>
    <col min="14" max="16384" width="9.7109375" style="14" customWidth="1"/>
  </cols>
  <sheetData>
    <row r="1" spans="1:13" ht="15.75" customHeight="1">
      <c r="A1" s="699" t="s">
        <v>77</v>
      </c>
      <c r="B1" s="103"/>
      <c r="C1" s="443" t="str">
        <f>Info!$E$8</f>
        <v>enter group name here</v>
      </c>
      <c r="D1" s="45"/>
      <c r="E1"/>
      <c r="F1"/>
      <c r="G1"/>
      <c r="H1"/>
      <c r="I1"/>
      <c r="J1"/>
      <c r="K1"/>
      <c r="L1"/>
      <c r="M1" s="107" t="s">
        <v>179</v>
      </c>
    </row>
    <row r="2" spans="1:13" ht="15.75" customHeight="1">
      <c r="A2" s="325" t="s">
        <v>78</v>
      </c>
      <c r="B2" s="108"/>
      <c r="C2" s="443" t="str">
        <f>Info!$B$8</f>
        <v>enter group # here</v>
      </c>
      <c r="D2" s="45"/>
      <c r="E2" s="698"/>
      <c r="F2"/>
      <c r="G2"/>
      <c r="H2"/>
      <c r="I2"/>
      <c r="J2"/>
      <c r="K2"/>
      <c r="L2"/>
      <c r="M2" s="380" t="s">
        <v>390</v>
      </c>
    </row>
    <row r="3" spans="1:13" ht="15.75" customHeight="1">
      <c r="A3" s="104" t="s">
        <v>79</v>
      </c>
      <c r="B3" s="103"/>
      <c r="C3" s="444">
        <f>Info!$B$6</f>
        <v>2024</v>
      </c>
      <c r="D3" s="46"/>
      <c r="E3"/>
      <c r="F3"/>
      <c r="G3"/>
      <c r="H3"/>
      <c r="I3"/>
      <c r="J3"/>
      <c r="K3"/>
      <c r="L3"/>
      <c r="M3" s="193" t="s">
        <v>362</v>
      </c>
    </row>
    <row r="4" spans="1:13" ht="15.75" customHeight="1">
      <c r="A4" s="104"/>
      <c r="B4" s="103"/>
      <c r="C4" s="336"/>
      <c r="D4" s="337"/>
      <c r="E4" s="103"/>
      <c r="F4" s="103"/>
      <c r="G4" s="117"/>
      <c r="H4" s="378"/>
      <c r="I4" s="103"/>
      <c r="J4" s="103"/>
      <c r="K4" s="103"/>
      <c r="L4" s="103"/>
      <c r="M4" s="103"/>
    </row>
    <row r="5" spans="1:13" ht="15.75" customHeight="1" thickBot="1">
      <c r="A5" s="103"/>
      <c r="B5" s="103"/>
      <c r="C5" s="103"/>
      <c r="D5" s="104"/>
      <c r="E5" s="103"/>
      <c r="F5" s="127"/>
      <c r="G5" s="127"/>
      <c r="H5" s="127"/>
      <c r="I5" s="127"/>
      <c r="J5" s="127"/>
      <c r="K5" s="127"/>
      <c r="L5" s="127"/>
      <c r="M5" s="127"/>
    </row>
    <row r="6" spans="1:13" ht="15.75" customHeight="1">
      <c r="A6" s="327" t="s">
        <v>48</v>
      </c>
      <c r="B6" s="338"/>
      <c r="C6" s="329"/>
      <c r="D6" s="339"/>
      <c r="E6" s="330" t="s">
        <v>17</v>
      </c>
      <c r="F6" s="330"/>
      <c r="G6" s="330"/>
      <c r="H6" s="330"/>
      <c r="I6" s="330"/>
      <c r="J6" s="330"/>
      <c r="K6" s="330"/>
      <c r="L6" s="331"/>
      <c r="M6" s="331"/>
    </row>
    <row r="7" spans="1:13" ht="15.75" customHeight="1">
      <c r="A7" s="340" t="s">
        <v>385</v>
      </c>
      <c r="B7" s="285"/>
      <c r="C7" s="286"/>
      <c r="D7" s="133"/>
      <c r="E7" s="16">
        <f>C3-1</f>
        <v>2023</v>
      </c>
      <c r="F7" s="17">
        <f>C3-2</f>
        <v>2022</v>
      </c>
      <c r="G7" s="17">
        <f>C3-3</f>
        <v>2021</v>
      </c>
      <c r="H7" s="17">
        <f>C3-4</f>
        <v>2020</v>
      </c>
      <c r="I7" s="17">
        <f>C3-5</f>
        <v>2019</v>
      </c>
      <c r="J7" s="17">
        <f>C3-6</f>
        <v>2018</v>
      </c>
      <c r="K7" s="17">
        <f>C3-7</f>
        <v>2017</v>
      </c>
      <c r="L7" s="399">
        <f>C3-8</f>
        <v>2016</v>
      </c>
      <c r="M7" s="400">
        <f>C3-9</f>
        <v>2015</v>
      </c>
    </row>
    <row r="8" spans="1:13" ht="15.75" customHeight="1">
      <c r="A8" s="341"/>
      <c r="B8" s="285"/>
      <c r="C8" s="286"/>
      <c r="D8" s="133"/>
      <c r="E8" s="19"/>
      <c r="F8" s="20"/>
      <c r="G8" s="20"/>
      <c r="H8" s="20"/>
      <c r="I8" s="35"/>
      <c r="J8" s="20"/>
      <c r="K8" s="20"/>
      <c r="L8" s="20"/>
      <c r="M8" s="23"/>
    </row>
    <row r="9" spans="1:13" ht="15.75" customHeight="1">
      <c r="A9" s="342" t="s">
        <v>126</v>
      </c>
      <c r="B9" s="547"/>
      <c r="C9" s="285"/>
      <c r="D9" s="133"/>
      <c r="E9" s="22"/>
      <c r="F9" s="22"/>
      <c r="G9" s="22"/>
      <c r="H9" s="22"/>
      <c r="I9" s="22"/>
      <c r="J9" s="22"/>
      <c r="K9" s="22"/>
      <c r="L9" s="22"/>
      <c r="M9" s="24"/>
    </row>
    <row r="10" spans="1:13" ht="15.75" customHeight="1">
      <c r="A10" s="302" t="s">
        <v>118</v>
      </c>
      <c r="B10" s="548" t="s">
        <v>6</v>
      </c>
      <c r="C10" s="126" t="s">
        <v>328</v>
      </c>
      <c r="D10" s="126"/>
      <c r="E10" s="25">
        <v>0</v>
      </c>
      <c r="F10" s="25">
        <v>0</v>
      </c>
      <c r="G10" s="25">
        <v>0</v>
      </c>
      <c r="H10" s="25">
        <v>0</v>
      </c>
      <c r="I10" s="25">
        <v>0</v>
      </c>
      <c r="J10" s="25">
        <v>0</v>
      </c>
      <c r="K10" s="25">
        <v>0</v>
      </c>
      <c r="L10" s="25">
        <v>0</v>
      </c>
      <c r="M10" s="26">
        <v>0</v>
      </c>
    </row>
    <row r="11" spans="1:13" ht="15.75" customHeight="1">
      <c r="A11" s="343" t="str">
        <f>A10</f>
        <v>Col (1)</v>
      </c>
      <c r="B11" s="548" t="s">
        <v>1</v>
      </c>
      <c r="C11" s="126" t="s">
        <v>329</v>
      </c>
      <c r="D11" s="126"/>
      <c r="E11" s="25">
        <v>0</v>
      </c>
      <c r="F11" s="25">
        <v>0</v>
      </c>
      <c r="G11" s="25">
        <v>0</v>
      </c>
      <c r="H11" s="25">
        <v>0</v>
      </c>
      <c r="I11" s="25">
        <v>0</v>
      </c>
      <c r="J11" s="25">
        <v>0</v>
      </c>
      <c r="K11" s="25">
        <v>0</v>
      </c>
      <c r="L11" s="25">
        <v>0</v>
      </c>
      <c r="M11" s="26">
        <v>0</v>
      </c>
    </row>
    <row r="12" spans="1:13" ht="15.75" customHeight="1">
      <c r="A12" s="343" t="str">
        <f>A10</f>
        <v>Col (1)</v>
      </c>
      <c r="B12" s="549" t="s">
        <v>7</v>
      </c>
      <c r="C12" s="126" t="s">
        <v>330</v>
      </c>
      <c r="D12" s="126"/>
      <c r="E12" s="39" t="s">
        <v>0</v>
      </c>
      <c r="F12" s="78" t="s">
        <v>0</v>
      </c>
      <c r="G12" s="78" t="s">
        <v>0</v>
      </c>
      <c r="H12" s="78" t="s">
        <v>0</v>
      </c>
      <c r="I12" s="78" t="s">
        <v>0</v>
      </c>
      <c r="J12" s="78" t="s">
        <v>0</v>
      </c>
      <c r="K12" s="78" t="s">
        <v>0</v>
      </c>
      <c r="L12" s="78" t="s">
        <v>0</v>
      </c>
      <c r="M12" s="79" t="s">
        <v>0</v>
      </c>
    </row>
    <row r="13" spans="1:13" ht="15.75" customHeight="1">
      <c r="A13" s="345" t="s">
        <v>59</v>
      </c>
      <c r="B13" s="550"/>
      <c r="C13" s="285"/>
      <c r="D13" s="133"/>
      <c r="E13" s="94"/>
      <c r="F13" s="94"/>
      <c r="G13" s="94"/>
      <c r="H13" s="94"/>
      <c r="I13" s="94"/>
      <c r="J13" s="94"/>
      <c r="K13" s="94"/>
      <c r="L13" s="94"/>
      <c r="M13" s="95"/>
    </row>
    <row r="14" spans="1:13" ht="15.75" customHeight="1">
      <c r="A14" s="346" t="s">
        <v>127</v>
      </c>
      <c r="B14" s="121"/>
      <c r="C14" s="285"/>
      <c r="D14" s="133"/>
      <c r="E14" s="94"/>
      <c r="F14" s="94"/>
      <c r="G14" s="94"/>
      <c r="H14" s="94"/>
      <c r="I14" s="94"/>
      <c r="J14" s="94"/>
      <c r="K14" s="94"/>
      <c r="L14" s="94"/>
      <c r="M14" s="95"/>
    </row>
    <row r="15" spans="1:13" ht="15.75" customHeight="1">
      <c r="A15" s="302" t="s">
        <v>119</v>
      </c>
      <c r="B15" s="550" t="str">
        <f>B$10</f>
        <v>Item 1</v>
      </c>
      <c r="C15" s="285" t="str">
        <f>C$10</f>
        <v>Total from the Annual Statement</v>
      </c>
      <c r="D15" s="133"/>
      <c r="E15" s="25">
        <v>0</v>
      </c>
      <c r="F15" s="25">
        <v>0</v>
      </c>
      <c r="G15" s="25">
        <v>0</v>
      </c>
      <c r="H15" s="25">
        <v>0</v>
      </c>
      <c r="I15" s="25">
        <v>0</v>
      </c>
      <c r="J15" s="25">
        <v>0</v>
      </c>
      <c r="K15" s="25">
        <v>0</v>
      </c>
      <c r="L15" s="25">
        <v>0</v>
      </c>
      <c r="M15" s="26">
        <v>0</v>
      </c>
    </row>
    <row r="16" spans="1:13" ht="15.75" customHeight="1">
      <c r="A16" s="343" t="str">
        <f>A15</f>
        <v>Col (2)</v>
      </c>
      <c r="B16" s="550" t="str">
        <f>B$11</f>
        <v>Item 2</v>
      </c>
      <c r="C16" s="285" t="str">
        <f>C$11</f>
        <v>Excluded Types included in Item 1</v>
      </c>
      <c r="D16" s="133"/>
      <c r="E16" s="25">
        <v>0</v>
      </c>
      <c r="F16" s="25">
        <v>0</v>
      </c>
      <c r="G16" s="25">
        <v>0</v>
      </c>
      <c r="H16" s="25">
        <v>0</v>
      </c>
      <c r="I16" s="25">
        <v>0</v>
      </c>
      <c r="J16" s="25">
        <v>0</v>
      </c>
      <c r="K16" s="25">
        <v>0</v>
      </c>
      <c r="L16" s="25">
        <v>0</v>
      </c>
      <c r="M16" s="27">
        <v>0</v>
      </c>
    </row>
    <row r="17" spans="1:13" ht="15.75" customHeight="1">
      <c r="A17" s="343" t="str">
        <f>A15</f>
        <v>Col (2)</v>
      </c>
      <c r="B17" s="550" t="str">
        <f>B$12</f>
        <v>Item 4</v>
      </c>
      <c r="C17" s="285" t="str">
        <f>C$12</f>
        <v>UCJF Assessments (19.1/PIP only)</v>
      </c>
      <c r="D17" s="133"/>
      <c r="E17" s="78" t="str">
        <f>E12</f>
        <v>XXX</v>
      </c>
      <c r="F17" s="78" t="str">
        <f aca="true" t="shared" si="0" ref="F17:K17">F12</f>
        <v>XXX</v>
      </c>
      <c r="G17" s="78" t="str">
        <f t="shared" si="0"/>
        <v>XXX</v>
      </c>
      <c r="H17" s="78" t="str">
        <f t="shared" si="0"/>
        <v>XXX</v>
      </c>
      <c r="I17" s="78" t="str">
        <f t="shared" si="0"/>
        <v>XXX</v>
      </c>
      <c r="J17" s="78" t="str">
        <f t="shared" si="0"/>
        <v>XXX</v>
      </c>
      <c r="K17" s="78" t="str">
        <f t="shared" si="0"/>
        <v>XXX</v>
      </c>
      <c r="L17" s="78" t="str">
        <f>L12</f>
        <v>XXX</v>
      </c>
      <c r="M17" s="79" t="str">
        <f>M12</f>
        <v>XXX</v>
      </c>
    </row>
    <row r="18" spans="1:13" ht="15.75" customHeight="1">
      <c r="A18" s="343" t="s">
        <v>59</v>
      </c>
      <c r="B18" s="551"/>
      <c r="C18" s="133"/>
      <c r="D18" s="133"/>
      <c r="E18" s="94"/>
      <c r="F18" s="94"/>
      <c r="G18" s="94"/>
      <c r="H18" s="94"/>
      <c r="I18" s="94"/>
      <c r="J18" s="94"/>
      <c r="K18" s="94"/>
      <c r="L18" s="94"/>
      <c r="M18" s="95"/>
    </row>
    <row r="19" spans="1:13" ht="15.75" customHeight="1">
      <c r="A19" s="346" t="s">
        <v>149</v>
      </c>
      <c r="B19" s="121"/>
      <c r="C19" s="285"/>
      <c r="D19" s="133"/>
      <c r="E19" s="94"/>
      <c r="F19" s="94"/>
      <c r="G19" s="94"/>
      <c r="H19" s="94"/>
      <c r="I19" s="94"/>
      <c r="J19" s="94"/>
      <c r="K19" s="94"/>
      <c r="L19" s="94"/>
      <c r="M19" s="95"/>
    </row>
    <row r="20" spans="1:13" ht="15.75" customHeight="1">
      <c r="A20" s="343" t="s">
        <v>132</v>
      </c>
      <c r="B20" s="550" t="str">
        <f>B$10</f>
        <v>Item 1</v>
      </c>
      <c r="C20" s="285" t="str">
        <f>C$10</f>
        <v>Total from the Annual Statement</v>
      </c>
      <c r="D20" s="133"/>
      <c r="E20" s="25">
        <v>0</v>
      </c>
      <c r="F20" s="25">
        <v>0</v>
      </c>
      <c r="G20" s="25">
        <v>0</v>
      </c>
      <c r="H20" s="25">
        <v>0</v>
      </c>
      <c r="I20" s="25">
        <v>0</v>
      </c>
      <c r="J20" s="25">
        <v>0</v>
      </c>
      <c r="K20" s="25">
        <v>0</v>
      </c>
      <c r="L20" s="25">
        <v>0</v>
      </c>
      <c r="M20" s="26">
        <v>0</v>
      </c>
    </row>
    <row r="21" spans="1:13" ht="15.75" customHeight="1">
      <c r="A21" s="343" t="str">
        <f>A20</f>
        <v>Col (3A)</v>
      </c>
      <c r="B21" s="550" t="str">
        <f>B$11</f>
        <v>Item 2</v>
      </c>
      <c r="C21" s="285" t="str">
        <f>C$11</f>
        <v>Excluded Types included in Item 1</v>
      </c>
      <c r="D21" s="133"/>
      <c r="E21" s="25">
        <v>0</v>
      </c>
      <c r="F21" s="25">
        <v>0</v>
      </c>
      <c r="G21" s="25">
        <v>0</v>
      </c>
      <c r="H21" s="25">
        <v>0</v>
      </c>
      <c r="I21" s="25">
        <v>0</v>
      </c>
      <c r="J21" s="25">
        <v>0</v>
      </c>
      <c r="K21" s="25">
        <v>0</v>
      </c>
      <c r="L21" s="25">
        <v>0</v>
      </c>
      <c r="M21" s="27">
        <v>0</v>
      </c>
    </row>
    <row r="22" spans="1:13" ht="15.75" customHeight="1">
      <c r="A22" s="343" t="s">
        <v>59</v>
      </c>
      <c r="B22" s="550"/>
      <c r="C22" s="285"/>
      <c r="D22" s="133"/>
      <c r="E22" s="94"/>
      <c r="F22" s="94"/>
      <c r="G22" s="94"/>
      <c r="H22" s="94"/>
      <c r="I22" s="94"/>
      <c r="J22" s="94"/>
      <c r="K22" s="94"/>
      <c r="L22" s="94"/>
      <c r="M22" s="95"/>
    </row>
    <row r="23" spans="1:13" ht="15.75" customHeight="1">
      <c r="A23" s="346" t="s">
        <v>160</v>
      </c>
      <c r="B23" s="121"/>
      <c r="C23" s="285"/>
      <c r="D23" s="133"/>
      <c r="E23" s="94"/>
      <c r="F23" s="94"/>
      <c r="G23" s="94"/>
      <c r="H23" s="94"/>
      <c r="I23" s="94"/>
      <c r="J23" s="94"/>
      <c r="K23" s="94"/>
      <c r="L23" s="94"/>
      <c r="M23" s="95"/>
    </row>
    <row r="24" spans="1:13" ht="15.75" customHeight="1">
      <c r="A24" s="343" t="s">
        <v>133</v>
      </c>
      <c r="B24" s="550" t="str">
        <f>B$10</f>
        <v>Item 1</v>
      </c>
      <c r="C24" s="285" t="s">
        <v>18</v>
      </c>
      <c r="D24" s="133"/>
      <c r="E24" s="25">
        <v>0</v>
      </c>
      <c r="F24" s="25">
        <v>0</v>
      </c>
      <c r="G24" s="25">
        <v>0</v>
      </c>
      <c r="H24" s="25">
        <v>0</v>
      </c>
      <c r="I24" s="25">
        <v>0</v>
      </c>
      <c r="J24" s="25">
        <v>0</v>
      </c>
      <c r="K24" s="25">
        <v>0</v>
      </c>
      <c r="L24" s="25">
        <v>0</v>
      </c>
      <c r="M24" s="26">
        <v>0</v>
      </c>
    </row>
    <row r="25" spans="1:13" ht="15.75" customHeight="1">
      <c r="A25" s="343" t="str">
        <f>A24</f>
        <v>Col (3B)</v>
      </c>
      <c r="B25" s="550" t="str">
        <f>B$11</f>
        <v>Item 2</v>
      </c>
      <c r="C25" s="285" t="str">
        <f>C$11</f>
        <v>Excluded Types included in Item 1</v>
      </c>
      <c r="D25" s="133"/>
      <c r="E25" s="25">
        <v>0</v>
      </c>
      <c r="F25" s="25">
        <v>0</v>
      </c>
      <c r="G25" s="25">
        <v>0</v>
      </c>
      <c r="H25" s="25">
        <v>0</v>
      </c>
      <c r="I25" s="25">
        <v>0</v>
      </c>
      <c r="J25" s="25">
        <v>0</v>
      </c>
      <c r="K25" s="25">
        <v>0</v>
      </c>
      <c r="L25" s="25">
        <v>0</v>
      </c>
      <c r="M25" s="27">
        <v>0</v>
      </c>
    </row>
    <row r="26" spans="1:13" ht="15.75" customHeight="1">
      <c r="A26" s="345" t="s">
        <v>59</v>
      </c>
      <c r="B26" s="550"/>
      <c r="C26" s="285"/>
      <c r="D26" s="133"/>
      <c r="E26" s="94"/>
      <c r="F26" s="94"/>
      <c r="G26" s="94"/>
      <c r="H26" s="94"/>
      <c r="I26" s="94"/>
      <c r="J26" s="94"/>
      <c r="K26" s="94"/>
      <c r="L26" s="94"/>
      <c r="M26" s="95"/>
    </row>
    <row r="27" spans="1:13" ht="15.75" customHeight="1">
      <c r="A27" s="346" t="s">
        <v>147</v>
      </c>
      <c r="B27" s="121"/>
      <c r="C27" s="285"/>
      <c r="D27" s="133"/>
      <c r="E27" s="35"/>
      <c r="F27" s="35"/>
      <c r="G27" s="35"/>
      <c r="H27" s="35"/>
      <c r="I27" s="35"/>
      <c r="J27" s="35"/>
      <c r="K27" s="35"/>
      <c r="L27" s="35"/>
      <c r="M27" s="332"/>
    </row>
    <row r="28" spans="1:13" ht="15.75" customHeight="1">
      <c r="A28" s="343" t="s">
        <v>121</v>
      </c>
      <c r="B28" s="550" t="str">
        <f>B$10</f>
        <v>Item 1</v>
      </c>
      <c r="C28" s="285" t="str">
        <f>C$10</f>
        <v>Total from the Annual Statement</v>
      </c>
      <c r="D28" s="133"/>
      <c r="E28" s="25">
        <v>0</v>
      </c>
      <c r="F28" s="25">
        <v>0</v>
      </c>
      <c r="G28" s="25">
        <v>0</v>
      </c>
      <c r="H28" s="25">
        <v>0</v>
      </c>
      <c r="I28" s="25">
        <v>0</v>
      </c>
      <c r="J28" s="25">
        <v>0</v>
      </c>
      <c r="K28" s="25">
        <v>0</v>
      </c>
      <c r="L28" s="25">
        <v>0</v>
      </c>
      <c r="M28" s="26">
        <v>0</v>
      </c>
    </row>
    <row r="29" spans="1:13" ht="15.75" customHeight="1">
      <c r="A29" s="343" t="str">
        <f>A28</f>
        <v>Col (4)</v>
      </c>
      <c r="B29" s="550" t="str">
        <f>B$11</f>
        <v>Item 2</v>
      </c>
      <c r="C29" s="285" t="str">
        <f>C$11</f>
        <v>Excluded Types included in Item 1</v>
      </c>
      <c r="D29" s="133"/>
      <c r="E29" s="25">
        <v>0</v>
      </c>
      <c r="F29" s="25">
        <v>0</v>
      </c>
      <c r="G29" s="25">
        <v>0</v>
      </c>
      <c r="H29" s="25">
        <v>0</v>
      </c>
      <c r="I29" s="25">
        <v>0</v>
      </c>
      <c r="J29" s="25">
        <v>0</v>
      </c>
      <c r="K29" s="25">
        <v>0</v>
      </c>
      <c r="L29" s="25">
        <v>0</v>
      </c>
      <c r="M29" s="27">
        <v>0</v>
      </c>
    </row>
    <row r="30" spans="1:13" ht="15.75" customHeight="1">
      <c r="A30" s="487" t="str">
        <f>A29</f>
        <v>Col (4)</v>
      </c>
      <c r="B30" s="552" t="str">
        <f>B$12</f>
        <v>Item 4</v>
      </c>
      <c r="C30" s="488" t="str">
        <f>C$12</f>
        <v>UCJF Assessments (19.1/PIP only)</v>
      </c>
      <c r="D30" s="489"/>
      <c r="E30" s="490" t="s">
        <v>0</v>
      </c>
      <c r="F30" s="490" t="s">
        <v>0</v>
      </c>
      <c r="G30" s="490" t="s">
        <v>0</v>
      </c>
      <c r="H30" s="490" t="s">
        <v>0</v>
      </c>
      <c r="I30" s="490" t="s">
        <v>0</v>
      </c>
      <c r="J30" s="490" t="s">
        <v>0</v>
      </c>
      <c r="K30" s="490" t="s">
        <v>0</v>
      </c>
      <c r="L30" s="490" t="s">
        <v>0</v>
      </c>
      <c r="M30" s="491" t="s">
        <v>0</v>
      </c>
    </row>
    <row r="31" spans="1:13" ht="15.75" customHeight="1">
      <c r="A31" s="345" t="s">
        <v>59</v>
      </c>
      <c r="B31" s="550"/>
      <c r="C31" s="285"/>
      <c r="D31" s="133"/>
      <c r="E31" s="94"/>
      <c r="F31" s="94"/>
      <c r="G31" s="94"/>
      <c r="H31" s="94"/>
      <c r="I31" s="94"/>
      <c r="J31" s="94"/>
      <c r="K31" s="94"/>
      <c r="L31" s="94"/>
      <c r="M31" s="95"/>
    </row>
    <row r="32" spans="1:13" ht="15.75" customHeight="1">
      <c r="A32" s="346" t="s">
        <v>151</v>
      </c>
      <c r="B32" s="121"/>
      <c r="C32" s="285"/>
      <c r="D32" s="133"/>
      <c r="E32" s="94"/>
      <c r="F32" s="94"/>
      <c r="G32" s="94"/>
      <c r="H32" s="94"/>
      <c r="I32" s="94"/>
      <c r="J32" s="94"/>
      <c r="K32" s="94"/>
      <c r="L32" s="94"/>
      <c r="M32" s="95"/>
    </row>
    <row r="33" spans="1:13" ht="15.75" customHeight="1">
      <c r="A33" s="343" t="s">
        <v>123</v>
      </c>
      <c r="B33" s="550" t="str">
        <f>B$10</f>
        <v>Item 1</v>
      </c>
      <c r="C33" s="285" t="str">
        <f>C$10</f>
        <v>Total from the Annual Statement</v>
      </c>
      <c r="D33" s="133"/>
      <c r="E33" s="25">
        <v>0</v>
      </c>
      <c r="F33" s="25">
        <v>0</v>
      </c>
      <c r="G33" s="25">
        <v>0</v>
      </c>
      <c r="H33" s="25">
        <v>0</v>
      </c>
      <c r="I33" s="25">
        <v>0</v>
      </c>
      <c r="J33" s="25">
        <v>0</v>
      </c>
      <c r="K33" s="25">
        <v>0</v>
      </c>
      <c r="L33" s="25">
        <v>0</v>
      </c>
      <c r="M33" s="26">
        <v>0</v>
      </c>
    </row>
    <row r="34" spans="1:13" ht="15.75" customHeight="1">
      <c r="A34" s="343" t="str">
        <f>A33</f>
        <v>Col (7)</v>
      </c>
      <c r="B34" s="550" t="str">
        <f>B$11</f>
        <v>Item 2</v>
      </c>
      <c r="C34" s="285" t="str">
        <f>C$11</f>
        <v>Excluded Types included in Item 1</v>
      </c>
      <c r="D34" s="133"/>
      <c r="E34" s="25">
        <v>0</v>
      </c>
      <c r="F34" s="25">
        <v>0</v>
      </c>
      <c r="G34" s="25">
        <v>0</v>
      </c>
      <c r="H34" s="25">
        <v>0</v>
      </c>
      <c r="I34" s="25">
        <v>0</v>
      </c>
      <c r="J34" s="25">
        <v>0</v>
      </c>
      <c r="K34" s="25">
        <v>0</v>
      </c>
      <c r="L34" s="25">
        <v>0</v>
      </c>
      <c r="M34" s="27">
        <v>0</v>
      </c>
    </row>
    <row r="35" spans="1:13" ht="15.75" customHeight="1">
      <c r="A35" s="343" t="str">
        <f>A33</f>
        <v>Col (7)</v>
      </c>
      <c r="B35" s="550" t="str">
        <f>B$12</f>
        <v>Item 4</v>
      </c>
      <c r="C35" s="348" t="str">
        <f>InputA!$C$35</f>
        <v>Excess Medical Benefits</v>
      </c>
      <c r="D35" s="344"/>
      <c r="E35" s="78" t="s">
        <v>0</v>
      </c>
      <c r="F35" s="78" t="s">
        <v>0</v>
      </c>
      <c r="G35" s="78" t="s">
        <v>0</v>
      </c>
      <c r="H35" s="78" t="s">
        <v>0</v>
      </c>
      <c r="I35" s="78" t="s">
        <v>0</v>
      </c>
      <c r="J35" s="78" t="s">
        <v>0</v>
      </c>
      <c r="K35" s="78" t="s">
        <v>0</v>
      </c>
      <c r="L35" s="78" t="s">
        <v>0</v>
      </c>
      <c r="M35" s="79" t="s">
        <v>0</v>
      </c>
    </row>
    <row r="36" spans="1:13" ht="15.75" customHeight="1">
      <c r="A36" s="345" t="s">
        <v>59</v>
      </c>
      <c r="B36" s="550"/>
      <c r="C36" s="285"/>
      <c r="D36" s="133"/>
      <c r="E36" s="94"/>
      <c r="F36" s="94"/>
      <c r="G36" s="94"/>
      <c r="H36" s="94"/>
      <c r="I36" s="94"/>
      <c r="J36" s="94"/>
      <c r="K36" s="94"/>
      <c r="L36" s="94"/>
      <c r="M36" s="95"/>
    </row>
    <row r="37" spans="1:13" ht="15.75" customHeight="1">
      <c r="A37" s="346" t="s">
        <v>152</v>
      </c>
      <c r="B37" s="121"/>
      <c r="C37" s="285"/>
      <c r="D37" s="133"/>
      <c r="E37" s="94"/>
      <c r="F37" s="94"/>
      <c r="G37" s="94"/>
      <c r="H37" s="94"/>
      <c r="I37" s="94"/>
      <c r="J37" s="94"/>
      <c r="K37" s="94"/>
      <c r="L37" s="94"/>
      <c r="M37" s="95"/>
    </row>
    <row r="38" spans="1:13" ht="15.75" customHeight="1">
      <c r="A38" s="343" t="s">
        <v>124</v>
      </c>
      <c r="B38" s="550" t="str">
        <f>B$10</f>
        <v>Item 1</v>
      </c>
      <c r="C38" s="285" t="str">
        <f>C$10</f>
        <v>Total from the Annual Statement</v>
      </c>
      <c r="D38" s="133"/>
      <c r="E38" s="25">
        <v>0</v>
      </c>
      <c r="F38" s="25">
        <v>0</v>
      </c>
      <c r="G38" s="25">
        <v>0</v>
      </c>
      <c r="H38" s="25">
        <v>0</v>
      </c>
      <c r="I38" s="25">
        <v>0</v>
      </c>
      <c r="J38" s="25">
        <v>0</v>
      </c>
      <c r="K38" s="25">
        <v>0</v>
      </c>
      <c r="L38" s="25">
        <v>0</v>
      </c>
      <c r="M38" s="26">
        <v>0</v>
      </c>
    </row>
    <row r="39" spans="1:13" ht="15.75" customHeight="1">
      <c r="A39" s="343" t="str">
        <f>A38</f>
        <v>Col (10)</v>
      </c>
      <c r="B39" s="550" t="str">
        <f>B$11</f>
        <v>Item 2</v>
      </c>
      <c r="C39" s="285" t="str">
        <f>C$11</f>
        <v>Excluded Types included in Item 1</v>
      </c>
      <c r="D39" s="133"/>
      <c r="E39" s="25">
        <v>0</v>
      </c>
      <c r="F39" s="25">
        <v>0</v>
      </c>
      <c r="G39" s="25">
        <v>0</v>
      </c>
      <c r="H39" s="25">
        <v>0</v>
      </c>
      <c r="I39" s="25">
        <v>0</v>
      </c>
      <c r="J39" s="25">
        <v>0</v>
      </c>
      <c r="K39" s="25">
        <v>0</v>
      </c>
      <c r="L39" s="25">
        <v>0</v>
      </c>
      <c r="M39" s="27">
        <v>0</v>
      </c>
    </row>
    <row r="40" spans="1:13" ht="15.75" customHeight="1">
      <c r="A40" s="351"/>
      <c r="B40" s="347"/>
      <c r="C40" s="344"/>
      <c r="D40" s="344"/>
      <c r="E40" s="94"/>
      <c r="F40" s="94"/>
      <c r="G40" s="94"/>
      <c r="H40" s="94"/>
      <c r="I40" s="94"/>
      <c r="J40" s="94"/>
      <c r="K40" s="94"/>
      <c r="L40" s="94"/>
      <c r="M40" s="94"/>
    </row>
    <row r="41" spans="1:13" ht="15.75" customHeight="1" thickBot="1">
      <c r="A41" s="351"/>
      <c r="B41" s="347"/>
      <c r="C41" s="344"/>
      <c r="D41" s="344"/>
      <c r="E41" s="94"/>
      <c r="F41" s="94"/>
      <c r="G41" s="94"/>
      <c r="H41" s="94"/>
      <c r="I41" s="94"/>
      <c r="J41" s="94"/>
      <c r="K41" s="94"/>
      <c r="L41" s="94"/>
      <c r="M41" s="94"/>
    </row>
    <row r="42" spans="1:13" ht="15.75" customHeight="1" thickBot="1">
      <c r="A42" s="352" t="s">
        <v>336</v>
      </c>
      <c r="B42" s="355"/>
      <c r="C42" s="307"/>
      <c r="D42" s="423"/>
      <c r="E42" s="555"/>
      <c r="F42" s="424"/>
      <c r="G42" s="310"/>
      <c r="H42" s="310"/>
      <c r="I42" s="307"/>
      <c r="J42" s="307"/>
      <c r="K42" s="307"/>
      <c r="L42" s="307"/>
      <c r="M42" s="335"/>
    </row>
    <row r="43" spans="1:13" s="398" customFormat="1" ht="15.75" customHeight="1" thickBot="1">
      <c r="A43" s="554"/>
      <c r="B43" s="355"/>
      <c r="C43" s="307"/>
      <c r="D43" s="423"/>
      <c r="E43" s="555"/>
      <c r="F43" s="424"/>
      <c r="G43" s="310"/>
      <c r="H43" s="310"/>
      <c r="I43" s="307"/>
      <c r="J43" s="307"/>
      <c r="K43" s="307"/>
      <c r="L43" s="307"/>
      <c r="M43" s="307"/>
    </row>
    <row r="44" spans="1:13" s="398" customFormat="1" ht="15.75" customHeight="1">
      <c r="A44" s="565"/>
      <c r="B44" s="570" t="s">
        <v>52</v>
      </c>
      <c r="C44" s="382"/>
      <c r="D44" s="566" t="s">
        <v>334</v>
      </c>
      <c r="E44" s="223" t="s">
        <v>33</v>
      </c>
      <c r="F44" s="223"/>
      <c r="G44" s="223"/>
      <c r="H44" s="223"/>
      <c r="I44" s="223"/>
      <c r="J44" s="223"/>
      <c r="K44" s="223"/>
      <c r="L44" s="223"/>
      <c r="M44" s="567"/>
    </row>
    <row r="45" spans="1:13" s="398" customFormat="1" ht="15.75" customHeight="1">
      <c r="A45" s="558" t="s">
        <v>410</v>
      </c>
      <c r="D45" s="559" t="s">
        <v>191</v>
      </c>
      <c r="E45" s="177">
        <f aca="true" t="shared" si="1" ref="E45:L45">F45-1</f>
        <v>2015</v>
      </c>
      <c r="F45" s="177">
        <f t="shared" si="1"/>
        <v>2016</v>
      </c>
      <c r="G45" s="177">
        <f t="shared" si="1"/>
        <v>2017</v>
      </c>
      <c r="H45" s="177">
        <f t="shared" si="1"/>
        <v>2018</v>
      </c>
      <c r="I45" s="177">
        <f t="shared" si="1"/>
        <v>2019</v>
      </c>
      <c r="J45" s="177">
        <f t="shared" si="1"/>
        <v>2020</v>
      </c>
      <c r="K45" s="177">
        <f t="shared" si="1"/>
        <v>2021</v>
      </c>
      <c r="L45" s="177">
        <f t="shared" si="1"/>
        <v>2022</v>
      </c>
      <c r="M45" s="178">
        <f>ReportYear-1</f>
        <v>2023</v>
      </c>
    </row>
    <row r="46" spans="1:13" s="398" customFormat="1" ht="15.75" customHeight="1">
      <c r="A46" s="561"/>
      <c r="D46" s="322" t="s">
        <v>34</v>
      </c>
      <c r="E46" s="94">
        <v>0</v>
      </c>
      <c r="F46" s="94">
        <v>0</v>
      </c>
      <c r="G46" s="94">
        <v>0</v>
      </c>
      <c r="H46" s="94">
        <v>0</v>
      </c>
      <c r="I46" s="94">
        <v>0</v>
      </c>
      <c r="J46" s="94">
        <v>0</v>
      </c>
      <c r="K46" s="94">
        <v>0</v>
      </c>
      <c r="L46" s="94">
        <v>0</v>
      </c>
      <c r="M46" s="102">
        <v>0</v>
      </c>
    </row>
    <row r="47" spans="1:13" s="398" customFormat="1" ht="15.75" customHeight="1">
      <c r="A47" s="131"/>
      <c r="D47" s="182" t="s">
        <v>35</v>
      </c>
      <c r="E47" s="94">
        <v>0</v>
      </c>
      <c r="F47" s="94">
        <v>0</v>
      </c>
      <c r="G47" s="94">
        <v>0</v>
      </c>
      <c r="H47" s="94">
        <v>0</v>
      </c>
      <c r="I47" s="94">
        <v>0</v>
      </c>
      <c r="J47" s="94">
        <v>0</v>
      </c>
      <c r="K47" s="94">
        <v>0</v>
      </c>
      <c r="L47" s="94">
        <v>0</v>
      </c>
      <c r="M47" s="492" t="s">
        <v>0</v>
      </c>
    </row>
    <row r="48" spans="1:13" s="398" customFormat="1" ht="15.75" customHeight="1">
      <c r="A48" s="131"/>
      <c r="D48" s="182" t="s">
        <v>36</v>
      </c>
      <c r="E48" s="94">
        <v>0</v>
      </c>
      <c r="F48" s="94">
        <v>0</v>
      </c>
      <c r="G48" s="94">
        <v>0</v>
      </c>
      <c r="H48" s="94">
        <v>0</v>
      </c>
      <c r="I48" s="94">
        <v>0</v>
      </c>
      <c r="J48" s="94">
        <v>0</v>
      </c>
      <c r="K48" s="94">
        <v>0</v>
      </c>
      <c r="L48" s="479" t="s">
        <v>0</v>
      </c>
      <c r="M48" s="492" t="s">
        <v>0</v>
      </c>
    </row>
    <row r="49" spans="1:13" s="398" customFormat="1" ht="15.75" customHeight="1">
      <c r="A49" s="131" t="s">
        <v>331</v>
      </c>
      <c r="D49" s="322" t="s">
        <v>37</v>
      </c>
      <c r="E49" s="94">
        <v>0</v>
      </c>
      <c r="F49" s="94">
        <v>0</v>
      </c>
      <c r="G49" s="94">
        <v>0</v>
      </c>
      <c r="H49" s="563">
        <v>0</v>
      </c>
      <c r="I49" s="563">
        <v>0</v>
      </c>
      <c r="J49" s="563">
        <v>0</v>
      </c>
      <c r="K49" s="479" t="s">
        <v>0</v>
      </c>
      <c r="L49" s="479" t="s">
        <v>0</v>
      </c>
      <c r="M49" s="492" t="s">
        <v>0</v>
      </c>
    </row>
    <row r="50" spans="1:13" s="398" customFormat="1" ht="15.75" customHeight="1">
      <c r="A50" s="131" t="s">
        <v>332</v>
      </c>
      <c r="D50" s="322" t="s">
        <v>38</v>
      </c>
      <c r="E50" s="94">
        <v>0</v>
      </c>
      <c r="F50" s="94">
        <v>0</v>
      </c>
      <c r="G50" s="94">
        <v>0</v>
      </c>
      <c r="H50" s="563">
        <v>0</v>
      </c>
      <c r="I50" s="563">
        <v>0</v>
      </c>
      <c r="J50" s="479" t="s">
        <v>0</v>
      </c>
      <c r="K50" s="479" t="s">
        <v>0</v>
      </c>
      <c r="L50" s="479" t="s">
        <v>0</v>
      </c>
      <c r="M50" s="492" t="s">
        <v>0</v>
      </c>
    </row>
    <row r="51" spans="1:13" s="398" customFormat="1" ht="15.75" customHeight="1">
      <c r="A51" s="131" t="s">
        <v>333</v>
      </c>
      <c r="D51" s="322" t="s">
        <v>39</v>
      </c>
      <c r="E51" s="94">
        <v>0</v>
      </c>
      <c r="F51" s="94">
        <v>0</v>
      </c>
      <c r="G51" s="94">
        <v>0</v>
      </c>
      <c r="H51" s="563">
        <v>0</v>
      </c>
      <c r="I51" s="479" t="s">
        <v>0</v>
      </c>
      <c r="J51" s="479" t="s">
        <v>0</v>
      </c>
      <c r="K51" s="479" t="s">
        <v>0</v>
      </c>
      <c r="L51" s="479" t="s">
        <v>0</v>
      </c>
      <c r="M51" s="492" t="s">
        <v>0</v>
      </c>
    </row>
    <row r="52" spans="1:13" s="398" customFormat="1" ht="15.75" customHeight="1">
      <c r="A52" s="561"/>
      <c r="D52" s="322" t="s">
        <v>40</v>
      </c>
      <c r="E52" s="94">
        <v>0</v>
      </c>
      <c r="F52" s="94">
        <v>0</v>
      </c>
      <c r="G52" s="94">
        <v>0</v>
      </c>
      <c r="H52" s="479" t="s">
        <v>0</v>
      </c>
      <c r="I52" s="479" t="s">
        <v>0</v>
      </c>
      <c r="J52" s="479" t="s">
        <v>0</v>
      </c>
      <c r="K52" s="479" t="s">
        <v>0</v>
      </c>
      <c r="L52" s="479" t="s">
        <v>0</v>
      </c>
      <c r="M52" s="492" t="s">
        <v>0</v>
      </c>
    </row>
    <row r="53" spans="1:13" s="398" customFormat="1" ht="15.75" customHeight="1" thickBot="1">
      <c r="A53" s="562"/>
      <c r="B53" s="379"/>
      <c r="C53" s="379"/>
      <c r="D53" s="560" t="s">
        <v>354</v>
      </c>
      <c r="E53" s="393">
        <v>0</v>
      </c>
      <c r="F53" s="393">
        <v>0</v>
      </c>
      <c r="G53" s="572" t="s">
        <v>0</v>
      </c>
      <c r="H53" s="572" t="s">
        <v>0</v>
      </c>
      <c r="I53" s="572" t="s">
        <v>0</v>
      </c>
      <c r="J53" s="572" t="s">
        <v>0</v>
      </c>
      <c r="K53" s="572" t="s">
        <v>0</v>
      </c>
      <c r="L53" s="572" t="s">
        <v>0</v>
      </c>
      <c r="M53" s="573" t="s">
        <v>0</v>
      </c>
    </row>
    <row r="54" spans="1:13" ht="15.75" customHeight="1" thickBot="1">
      <c r="A54" s="322"/>
      <c r="B54" s="127"/>
      <c r="C54" s="127"/>
      <c r="D54" s="127"/>
      <c r="E54" s="127"/>
      <c r="F54" s="127"/>
      <c r="G54" s="127"/>
      <c r="H54" s="127"/>
      <c r="I54" s="39"/>
      <c r="J54" s="39"/>
      <c r="K54" s="39"/>
      <c r="L54" s="39"/>
      <c r="M54" s="39"/>
    </row>
    <row r="55" spans="1:13" s="398" customFormat="1" ht="15.75" customHeight="1">
      <c r="A55" s="565"/>
      <c r="B55" s="570" t="s">
        <v>52</v>
      </c>
      <c r="C55" s="382"/>
      <c r="D55" s="566" t="s">
        <v>335</v>
      </c>
      <c r="E55" s="223" t="s">
        <v>33</v>
      </c>
      <c r="F55" s="223"/>
      <c r="G55" s="223"/>
      <c r="H55" s="223"/>
      <c r="I55" s="223"/>
      <c r="J55" s="223"/>
      <c r="K55" s="223"/>
      <c r="L55" s="223"/>
      <c r="M55" s="567"/>
    </row>
    <row r="56" spans="1:13" s="398" customFormat="1" ht="15.75" customHeight="1">
      <c r="A56" s="558" t="s">
        <v>410</v>
      </c>
      <c r="D56" s="559" t="s">
        <v>191</v>
      </c>
      <c r="E56" s="177">
        <f aca="true" t="shared" si="2" ref="E56:L56">F56-1</f>
        <v>2015</v>
      </c>
      <c r="F56" s="177">
        <f t="shared" si="2"/>
        <v>2016</v>
      </c>
      <c r="G56" s="177">
        <f t="shared" si="2"/>
        <v>2017</v>
      </c>
      <c r="H56" s="177">
        <f t="shared" si="2"/>
        <v>2018</v>
      </c>
      <c r="I56" s="177">
        <f t="shared" si="2"/>
        <v>2019</v>
      </c>
      <c r="J56" s="177">
        <f t="shared" si="2"/>
        <v>2020</v>
      </c>
      <c r="K56" s="177">
        <f t="shared" si="2"/>
        <v>2021</v>
      </c>
      <c r="L56" s="177">
        <f t="shared" si="2"/>
        <v>2022</v>
      </c>
      <c r="M56" s="178">
        <f>ReportYear-1</f>
        <v>2023</v>
      </c>
    </row>
    <row r="57" spans="1:13" s="398" customFormat="1" ht="15.75" customHeight="1">
      <c r="A57" s="561"/>
      <c r="D57" s="322" t="s">
        <v>34</v>
      </c>
      <c r="E57" s="94">
        <v>0</v>
      </c>
      <c r="F57" s="94">
        <v>0</v>
      </c>
      <c r="G57" s="94">
        <v>0</v>
      </c>
      <c r="H57" s="94">
        <v>0</v>
      </c>
      <c r="I57" s="94">
        <v>0</v>
      </c>
      <c r="J57" s="94">
        <v>0</v>
      </c>
      <c r="K57" s="94">
        <v>0</v>
      </c>
      <c r="L57" s="94">
        <v>0</v>
      </c>
      <c r="M57" s="102">
        <v>0</v>
      </c>
    </row>
    <row r="58" spans="1:13" s="398" customFormat="1" ht="15.75" customHeight="1">
      <c r="A58" s="131"/>
      <c r="D58" s="182" t="s">
        <v>35</v>
      </c>
      <c r="E58" s="94">
        <v>0</v>
      </c>
      <c r="F58" s="94">
        <v>0</v>
      </c>
      <c r="G58" s="94">
        <v>0</v>
      </c>
      <c r="H58" s="563">
        <v>0</v>
      </c>
      <c r="I58" s="563">
        <v>0</v>
      </c>
      <c r="J58" s="563">
        <v>0</v>
      </c>
      <c r="K58" s="563">
        <v>0</v>
      </c>
      <c r="L58" s="563">
        <v>0</v>
      </c>
      <c r="M58" s="564"/>
    </row>
    <row r="59" spans="1:13" s="398" customFormat="1" ht="15.75" customHeight="1">
      <c r="A59" s="131"/>
      <c r="D59" s="182" t="s">
        <v>36</v>
      </c>
      <c r="E59" s="94">
        <v>0</v>
      </c>
      <c r="F59" s="94">
        <v>0</v>
      </c>
      <c r="G59" s="94">
        <v>0</v>
      </c>
      <c r="H59" s="563">
        <v>0</v>
      </c>
      <c r="I59" s="563">
        <v>0</v>
      </c>
      <c r="J59" s="563">
        <v>0</v>
      </c>
      <c r="K59" s="563">
        <v>0</v>
      </c>
      <c r="L59" s="479" t="s">
        <v>0</v>
      </c>
      <c r="M59" s="492" t="s">
        <v>0</v>
      </c>
    </row>
    <row r="60" spans="1:13" s="398" customFormat="1" ht="15.75" customHeight="1">
      <c r="A60" s="131" t="s">
        <v>331</v>
      </c>
      <c r="D60" s="322" t="s">
        <v>37</v>
      </c>
      <c r="E60" s="94">
        <v>0</v>
      </c>
      <c r="F60" s="94">
        <v>0</v>
      </c>
      <c r="G60" s="94">
        <v>0</v>
      </c>
      <c r="H60" s="563">
        <v>0</v>
      </c>
      <c r="I60" s="563">
        <v>0</v>
      </c>
      <c r="J60" s="563">
        <v>0</v>
      </c>
      <c r="K60" s="479" t="s">
        <v>0</v>
      </c>
      <c r="L60" s="479" t="s">
        <v>0</v>
      </c>
      <c r="M60" s="492" t="s">
        <v>0</v>
      </c>
    </row>
    <row r="61" spans="1:13" s="398" customFormat="1" ht="15.75" customHeight="1">
      <c r="A61" s="131" t="s">
        <v>332</v>
      </c>
      <c r="D61" s="322"/>
      <c r="E61" s="94"/>
      <c r="F61" s="94"/>
      <c r="G61" s="94"/>
      <c r="H61" s="563"/>
      <c r="I61" s="563"/>
      <c r="J61" s="479"/>
      <c r="K61" s="479"/>
      <c r="L61" s="479"/>
      <c r="M61" s="492"/>
    </row>
    <row r="62" spans="1:13" s="398" customFormat="1" ht="15.75" customHeight="1">
      <c r="A62" s="131" t="s">
        <v>333</v>
      </c>
      <c r="D62" s="322"/>
      <c r="E62" s="94"/>
      <c r="F62" s="94"/>
      <c r="G62" s="94"/>
      <c r="H62" s="563"/>
      <c r="I62" s="479"/>
      <c r="J62" s="479"/>
      <c r="K62" s="479"/>
      <c r="L62" s="479"/>
      <c r="M62" s="492"/>
    </row>
    <row r="63" spans="1:13" s="398" customFormat="1" ht="15.75" customHeight="1">
      <c r="A63" s="561"/>
      <c r="D63" s="322"/>
      <c r="E63" s="94"/>
      <c r="F63" s="94"/>
      <c r="G63" s="94"/>
      <c r="H63" s="479"/>
      <c r="I63" s="479"/>
      <c r="J63" s="479"/>
      <c r="K63" s="479"/>
      <c r="L63" s="479"/>
      <c r="M63" s="492"/>
    </row>
    <row r="64" spans="1:13" s="398" customFormat="1" ht="15.75" customHeight="1" thickBot="1">
      <c r="A64" s="562"/>
      <c r="B64" s="379"/>
      <c r="C64" s="379"/>
      <c r="D64" s="560"/>
      <c r="E64" s="393"/>
      <c r="F64" s="393"/>
      <c r="G64" s="572"/>
      <c r="H64" s="572"/>
      <c r="I64" s="572"/>
      <c r="J64" s="572"/>
      <c r="K64" s="572"/>
      <c r="L64" s="572"/>
      <c r="M64" s="573"/>
    </row>
    <row r="65" spans="1:13" ht="15.75" customHeight="1" thickBot="1">
      <c r="A65" s="351"/>
      <c r="B65" s="125"/>
      <c r="C65" s="127"/>
      <c r="D65" s="41"/>
      <c r="E65" s="312"/>
      <c r="F65" s="312"/>
      <c r="G65" s="312"/>
      <c r="H65" s="39"/>
      <c r="I65" s="39"/>
      <c r="J65" s="39"/>
      <c r="K65" s="39"/>
      <c r="L65" s="39"/>
      <c r="M65" s="39"/>
    </row>
    <row r="66" spans="1:13" ht="15.75" customHeight="1">
      <c r="A66" s="362"/>
      <c r="B66" s="592" t="s">
        <v>53</v>
      </c>
      <c r="C66" s="98"/>
      <c r="D66" s="566" t="s">
        <v>334</v>
      </c>
      <c r="E66" s="382"/>
      <c r="F66" s="593" t="s">
        <v>105</v>
      </c>
      <c r="G66" s="606">
        <v>1</v>
      </c>
      <c r="H66" s="594" t="s">
        <v>102</v>
      </c>
      <c r="I66" s="334"/>
      <c r="J66" s="98"/>
      <c r="K66" s="98"/>
      <c r="L66" s="98"/>
      <c r="M66" s="99"/>
    </row>
    <row r="67" spans="1:13" ht="15.75" customHeight="1" thickBot="1">
      <c r="A67" s="595"/>
      <c r="B67" s="596"/>
      <c r="C67" s="597"/>
      <c r="D67" s="598"/>
      <c r="E67" s="379"/>
      <c r="F67" s="190"/>
      <c r="G67" s="607"/>
      <c r="H67" s="599"/>
      <c r="I67" s="276"/>
      <c r="J67" s="597"/>
      <c r="K67" s="597"/>
      <c r="L67" s="597"/>
      <c r="M67" s="600"/>
    </row>
    <row r="68" spans="1:13" ht="15.75" customHeight="1" thickBot="1">
      <c r="A68" s="322"/>
      <c r="B68" s="127"/>
      <c r="C68" s="127"/>
      <c r="D68" s="127"/>
      <c r="E68" s="127"/>
      <c r="F68" s="127"/>
      <c r="G68" s="127"/>
      <c r="H68" s="127"/>
      <c r="I68" s="39"/>
      <c r="J68" s="39"/>
      <c r="K68" s="39"/>
      <c r="L68" s="39"/>
      <c r="M68" s="39"/>
    </row>
    <row r="69" spans="1:13" ht="15.75" customHeight="1">
      <c r="A69" s="352"/>
      <c r="B69" s="592" t="s">
        <v>56</v>
      </c>
      <c r="C69" s="356"/>
      <c r="D69" s="308"/>
      <c r="E69" s="98"/>
      <c r="F69" s="98"/>
      <c r="G69" s="98"/>
      <c r="H69" s="98"/>
      <c r="I69" s="98"/>
      <c r="J69" s="98"/>
      <c r="K69" s="98"/>
      <c r="L69" s="98"/>
      <c r="M69" s="99"/>
    </row>
    <row r="70" spans="1:13" ht="15.75" customHeight="1">
      <c r="A70" s="340" t="str">
        <f>InputA!A70</f>
        <v>Source: Countrywide Insurance Expense Exhibit (IEE) Part 3</v>
      </c>
      <c r="B70" s="357"/>
      <c r="C70" s="353"/>
      <c r="D70" s="41"/>
      <c r="E70" s="100" t="str">
        <f>E$6</f>
        <v>Calendar Year</v>
      </c>
      <c r="F70" s="100"/>
      <c r="G70" s="100"/>
      <c r="H70" s="100"/>
      <c r="I70" s="100"/>
      <c r="J70" s="100"/>
      <c r="K70" s="100"/>
      <c r="L70" s="100"/>
      <c r="M70" s="101"/>
    </row>
    <row r="71" spans="1:13" ht="15.75" customHeight="1">
      <c r="A71" s="340" t="str">
        <f>InputA!A71</f>
        <v>   Line 19.1 (except Item 9)</v>
      </c>
      <c r="B71" s="472"/>
      <c r="C71" s="127"/>
      <c r="D71" s="472" t="s">
        <v>338</v>
      </c>
      <c r="E71" s="88">
        <f aca="true" t="shared" si="3" ref="E71:M71">E$7</f>
        <v>2023</v>
      </c>
      <c r="F71" s="88">
        <f t="shared" si="3"/>
        <v>2022</v>
      </c>
      <c r="G71" s="88">
        <f t="shared" si="3"/>
        <v>2021</v>
      </c>
      <c r="H71" s="88">
        <f t="shared" si="3"/>
        <v>2020</v>
      </c>
      <c r="I71" s="88">
        <f t="shared" si="3"/>
        <v>2019</v>
      </c>
      <c r="J71" s="88">
        <f t="shared" si="3"/>
        <v>2018</v>
      </c>
      <c r="K71" s="269">
        <f t="shared" si="3"/>
        <v>2017</v>
      </c>
      <c r="L71" s="269">
        <f t="shared" si="3"/>
        <v>2016</v>
      </c>
      <c r="M71" s="270">
        <f t="shared" si="3"/>
        <v>2015</v>
      </c>
    </row>
    <row r="72" spans="1:13" ht="15.75" customHeight="1">
      <c r="A72" s="302" t="s">
        <v>118</v>
      </c>
      <c r="B72" s="125" t="s">
        <v>339</v>
      </c>
      <c r="C72" s="286"/>
      <c r="D72" s="41"/>
      <c r="E72" s="25">
        <v>0</v>
      </c>
      <c r="F72" s="25">
        <v>0</v>
      </c>
      <c r="G72" s="25">
        <v>0</v>
      </c>
      <c r="H72" s="25">
        <v>0</v>
      </c>
      <c r="I72" s="25">
        <v>0</v>
      </c>
      <c r="J72" s="25">
        <v>0</v>
      </c>
      <c r="K72" s="25">
        <v>0</v>
      </c>
      <c r="L72" s="25">
        <v>0</v>
      </c>
      <c r="M72" s="27">
        <v>0</v>
      </c>
    </row>
    <row r="73" spans="1:13" ht="15.75" customHeight="1">
      <c r="A73" s="302" t="s">
        <v>119</v>
      </c>
      <c r="B73" s="125" t="s">
        <v>340</v>
      </c>
      <c r="C73" s="127"/>
      <c r="D73" s="41"/>
      <c r="E73" s="25">
        <v>0</v>
      </c>
      <c r="F73" s="25">
        <v>0</v>
      </c>
      <c r="G73" s="25">
        <v>0</v>
      </c>
      <c r="H73" s="25">
        <v>0</v>
      </c>
      <c r="I73" s="25">
        <v>0</v>
      </c>
      <c r="J73" s="25">
        <v>0</v>
      </c>
      <c r="K73" s="25">
        <v>0</v>
      </c>
      <c r="L73" s="25">
        <v>0</v>
      </c>
      <c r="M73" s="27">
        <v>0</v>
      </c>
    </row>
    <row r="74" spans="1:13" ht="15.75" customHeight="1" thickBot="1">
      <c r="A74" s="304" t="s">
        <v>121</v>
      </c>
      <c r="B74" s="358" t="s">
        <v>341</v>
      </c>
      <c r="C74" s="288"/>
      <c r="D74" s="130"/>
      <c r="E74" s="31">
        <v>0</v>
      </c>
      <c r="F74" s="31">
        <v>0</v>
      </c>
      <c r="G74" s="31">
        <v>0</v>
      </c>
      <c r="H74" s="31">
        <v>0</v>
      </c>
      <c r="I74" s="31">
        <v>0</v>
      </c>
      <c r="J74" s="31">
        <v>0</v>
      </c>
      <c r="K74" s="31">
        <v>0</v>
      </c>
      <c r="L74" s="31">
        <v>0</v>
      </c>
      <c r="M74" s="32">
        <v>0</v>
      </c>
    </row>
    <row r="75" spans="1:13" ht="15.75" customHeight="1">
      <c r="A75" s="305"/>
      <c r="B75" s="306"/>
      <c r="C75" s="307"/>
      <c r="D75" s="308"/>
      <c r="E75" s="309"/>
      <c r="F75" s="309"/>
      <c r="G75" s="309"/>
      <c r="H75" s="309"/>
      <c r="I75" s="309"/>
      <c r="J75" s="310"/>
      <c r="K75" s="310"/>
      <c r="L75" s="310"/>
      <c r="M75" s="310"/>
    </row>
    <row r="76" spans="1:13" s="15" customFormat="1" ht="15.75" customHeight="1" thickBot="1">
      <c r="A76" s="322"/>
      <c r="B76" s="125"/>
      <c r="C76" s="117"/>
      <c r="D76" s="41"/>
      <c r="E76" s="41"/>
      <c r="F76" s="41"/>
      <c r="G76" s="41"/>
      <c r="H76" s="41"/>
      <c r="I76" s="41"/>
      <c r="J76" s="41"/>
      <c r="K76" s="41"/>
      <c r="L76" s="41"/>
      <c r="M76" s="41"/>
    </row>
    <row r="77" spans="1:13" ht="15.75" customHeight="1">
      <c r="A77" s="352" t="s">
        <v>51</v>
      </c>
      <c r="B77" s="359"/>
      <c r="C77" s="356"/>
      <c r="D77" s="87"/>
      <c r="E77" s="271" t="s">
        <v>17</v>
      </c>
      <c r="F77" s="272"/>
      <c r="G77" s="271"/>
      <c r="H77" s="271"/>
      <c r="I77" s="271"/>
      <c r="J77" s="271"/>
      <c r="K77" s="271"/>
      <c r="L77" s="271"/>
      <c r="M77" s="273"/>
    </row>
    <row r="78" spans="1:13" ht="15.75" customHeight="1">
      <c r="A78" s="333" t="s">
        <v>337</v>
      </c>
      <c r="B78" s="360"/>
      <c r="C78" s="353"/>
      <c r="D78" s="41"/>
      <c r="E78" s="88">
        <f aca="true" t="shared" si="4" ref="E78:L78">E7</f>
        <v>2023</v>
      </c>
      <c r="F78" s="88">
        <f t="shared" si="4"/>
        <v>2022</v>
      </c>
      <c r="G78" s="88">
        <f t="shared" si="4"/>
        <v>2021</v>
      </c>
      <c r="H78" s="88">
        <f t="shared" si="4"/>
        <v>2020</v>
      </c>
      <c r="I78" s="88">
        <f t="shared" si="4"/>
        <v>2019</v>
      </c>
      <c r="J78" s="88">
        <f t="shared" si="4"/>
        <v>2018</v>
      </c>
      <c r="K78" s="88">
        <f t="shared" si="4"/>
        <v>2017</v>
      </c>
      <c r="L78" s="269">
        <f t="shared" si="4"/>
        <v>2016</v>
      </c>
      <c r="M78" s="274">
        <f>M7</f>
        <v>2015</v>
      </c>
    </row>
    <row r="79" spans="1:13" ht="15.75" customHeight="1">
      <c r="A79" s="381" t="str">
        <f>A71</f>
        <v>   Line 19.1 (except Item 9)</v>
      </c>
      <c r="B79" s="127"/>
      <c r="C79" s="127"/>
      <c r="D79" s="472" t="s">
        <v>338</v>
      </c>
      <c r="E79" s="127"/>
      <c r="F79" s="127"/>
      <c r="G79" s="127"/>
      <c r="H79" s="127"/>
      <c r="I79" s="127"/>
      <c r="J79" s="127"/>
      <c r="K79" s="127"/>
      <c r="L79" s="127"/>
      <c r="M79" s="275"/>
    </row>
    <row r="80" spans="1:13" ht="15.75" customHeight="1">
      <c r="A80" s="361" t="s">
        <v>118</v>
      </c>
      <c r="B80" s="323" t="s">
        <v>6</v>
      </c>
      <c r="C80" s="125" t="s">
        <v>183</v>
      </c>
      <c r="D80" s="41"/>
      <c r="E80" s="644">
        <f>InputA!E80</f>
        <v>0</v>
      </c>
      <c r="F80" s="644">
        <f>InputA!F80</f>
        <v>0</v>
      </c>
      <c r="G80" s="644">
        <f>InputA!G80</f>
        <v>0</v>
      </c>
      <c r="H80" s="644">
        <f>InputA!H80</f>
        <v>0</v>
      </c>
      <c r="I80" s="644">
        <f>InputA!I80</f>
        <v>0</v>
      </c>
      <c r="J80" s="644">
        <f>InputA!J80</f>
        <v>0</v>
      </c>
      <c r="K80" s="644">
        <f>InputA!K80</f>
        <v>0</v>
      </c>
      <c r="L80" s="39" t="s">
        <v>0</v>
      </c>
      <c r="M80" s="40" t="s">
        <v>0</v>
      </c>
    </row>
    <row r="81" spans="1:13" ht="15.75" customHeight="1">
      <c r="A81" s="361" t="str">
        <f>A80</f>
        <v>Col (1)</v>
      </c>
      <c r="B81" s="323" t="s">
        <v>1</v>
      </c>
      <c r="C81" s="125" t="s">
        <v>184</v>
      </c>
      <c r="D81" s="41"/>
      <c r="E81" s="644">
        <f>InputA!E81</f>
        <v>0</v>
      </c>
      <c r="F81" s="644">
        <f>InputA!F81</f>
        <v>0</v>
      </c>
      <c r="G81" s="644">
        <f>InputA!G81</f>
        <v>0</v>
      </c>
      <c r="H81" s="644">
        <f>InputA!H81</f>
        <v>0</v>
      </c>
      <c r="I81" s="644">
        <f>InputA!I81</f>
        <v>0</v>
      </c>
      <c r="J81" s="644">
        <f>InputA!J81</f>
        <v>0</v>
      </c>
      <c r="K81" s="644">
        <f>InputA!K81</f>
        <v>0</v>
      </c>
      <c r="L81" s="39" t="s">
        <v>0</v>
      </c>
      <c r="M81" s="40" t="s">
        <v>0</v>
      </c>
    </row>
    <row r="82" spans="1:13" ht="15.75" customHeight="1">
      <c r="A82" s="361" t="str">
        <f>A80</f>
        <v>Col (1)</v>
      </c>
      <c r="B82" s="323" t="s">
        <v>2</v>
      </c>
      <c r="C82" s="125" t="s">
        <v>185</v>
      </c>
      <c r="D82" s="41"/>
      <c r="E82" s="644">
        <f>InputA!E82</f>
        <v>0</v>
      </c>
      <c r="F82" s="644">
        <f>InputA!F82</f>
        <v>0</v>
      </c>
      <c r="G82" s="644">
        <f>InputA!G82</f>
        <v>0</v>
      </c>
      <c r="H82" s="644">
        <f>InputA!H82</f>
        <v>0</v>
      </c>
      <c r="I82" s="644">
        <f>InputA!I82</f>
        <v>0</v>
      </c>
      <c r="J82" s="644">
        <f>InputA!J82</f>
        <v>0</v>
      </c>
      <c r="K82" s="644">
        <f>InputA!K82</f>
        <v>0</v>
      </c>
      <c r="L82" s="39" t="s">
        <v>0</v>
      </c>
      <c r="M82" s="40" t="s">
        <v>0</v>
      </c>
    </row>
    <row r="83" spans="1:13" ht="15.75" customHeight="1">
      <c r="A83" s="361" t="str">
        <f>A80</f>
        <v>Col (1)</v>
      </c>
      <c r="B83" s="323" t="s">
        <v>7</v>
      </c>
      <c r="C83" s="125" t="s">
        <v>186</v>
      </c>
      <c r="D83" s="41"/>
      <c r="E83" s="644">
        <f>InputA!E83</f>
        <v>0</v>
      </c>
      <c r="F83" s="644">
        <f>InputA!F83</f>
        <v>0</v>
      </c>
      <c r="G83" s="644">
        <f>InputA!G83</f>
        <v>0</v>
      </c>
      <c r="H83" s="644">
        <f>InputA!H83</f>
        <v>0</v>
      </c>
      <c r="I83" s="644">
        <f>InputA!I83</f>
        <v>0</v>
      </c>
      <c r="J83" s="644">
        <f>InputA!J83</f>
        <v>0</v>
      </c>
      <c r="K83" s="644">
        <f>InputA!K83</f>
        <v>0</v>
      </c>
      <c r="L83" s="39" t="s">
        <v>0</v>
      </c>
      <c r="M83" s="40" t="s">
        <v>0</v>
      </c>
    </row>
    <row r="84" spans="1:13" ht="15.75" customHeight="1">
      <c r="A84" s="361" t="str">
        <f>A80</f>
        <v>Col (1)</v>
      </c>
      <c r="B84" s="323" t="s">
        <v>3</v>
      </c>
      <c r="C84" s="125" t="s">
        <v>187</v>
      </c>
      <c r="D84" s="41"/>
      <c r="E84" s="644">
        <f>InputA!E84</f>
        <v>0</v>
      </c>
      <c r="F84" s="644">
        <f>InputA!F84</f>
        <v>0</v>
      </c>
      <c r="G84" s="644">
        <f>InputA!G84</f>
        <v>0</v>
      </c>
      <c r="H84" s="644">
        <f>InputA!H84</f>
        <v>0</v>
      </c>
      <c r="I84" s="644">
        <f>InputA!I84</f>
        <v>0</v>
      </c>
      <c r="J84" s="644">
        <f>InputA!J84</f>
        <v>0</v>
      </c>
      <c r="K84" s="644">
        <f>InputA!K84</f>
        <v>0</v>
      </c>
      <c r="L84" s="39" t="s">
        <v>0</v>
      </c>
      <c r="M84" s="40" t="s">
        <v>0</v>
      </c>
    </row>
    <row r="85" spans="1:13" ht="15.75" customHeight="1">
      <c r="A85" s="361" t="str">
        <f>A80</f>
        <v>Col (1)</v>
      </c>
      <c r="B85" s="323" t="str">
        <f>Exh3B!$A$15</f>
        <v>Item 7</v>
      </c>
      <c r="C85" s="125" t="s">
        <v>188</v>
      </c>
      <c r="D85" s="41"/>
      <c r="E85" s="644">
        <f>InputA!E85</f>
        <v>0</v>
      </c>
      <c r="F85" s="644">
        <f>InputA!F85</f>
        <v>0</v>
      </c>
      <c r="G85" s="644">
        <f>InputA!G85</f>
        <v>0</v>
      </c>
      <c r="H85" s="644">
        <f>InputA!H85</f>
        <v>0</v>
      </c>
      <c r="I85" s="644">
        <f>InputA!I85</f>
        <v>0</v>
      </c>
      <c r="J85" s="644">
        <f>InputA!J85</f>
        <v>0</v>
      </c>
      <c r="K85" s="644">
        <f>InputA!K85</f>
        <v>0</v>
      </c>
      <c r="L85" s="39" t="s">
        <v>0</v>
      </c>
      <c r="M85" s="40" t="s">
        <v>0</v>
      </c>
    </row>
    <row r="86" spans="1:13" ht="15.75" customHeight="1">
      <c r="A86" s="361" t="str">
        <f>A81</f>
        <v>Col (1)</v>
      </c>
      <c r="B86" s="182" t="str">
        <f>Exh3B!$A$17</f>
        <v>Item 9</v>
      </c>
      <c r="C86" s="303" t="s">
        <v>225</v>
      </c>
      <c r="D86" s="41"/>
      <c r="E86" s="644">
        <f>InputA!E86</f>
        <v>0</v>
      </c>
      <c r="F86" s="644">
        <f>InputA!F86</f>
        <v>0</v>
      </c>
      <c r="G86" s="644">
        <f>InputA!G86</f>
        <v>0</v>
      </c>
      <c r="H86" s="644">
        <f>InputA!H86</f>
        <v>0</v>
      </c>
      <c r="I86" s="644">
        <f>InputA!I86</f>
        <v>0</v>
      </c>
      <c r="J86" s="644">
        <f>InputA!J86</f>
        <v>0</v>
      </c>
      <c r="K86" s="644">
        <f>InputA!K86</f>
        <v>0</v>
      </c>
      <c r="L86" s="39" t="s">
        <v>0</v>
      </c>
      <c r="M86" s="40" t="s">
        <v>0</v>
      </c>
    </row>
    <row r="87" spans="1:13" ht="15.75" customHeight="1">
      <c r="A87" s="361"/>
      <c r="B87" s="303"/>
      <c r="C87" s="117"/>
      <c r="D87" s="41"/>
      <c r="E87" s="183"/>
      <c r="F87" s="183"/>
      <c r="G87" s="183"/>
      <c r="H87" s="94"/>
      <c r="I87" s="39"/>
      <c r="J87" s="39"/>
      <c r="K87" s="39"/>
      <c r="L87" s="39"/>
      <c r="M87" s="40"/>
    </row>
    <row r="88" spans="1:13" ht="15.75" customHeight="1">
      <c r="A88" s="340" t="s">
        <v>379</v>
      </c>
      <c r="B88" s="303"/>
      <c r="C88" s="117"/>
      <c r="D88" s="41"/>
      <c r="E88" s="183"/>
      <c r="F88" s="183"/>
      <c r="G88" s="183"/>
      <c r="H88" s="94"/>
      <c r="I88" s="39"/>
      <c r="J88" s="39"/>
      <c r="K88" s="39"/>
      <c r="L88" s="39"/>
      <c r="M88" s="40"/>
    </row>
    <row r="89" spans="1:13" ht="15.75" customHeight="1">
      <c r="A89" s="361" t="s">
        <v>120</v>
      </c>
      <c r="B89" s="323" t="str">
        <f>B84</f>
        <v>Item 5</v>
      </c>
      <c r="C89" s="117" t="s">
        <v>125</v>
      </c>
      <c r="D89" s="41"/>
      <c r="E89" s="25">
        <v>0</v>
      </c>
      <c r="F89" s="25">
        <v>0</v>
      </c>
      <c r="G89" s="25">
        <v>0</v>
      </c>
      <c r="H89" s="25">
        <v>0</v>
      </c>
      <c r="I89" s="25">
        <v>0</v>
      </c>
      <c r="J89" s="25">
        <v>0</v>
      </c>
      <c r="K89" s="25">
        <v>0</v>
      </c>
      <c r="L89" s="39" t="s">
        <v>0</v>
      </c>
      <c r="M89" s="40" t="s">
        <v>0</v>
      </c>
    </row>
    <row r="90" spans="1:13" ht="15.75" customHeight="1">
      <c r="A90" s="361" t="str">
        <f>A89</f>
        <v>Col (3)</v>
      </c>
      <c r="B90" s="323" t="str">
        <f>B85</f>
        <v>Item 7</v>
      </c>
      <c r="C90" s="125" t="s">
        <v>128</v>
      </c>
      <c r="D90" s="41"/>
      <c r="E90" s="25">
        <v>0</v>
      </c>
      <c r="F90" s="25">
        <v>0</v>
      </c>
      <c r="G90" s="25">
        <v>0</v>
      </c>
      <c r="H90" s="25">
        <v>0</v>
      </c>
      <c r="I90" s="25">
        <v>0</v>
      </c>
      <c r="J90" s="25">
        <v>0</v>
      </c>
      <c r="K90" s="25">
        <v>0</v>
      </c>
      <c r="L90" s="39" t="s">
        <v>0</v>
      </c>
      <c r="M90" s="40" t="s">
        <v>0</v>
      </c>
    </row>
    <row r="91" spans="1:13" ht="15.75" customHeight="1">
      <c r="A91" s="182" t="str">
        <f>A89</f>
        <v>Col (3)</v>
      </c>
      <c r="B91" s="182" t="str">
        <f>Exh3B!$A$17</f>
        <v>Item 9</v>
      </c>
      <c r="C91" s="303" t="s">
        <v>224</v>
      </c>
      <c r="D91" s="41"/>
      <c r="E91" s="25">
        <v>0</v>
      </c>
      <c r="F91" s="25">
        <v>0</v>
      </c>
      <c r="G91" s="25">
        <v>0</v>
      </c>
      <c r="H91" s="25">
        <v>0</v>
      </c>
      <c r="I91" s="25">
        <v>0</v>
      </c>
      <c r="J91" s="25">
        <v>0</v>
      </c>
      <c r="K91" s="25">
        <v>0</v>
      </c>
      <c r="L91" s="39" t="s">
        <v>0</v>
      </c>
      <c r="M91" s="40" t="s">
        <v>0</v>
      </c>
    </row>
    <row r="92" spans="1:13" ht="15.75" customHeight="1">
      <c r="A92" s="176" t="str">
        <f>A89</f>
        <v>Col (3)</v>
      </c>
      <c r="B92" s="182" t="str">
        <f>Exh3B!$A$18</f>
        <v>Item 10</v>
      </c>
      <c r="C92" s="125" t="s">
        <v>129</v>
      </c>
      <c r="D92" s="41"/>
      <c r="E92" s="25">
        <v>0</v>
      </c>
      <c r="F92" s="25">
        <v>0</v>
      </c>
      <c r="G92" s="25">
        <v>0</v>
      </c>
      <c r="H92" s="25">
        <v>0</v>
      </c>
      <c r="I92" s="25">
        <v>0</v>
      </c>
      <c r="J92" s="25">
        <v>0</v>
      </c>
      <c r="K92" s="25">
        <v>0</v>
      </c>
      <c r="L92" s="39" t="s">
        <v>0</v>
      </c>
      <c r="M92" s="40" t="s">
        <v>0</v>
      </c>
    </row>
    <row r="93" spans="1:13" ht="15.75" customHeight="1">
      <c r="A93" s="176"/>
      <c r="B93" s="182"/>
      <c r="C93" s="125"/>
      <c r="D93" s="41"/>
      <c r="E93" s="25"/>
      <c r="F93" s="25"/>
      <c r="G93" s="25"/>
      <c r="H93" s="39"/>
      <c r="I93" s="39"/>
      <c r="J93" s="39"/>
      <c r="K93" s="39"/>
      <c r="L93" s="39"/>
      <c r="M93" s="40"/>
    </row>
  </sheetData>
  <sheetProtection/>
  <protectedRanges>
    <protectedRange sqref="E89:K92" name="Range20"/>
    <protectedRange sqref="E72:M74" name="Range19"/>
    <protectedRange sqref="G66:G67" name="Range18"/>
    <protectedRange sqref="E60:J60" name="Range17"/>
    <protectedRange sqref="E59:K59" name="Range16"/>
    <protectedRange sqref="E58:L58" name="Range15"/>
    <protectedRange sqref="E57:M57" name="Range14"/>
    <protectedRange sqref="E53:F53" name="Range13"/>
    <protectedRange sqref="E52:G52" name="Range12"/>
    <protectedRange sqref="E51:H51" name="Range11"/>
    <protectedRange sqref="E50:I50" name="Range10"/>
    <protectedRange sqref="E49:J49" name="Range9"/>
    <protectedRange sqref="E48:K48" name="Range8"/>
    <protectedRange sqref="E47:L47" name="Range7"/>
    <protectedRange sqref="E46:M46" name="Range6"/>
    <protectedRange sqref="E38:M39" name="Range5"/>
    <protectedRange sqref="E33:M34" name="Range4"/>
    <protectedRange sqref="E20:M29" name="Range3"/>
    <protectedRange sqref="E15:M16" name="Range2"/>
    <protectedRange sqref="E10:M11" name="Range1"/>
  </protectedRanges>
  <printOptions headings="1"/>
  <pageMargins left="0.5" right="0.5" top="0.5" bottom="0.5" header="0.5" footer="0.5"/>
  <pageSetup horizontalDpi="600" verticalDpi="600" orientation="landscape" scale="46" r:id="rId1"/>
  <headerFooter alignWithMargins="0">
    <oddFooter>&amp;L&amp;D&amp;RPage &amp;P of &amp;N</oddFooter>
  </headerFooter>
  <rowBreaks count="2" manualBreakCount="2">
    <brk id="41" max="12" man="1"/>
    <brk id="76" max="12" man="1"/>
  </rowBreaks>
  <ignoredErrors>
    <ignoredError sqref="E80:K86" unlockedFormula="1"/>
  </ignoredErrors>
</worksheet>
</file>

<file path=xl/worksheets/sheet4.xml><?xml version="1.0" encoding="utf-8"?>
<worksheet xmlns="http://schemas.openxmlformats.org/spreadsheetml/2006/main" xmlns:r="http://schemas.openxmlformats.org/officeDocument/2006/relationships">
  <sheetPr codeName="Sheet7" transitionEvaluation="1"/>
  <dimension ref="A1:M94"/>
  <sheetViews>
    <sheetView view="pageBreakPreview" zoomScale="85" zoomScaleNormal="75" zoomScaleSheetLayoutView="85" zoomScalePageLayoutView="0" workbookViewId="0" topLeftCell="A1">
      <selection activeCell="B3" sqref="B3"/>
    </sheetView>
  </sheetViews>
  <sheetFormatPr defaultColWidth="9.7109375" defaultRowHeight="15.75" customHeight="1"/>
  <cols>
    <col min="1" max="2" width="14.7109375" style="14" customWidth="1"/>
    <col min="3" max="3" width="14.57421875" style="14" customWidth="1"/>
    <col min="4" max="4" width="28.7109375" style="14" customWidth="1"/>
    <col min="5" max="13" width="20.7109375" style="14" customWidth="1"/>
    <col min="14" max="16384" width="9.7109375" style="14" customWidth="1"/>
  </cols>
  <sheetData>
    <row r="1" spans="1:13" ht="15.75" customHeight="1">
      <c r="A1" s="699" t="str">
        <f>InputB!$A$1</f>
        <v>Group Name:</v>
      </c>
      <c r="B1" s="104"/>
      <c r="C1" s="325" t="str">
        <f>InputB!$C$1</f>
        <v>enter group name here</v>
      </c>
      <c r="D1" s="105"/>
      <c r="E1"/>
      <c r="F1"/>
      <c r="G1"/>
      <c r="H1"/>
      <c r="I1"/>
      <c r="J1"/>
      <c r="K1"/>
      <c r="L1"/>
      <c r="M1" s="193" t="str">
        <f>InputB!$M$1</f>
        <v>Input Sheet</v>
      </c>
    </row>
    <row r="2" spans="1:13" ht="15.75" customHeight="1">
      <c r="A2" s="104" t="str">
        <f>InputB!$A$2</f>
        <v>Group NAIC #:</v>
      </c>
      <c r="B2" s="104"/>
      <c r="C2" s="325" t="str">
        <f>InputB!$C$2</f>
        <v>enter group # here</v>
      </c>
      <c r="D2" s="105"/>
      <c r="E2"/>
      <c r="F2"/>
      <c r="G2"/>
      <c r="H2"/>
      <c r="I2"/>
      <c r="J2"/>
      <c r="K2"/>
      <c r="L2"/>
      <c r="M2" s="193" t="s">
        <v>182</v>
      </c>
    </row>
    <row r="3" spans="1:13" ht="15.75" customHeight="1">
      <c r="A3" s="104" t="str">
        <f>InputB!$A$3</f>
        <v>Year Filed:</v>
      </c>
      <c r="B3" s="104"/>
      <c r="C3" s="337">
        <f>InputB!$C$3</f>
        <v>2024</v>
      </c>
      <c r="D3" s="110"/>
      <c r="E3"/>
      <c r="F3"/>
      <c r="G3"/>
      <c r="H3"/>
      <c r="I3"/>
      <c r="J3"/>
      <c r="K3"/>
      <c r="L3"/>
      <c r="M3" s="193" t="s">
        <v>364</v>
      </c>
    </row>
    <row r="4" spans="1:13" ht="15.75" customHeight="1">
      <c r="A4" s="104"/>
      <c r="B4" s="104"/>
      <c r="C4" s="325"/>
      <c r="D4" s="110"/>
      <c r="E4" s="103"/>
      <c r="F4" s="103"/>
      <c r="G4" s="127"/>
      <c r="H4" s="326"/>
      <c r="I4" s="103"/>
      <c r="J4" s="103"/>
      <c r="K4" s="103"/>
      <c r="L4" s="103"/>
      <c r="M4" s="103"/>
    </row>
    <row r="5" spans="1:13" ht="15.75" customHeight="1" thickBot="1">
      <c r="A5" s="103"/>
      <c r="B5" s="103"/>
      <c r="C5" s="103"/>
      <c r="D5" s="103"/>
      <c r="E5" s="103"/>
      <c r="F5" s="288"/>
      <c r="G5" s="288"/>
      <c r="H5" s="288"/>
      <c r="I5" s="288"/>
      <c r="J5" s="288"/>
      <c r="K5" s="288"/>
      <c r="L5" s="288"/>
      <c r="M5" s="288"/>
    </row>
    <row r="6" spans="1:13" ht="15.75" customHeight="1">
      <c r="A6" s="327" t="str">
        <f>InputB!$A$6</f>
        <v>Exhibit 1</v>
      </c>
      <c r="B6" s="328"/>
      <c r="C6" s="329"/>
      <c r="D6" s="329"/>
      <c r="E6" s="330" t="str">
        <f>InputB!$E$6</f>
        <v>Calendar Year</v>
      </c>
      <c r="F6" s="330"/>
      <c r="G6" s="330"/>
      <c r="H6" s="330"/>
      <c r="I6" s="330"/>
      <c r="J6" s="330"/>
      <c r="K6" s="330"/>
      <c r="L6" s="330"/>
      <c r="M6" s="331"/>
    </row>
    <row r="7" spans="1:13" ht="15.75" customHeight="1">
      <c r="A7" s="340" t="s">
        <v>387</v>
      </c>
      <c r="B7" s="283"/>
      <c r="C7" s="283"/>
      <c r="D7" s="283"/>
      <c r="E7" s="283">
        <f>ReportYear-1</f>
        <v>2023</v>
      </c>
      <c r="F7" s="283">
        <f>ReportYear-2</f>
        <v>2022</v>
      </c>
      <c r="G7" s="283">
        <f>ReportYear-3</f>
        <v>2021</v>
      </c>
      <c r="H7" s="283">
        <f>ReportYear-4</f>
        <v>2020</v>
      </c>
      <c r="I7" s="283">
        <f>ReportYear-5</f>
        <v>2019</v>
      </c>
      <c r="J7" s="283">
        <f>ReportYear-6</f>
        <v>2018</v>
      </c>
      <c r="K7" s="283">
        <f>ReportYear-7</f>
        <v>2017</v>
      </c>
      <c r="L7" s="283">
        <f>ReportYear-8</f>
        <v>2016</v>
      </c>
      <c r="M7" s="301">
        <f>ReportYear-9</f>
        <v>2015</v>
      </c>
    </row>
    <row r="8" spans="1:13" ht="15.75" customHeight="1">
      <c r="A8" s="289"/>
      <c r="B8" s="35"/>
      <c r="C8" s="295"/>
      <c r="D8" s="295"/>
      <c r="E8" s="294"/>
      <c r="F8" s="20"/>
      <c r="G8" s="20"/>
      <c r="H8" s="20"/>
      <c r="I8" s="20"/>
      <c r="J8" s="20"/>
      <c r="K8" s="20"/>
      <c r="L8" s="20"/>
      <c r="M8" s="21"/>
    </row>
    <row r="9" spans="1:13" ht="15.75" customHeight="1">
      <c r="A9" s="291" t="str">
        <f>InputB!$A9</f>
        <v>Direct Written Premium</v>
      </c>
      <c r="B9" s="553"/>
      <c r="C9" s="35"/>
      <c r="D9" s="35"/>
      <c r="E9" s="35"/>
      <c r="F9" s="35"/>
      <c r="G9" s="35"/>
      <c r="H9" s="35"/>
      <c r="I9" s="35"/>
      <c r="J9" s="35"/>
      <c r="K9" s="35"/>
      <c r="L9" s="35"/>
      <c r="M9" s="332"/>
    </row>
    <row r="10" spans="1:13" ht="15.75" customHeight="1">
      <c r="A10" s="292" t="str">
        <f>InputB!$A10</f>
        <v>Col (1)</v>
      </c>
      <c r="B10" s="78" t="str">
        <f>InputB!$B10</f>
        <v>Item 1</v>
      </c>
      <c r="C10" s="290" t="str">
        <f>InputB!$C10</f>
        <v>Total from the Annual Statement</v>
      </c>
      <c r="D10" s="290"/>
      <c r="E10" s="25">
        <v>0</v>
      </c>
      <c r="F10" s="25">
        <v>0</v>
      </c>
      <c r="G10" s="25">
        <v>0</v>
      </c>
      <c r="H10" s="25">
        <v>0</v>
      </c>
      <c r="I10" s="25">
        <v>0</v>
      </c>
      <c r="J10" s="25">
        <v>0</v>
      </c>
      <c r="K10" s="25">
        <v>0</v>
      </c>
      <c r="L10" s="25">
        <v>0</v>
      </c>
      <c r="M10" s="26">
        <v>0</v>
      </c>
    </row>
    <row r="11" spans="1:13" ht="15.75" customHeight="1">
      <c r="A11" s="292" t="str">
        <f>InputB!$A11</f>
        <v>Col (1)</v>
      </c>
      <c r="B11" s="78" t="s">
        <v>1</v>
      </c>
      <c r="C11" s="290" t="str">
        <f>InputB!$C11</f>
        <v>Excluded Types included in Item 1</v>
      </c>
      <c r="D11" s="290"/>
      <c r="E11" s="25">
        <v>0</v>
      </c>
      <c r="F11" s="25">
        <v>0</v>
      </c>
      <c r="G11" s="25">
        <v>0</v>
      </c>
      <c r="H11" s="25">
        <v>0</v>
      </c>
      <c r="I11" s="25">
        <v>0</v>
      </c>
      <c r="J11" s="25">
        <v>0</v>
      </c>
      <c r="K11" s="25">
        <v>0</v>
      </c>
      <c r="L11" s="25">
        <v>0</v>
      </c>
      <c r="M11" s="26">
        <v>0</v>
      </c>
    </row>
    <row r="12" spans="1:13" ht="15.75" customHeight="1">
      <c r="A12" s="292" t="str">
        <f>InputB!$A12</f>
        <v>Col (1)</v>
      </c>
      <c r="B12" s="78" t="str">
        <f>InputB!$B12</f>
        <v>Item 4</v>
      </c>
      <c r="C12" s="290" t="str">
        <f>InputB!$C12</f>
        <v>UCJF Assessments (19.1/PIP only)</v>
      </c>
      <c r="D12" s="290"/>
      <c r="E12" s="28" t="str">
        <f>InputB!$E$12</f>
        <v>XXX</v>
      </c>
      <c r="F12" s="28" t="str">
        <f>InputB!$E$12</f>
        <v>XXX</v>
      </c>
      <c r="G12" s="28" t="str">
        <f>InputB!$E$12</f>
        <v>XXX</v>
      </c>
      <c r="H12" s="28" t="str">
        <f>InputB!$E$12</f>
        <v>XXX</v>
      </c>
      <c r="I12" s="28" t="str">
        <f>InputB!$E$12</f>
        <v>XXX</v>
      </c>
      <c r="J12" s="28" t="str">
        <f>InputB!$E$12</f>
        <v>XXX</v>
      </c>
      <c r="K12" s="28" t="str">
        <f>InputB!$E$12</f>
        <v>XXX</v>
      </c>
      <c r="L12" s="28" t="str">
        <f>InputB!$E$12</f>
        <v>XXX</v>
      </c>
      <c r="M12" s="29" t="str">
        <f>InputB!$E$12</f>
        <v>XXX</v>
      </c>
    </row>
    <row r="13" spans="1:13" ht="15.75" customHeight="1">
      <c r="A13" s="289">
        <f>InputB!$A$13</f>
      </c>
      <c r="B13" s="78"/>
      <c r="C13" s="35"/>
      <c r="D13" s="35"/>
      <c r="E13" s="94"/>
      <c r="F13" s="94"/>
      <c r="G13" s="94"/>
      <c r="H13" s="94"/>
      <c r="I13" s="94"/>
      <c r="J13" s="94"/>
      <c r="K13" s="94"/>
      <c r="L13" s="94"/>
      <c r="M13" s="102"/>
    </row>
    <row r="14" spans="1:13" ht="15.75" customHeight="1">
      <c r="A14" s="291" t="str">
        <f>InputB!$A14</f>
        <v>Direct Earned Premium</v>
      </c>
      <c r="B14" s="553"/>
      <c r="C14" s="35"/>
      <c r="D14" s="35"/>
      <c r="E14" s="94"/>
      <c r="F14" s="94"/>
      <c r="G14" s="94"/>
      <c r="H14" s="94"/>
      <c r="I14" s="94"/>
      <c r="J14" s="94"/>
      <c r="K14" s="94"/>
      <c r="L14" s="94"/>
      <c r="M14" s="102"/>
    </row>
    <row r="15" spans="1:13" ht="15.75" customHeight="1">
      <c r="A15" s="292" t="str">
        <f>InputB!$A15</f>
        <v>Col (2)</v>
      </c>
      <c r="B15" s="78" t="str">
        <f>InputB!$B15</f>
        <v>Item 1</v>
      </c>
      <c r="C15" s="290" t="str">
        <f>InputB!$C15</f>
        <v>Total from the Annual Statement</v>
      </c>
      <c r="D15" s="290"/>
      <c r="E15" s="25">
        <v>0</v>
      </c>
      <c r="F15" s="25">
        <v>0</v>
      </c>
      <c r="G15" s="25">
        <v>0</v>
      </c>
      <c r="H15" s="25">
        <v>0</v>
      </c>
      <c r="I15" s="25">
        <v>0</v>
      </c>
      <c r="J15" s="25">
        <v>0</v>
      </c>
      <c r="K15" s="25">
        <v>0</v>
      </c>
      <c r="L15" s="25">
        <v>0</v>
      </c>
      <c r="M15" s="26">
        <v>0</v>
      </c>
    </row>
    <row r="16" spans="1:13" ht="15.75" customHeight="1">
      <c r="A16" s="292" t="str">
        <f>InputB!$A16</f>
        <v>Col (2)</v>
      </c>
      <c r="B16" s="78" t="str">
        <f>InputB!$B16</f>
        <v>Item 2</v>
      </c>
      <c r="C16" s="290" t="str">
        <f>InputB!$C16</f>
        <v>Excluded Types included in Item 1</v>
      </c>
      <c r="D16" s="290"/>
      <c r="E16" s="25">
        <v>0</v>
      </c>
      <c r="F16" s="25">
        <v>0</v>
      </c>
      <c r="G16" s="25">
        <v>0</v>
      </c>
      <c r="H16" s="25">
        <v>0</v>
      </c>
      <c r="I16" s="25">
        <v>0</v>
      </c>
      <c r="J16" s="25">
        <v>0</v>
      </c>
      <c r="K16" s="25">
        <v>0</v>
      </c>
      <c r="L16" s="25">
        <v>0</v>
      </c>
      <c r="M16" s="27">
        <v>0</v>
      </c>
    </row>
    <row r="17" spans="1:13" ht="15.75" customHeight="1">
      <c r="A17" s="292" t="str">
        <f>InputB!$A17</f>
        <v>Col (2)</v>
      </c>
      <c r="B17" s="78" t="str">
        <f>InputB!$B17</f>
        <v>Item 4</v>
      </c>
      <c r="C17" s="290" t="str">
        <f>InputB!$C17</f>
        <v>UCJF Assessments (19.1/PIP only)</v>
      </c>
      <c r="D17" s="290"/>
      <c r="E17" s="28" t="str">
        <f aca="true" t="shared" si="0" ref="E17:M17">E12</f>
        <v>XXX</v>
      </c>
      <c r="F17" s="28" t="str">
        <f t="shared" si="0"/>
        <v>XXX</v>
      </c>
      <c r="G17" s="28" t="str">
        <f t="shared" si="0"/>
        <v>XXX</v>
      </c>
      <c r="H17" s="28" t="str">
        <f t="shared" si="0"/>
        <v>XXX</v>
      </c>
      <c r="I17" s="28" t="str">
        <f t="shared" si="0"/>
        <v>XXX</v>
      </c>
      <c r="J17" s="28" t="str">
        <f t="shared" si="0"/>
        <v>XXX</v>
      </c>
      <c r="K17" s="28" t="str">
        <f t="shared" si="0"/>
        <v>XXX</v>
      </c>
      <c r="L17" s="28" t="str">
        <f t="shared" si="0"/>
        <v>XXX</v>
      </c>
      <c r="M17" s="29" t="str">
        <f t="shared" si="0"/>
        <v>XXX</v>
      </c>
    </row>
    <row r="18" spans="1:13" ht="15.75" customHeight="1">
      <c r="A18" s="292">
        <f>InputB!$A$18</f>
      </c>
      <c r="B18" s="311"/>
      <c r="C18" s="35"/>
      <c r="D18" s="35"/>
      <c r="E18" s="94"/>
      <c r="F18" s="94"/>
      <c r="G18" s="94"/>
      <c r="H18" s="94"/>
      <c r="I18" s="94"/>
      <c r="J18" s="94"/>
      <c r="K18" s="94"/>
      <c r="L18" s="94"/>
      <c r="M18" s="95"/>
    </row>
    <row r="19" spans="1:13" ht="15.75" customHeight="1">
      <c r="A19" s="291" t="str">
        <f>InputB!$A19</f>
        <v>Paid Dividends (incl. Excess Profit Refunds)</v>
      </c>
      <c r="B19" s="553"/>
      <c r="C19" s="35"/>
      <c r="D19" s="35"/>
      <c r="E19" s="94"/>
      <c r="F19" s="94"/>
      <c r="G19" s="94"/>
      <c r="H19" s="94"/>
      <c r="I19" s="94"/>
      <c r="J19" s="94"/>
      <c r="K19" s="94"/>
      <c r="L19" s="94"/>
      <c r="M19" s="95"/>
    </row>
    <row r="20" spans="1:13" ht="15.75" customHeight="1">
      <c r="A20" s="292" t="str">
        <f>InputB!$A20</f>
        <v>Col (3A)</v>
      </c>
      <c r="B20" s="78" t="str">
        <f>InputB!$B20</f>
        <v>Item 1</v>
      </c>
      <c r="C20" s="290" t="str">
        <f>InputB!$C20</f>
        <v>Total from the Annual Statement</v>
      </c>
      <c r="D20" s="35"/>
      <c r="E20" s="25">
        <v>0</v>
      </c>
      <c r="F20" s="25">
        <v>0</v>
      </c>
      <c r="G20" s="25">
        <v>0</v>
      </c>
      <c r="H20" s="25">
        <v>0</v>
      </c>
      <c r="I20" s="25">
        <v>0</v>
      </c>
      <c r="J20" s="25">
        <v>0</v>
      </c>
      <c r="K20" s="25">
        <v>0</v>
      </c>
      <c r="L20" s="25">
        <v>0</v>
      </c>
      <c r="M20" s="26">
        <v>0</v>
      </c>
    </row>
    <row r="21" spans="1:13" ht="15.75" customHeight="1">
      <c r="A21" s="292" t="str">
        <f>InputB!$A21</f>
        <v>Col (3A)</v>
      </c>
      <c r="B21" s="78" t="str">
        <f>InputB!$B21</f>
        <v>Item 2</v>
      </c>
      <c r="C21" s="290" t="str">
        <f>InputB!$C21</f>
        <v>Excluded Types included in Item 1</v>
      </c>
      <c r="D21" s="35"/>
      <c r="E21" s="25">
        <v>0</v>
      </c>
      <c r="F21" s="25">
        <v>0</v>
      </c>
      <c r="G21" s="25">
        <v>0</v>
      </c>
      <c r="H21" s="25">
        <v>0</v>
      </c>
      <c r="I21" s="25">
        <v>0</v>
      </c>
      <c r="J21" s="25">
        <v>0</v>
      </c>
      <c r="K21" s="25">
        <v>0</v>
      </c>
      <c r="L21" s="25">
        <v>0</v>
      </c>
      <c r="M21" s="27">
        <v>0</v>
      </c>
    </row>
    <row r="22" spans="1:13" ht="15.75" customHeight="1">
      <c r="A22" s="292">
        <f>InputB!$A$22</f>
      </c>
      <c r="B22" s="78"/>
      <c r="C22" s="35"/>
      <c r="D22" s="35"/>
      <c r="E22" s="94"/>
      <c r="F22" s="94"/>
      <c r="G22" s="94"/>
      <c r="H22" s="94"/>
      <c r="I22" s="94"/>
      <c r="J22" s="94"/>
      <c r="K22" s="94"/>
      <c r="L22" s="94"/>
      <c r="M22" s="95"/>
    </row>
    <row r="23" spans="1:13" ht="15.75" customHeight="1">
      <c r="A23" s="291" t="str">
        <f>InputB!$A23</f>
        <v>Declared, but Unpaid Dividends (incl. Excess Profit Refunds)</v>
      </c>
      <c r="B23" s="553"/>
      <c r="C23" s="35"/>
      <c r="D23" s="35"/>
      <c r="E23" s="94"/>
      <c r="F23" s="94"/>
      <c r="G23" s="94"/>
      <c r="H23" s="94"/>
      <c r="I23" s="94"/>
      <c r="J23" s="94"/>
      <c r="K23" s="94"/>
      <c r="L23" s="94"/>
      <c r="M23" s="95"/>
    </row>
    <row r="24" spans="1:13" ht="15.75" customHeight="1">
      <c r="A24" s="292" t="str">
        <f>InputB!$A24</f>
        <v>Col (3B)</v>
      </c>
      <c r="B24" s="78" t="str">
        <f>InputB!$B24</f>
        <v>Item 1</v>
      </c>
      <c r="C24" s="290" t="s">
        <v>18</v>
      </c>
      <c r="D24" s="35"/>
      <c r="E24" s="25">
        <v>0</v>
      </c>
      <c r="F24" s="25">
        <v>0</v>
      </c>
      <c r="G24" s="25">
        <v>0</v>
      </c>
      <c r="H24" s="25">
        <v>0</v>
      </c>
      <c r="I24" s="25">
        <v>0</v>
      </c>
      <c r="J24" s="25">
        <v>0</v>
      </c>
      <c r="K24" s="25">
        <v>0</v>
      </c>
      <c r="L24" s="25">
        <v>0</v>
      </c>
      <c r="M24" s="27">
        <v>0</v>
      </c>
    </row>
    <row r="25" spans="1:13" ht="15.75" customHeight="1">
      <c r="A25" s="292" t="str">
        <f>InputB!$A25</f>
        <v>Col (3B)</v>
      </c>
      <c r="B25" s="78" t="str">
        <f>InputB!$B25</f>
        <v>Item 2</v>
      </c>
      <c r="C25" s="290" t="str">
        <f>InputB!$C25</f>
        <v>Excluded Types included in Item 1</v>
      </c>
      <c r="D25" s="35"/>
      <c r="E25" s="25">
        <v>0</v>
      </c>
      <c r="F25" s="25">
        <v>0</v>
      </c>
      <c r="G25" s="25">
        <v>0</v>
      </c>
      <c r="H25" s="25">
        <v>0</v>
      </c>
      <c r="I25" s="25">
        <v>0</v>
      </c>
      <c r="J25" s="25">
        <v>0</v>
      </c>
      <c r="K25" s="25">
        <v>0</v>
      </c>
      <c r="L25" s="25">
        <v>0</v>
      </c>
      <c r="M25" s="27">
        <v>0</v>
      </c>
    </row>
    <row r="26" spans="1:13" ht="15.75" customHeight="1">
      <c r="A26" s="289">
        <f>InputB!$A$26</f>
      </c>
      <c r="B26" s="78"/>
      <c r="C26" s="35"/>
      <c r="D26" s="35"/>
      <c r="E26" s="35"/>
      <c r="F26" s="35"/>
      <c r="G26" s="35"/>
      <c r="H26" s="35"/>
      <c r="I26" s="35"/>
      <c r="J26" s="35"/>
      <c r="K26" s="35"/>
      <c r="L26" s="35"/>
      <c r="M26" s="332"/>
    </row>
    <row r="27" spans="1:13" ht="15.75" customHeight="1">
      <c r="A27" s="291" t="str">
        <f>InputB!$A27</f>
        <v>Direct Unearned Premium Reserves</v>
      </c>
      <c r="B27" s="553"/>
      <c r="C27" s="35"/>
      <c r="D27" s="35"/>
      <c r="E27" s="94"/>
      <c r="F27" s="94"/>
      <c r="G27" s="94"/>
      <c r="H27" s="94"/>
      <c r="I27" s="94"/>
      <c r="J27" s="94"/>
      <c r="K27" s="94"/>
      <c r="L27" s="94"/>
      <c r="M27" s="95"/>
    </row>
    <row r="28" spans="1:13" ht="15.75" customHeight="1">
      <c r="A28" s="292" t="str">
        <f>InputB!$A28</f>
        <v>Col (4)</v>
      </c>
      <c r="B28" s="78" t="str">
        <f>InputB!$B28</f>
        <v>Item 1</v>
      </c>
      <c r="C28" s="290" t="str">
        <f>InputB!$C28</f>
        <v>Total from the Annual Statement</v>
      </c>
      <c r="D28" s="35"/>
      <c r="E28" s="25">
        <v>0</v>
      </c>
      <c r="F28" s="25">
        <v>0</v>
      </c>
      <c r="G28" s="25">
        <v>0</v>
      </c>
      <c r="H28" s="25">
        <v>0</v>
      </c>
      <c r="I28" s="25">
        <v>0</v>
      </c>
      <c r="J28" s="25">
        <v>0</v>
      </c>
      <c r="K28" s="25">
        <v>0</v>
      </c>
      <c r="L28" s="25">
        <v>0</v>
      </c>
      <c r="M28" s="26">
        <v>0</v>
      </c>
    </row>
    <row r="29" spans="1:13" ht="15.75" customHeight="1">
      <c r="A29" s="292" t="str">
        <f>InputB!$A29</f>
        <v>Col (4)</v>
      </c>
      <c r="B29" s="78" t="str">
        <f>InputB!$B29</f>
        <v>Item 2</v>
      </c>
      <c r="C29" s="290" t="str">
        <f>InputB!$C29</f>
        <v>Excluded Types included in Item 1</v>
      </c>
      <c r="D29" s="35"/>
      <c r="E29" s="25">
        <v>0</v>
      </c>
      <c r="F29" s="25">
        <v>0</v>
      </c>
      <c r="G29" s="25">
        <v>0</v>
      </c>
      <c r="H29" s="25">
        <v>0</v>
      </c>
      <c r="I29" s="25">
        <v>0</v>
      </c>
      <c r="J29" s="25">
        <v>0</v>
      </c>
      <c r="K29" s="25">
        <v>0</v>
      </c>
      <c r="L29" s="25">
        <v>0</v>
      </c>
      <c r="M29" s="27">
        <v>0</v>
      </c>
    </row>
    <row r="30" spans="1:13" ht="15.75" customHeight="1">
      <c r="A30" s="487" t="str">
        <f>A29</f>
        <v>Col (4)</v>
      </c>
      <c r="B30" s="552" t="str">
        <f>B$12</f>
        <v>Item 4</v>
      </c>
      <c r="C30" s="488" t="str">
        <f>C$12</f>
        <v>UCJF Assessments (19.1/PIP only)</v>
      </c>
      <c r="D30" s="489"/>
      <c r="E30" s="490" t="str">
        <f>$E$12</f>
        <v>XXX</v>
      </c>
      <c r="F30" s="490" t="str">
        <f>$E$12</f>
        <v>XXX</v>
      </c>
      <c r="G30" s="490" t="str">
        <f aca="true" t="shared" si="1" ref="G30:M30">$E$12</f>
        <v>XXX</v>
      </c>
      <c r="H30" s="490" t="str">
        <f t="shared" si="1"/>
        <v>XXX</v>
      </c>
      <c r="I30" s="490" t="str">
        <f t="shared" si="1"/>
        <v>XXX</v>
      </c>
      <c r="J30" s="490" t="str">
        <f t="shared" si="1"/>
        <v>XXX</v>
      </c>
      <c r="K30" s="490" t="str">
        <f t="shared" si="1"/>
        <v>XXX</v>
      </c>
      <c r="L30" s="490" t="str">
        <f t="shared" si="1"/>
        <v>XXX</v>
      </c>
      <c r="M30" s="491" t="str">
        <f t="shared" si="1"/>
        <v>XXX</v>
      </c>
    </row>
    <row r="31" spans="1:13" ht="15.75" customHeight="1">
      <c r="A31" s="289">
        <f>InputB!$A$31</f>
      </c>
      <c r="B31" s="78"/>
      <c r="C31" s="35"/>
      <c r="D31" s="35"/>
      <c r="E31" s="94"/>
      <c r="F31" s="94"/>
      <c r="G31" s="94"/>
      <c r="H31" s="94"/>
      <c r="I31" s="94"/>
      <c r="J31" s="94"/>
      <c r="K31" s="94"/>
      <c r="L31" s="94"/>
      <c r="M31" s="95"/>
    </row>
    <row r="32" spans="1:13" ht="15.75" customHeight="1">
      <c r="A32" s="291" t="str">
        <f>InputB!$A32</f>
        <v>Direct Unpaid Loss (Case + Bulk/IBNR)</v>
      </c>
      <c r="B32" s="553"/>
      <c r="C32" s="35"/>
      <c r="D32" s="35"/>
      <c r="E32" s="94"/>
      <c r="F32" s="94"/>
      <c r="G32" s="94"/>
      <c r="H32" s="94"/>
      <c r="I32" s="94"/>
      <c r="J32" s="94"/>
      <c r="K32" s="94"/>
      <c r="L32" s="94"/>
      <c r="M32" s="95"/>
    </row>
    <row r="33" spans="1:13" ht="15.75" customHeight="1">
      <c r="A33" s="292" t="str">
        <f>InputB!$A33</f>
        <v>Col (7)</v>
      </c>
      <c r="B33" s="78" t="str">
        <f>InputB!$B33</f>
        <v>Item 1</v>
      </c>
      <c r="C33" s="290" t="str">
        <f>InputB!$C33</f>
        <v>Total from the Annual Statement</v>
      </c>
      <c r="D33" s="293"/>
      <c r="E33" s="25">
        <v>0</v>
      </c>
      <c r="F33" s="25">
        <v>0</v>
      </c>
      <c r="G33" s="25">
        <v>0</v>
      </c>
      <c r="H33" s="25">
        <v>0</v>
      </c>
      <c r="I33" s="25">
        <v>0</v>
      </c>
      <c r="J33" s="25">
        <v>0</v>
      </c>
      <c r="K33" s="25">
        <v>0</v>
      </c>
      <c r="L33" s="25">
        <v>0</v>
      </c>
      <c r="M33" s="26">
        <v>0</v>
      </c>
    </row>
    <row r="34" spans="1:13" ht="15.75" customHeight="1">
      <c r="A34" s="292" t="str">
        <f>InputB!$A34</f>
        <v>Col (7)</v>
      </c>
      <c r="B34" s="78" t="str">
        <f>InputB!$B34</f>
        <v>Item 2</v>
      </c>
      <c r="C34" s="290" t="str">
        <f>InputB!$C34</f>
        <v>Excluded Types included in Item 1</v>
      </c>
      <c r="D34" s="293"/>
      <c r="E34" s="25">
        <v>0</v>
      </c>
      <c r="F34" s="25">
        <v>0</v>
      </c>
      <c r="G34" s="25">
        <v>0</v>
      </c>
      <c r="H34" s="25">
        <v>0</v>
      </c>
      <c r="I34" s="25">
        <v>0</v>
      </c>
      <c r="J34" s="25">
        <v>0</v>
      </c>
      <c r="K34" s="25">
        <v>0</v>
      </c>
      <c r="L34" s="25">
        <v>0</v>
      </c>
      <c r="M34" s="27">
        <v>0</v>
      </c>
    </row>
    <row r="35" spans="1:13" ht="15.75" customHeight="1">
      <c r="A35" s="292" t="str">
        <f>InputB!$A35</f>
        <v>Col (7)</v>
      </c>
      <c r="B35" s="78" t="str">
        <f>InputB!$B35</f>
        <v>Item 4</v>
      </c>
      <c r="C35" s="348" t="str">
        <f>InputA!$C$35</f>
        <v>Excess Medical Benefits</v>
      </c>
      <c r="D35" s="293"/>
      <c r="E35" s="28" t="str">
        <f>InputB!$E$12</f>
        <v>XXX</v>
      </c>
      <c r="F35" s="28" t="str">
        <f>InputB!$E$12</f>
        <v>XXX</v>
      </c>
      <c r="G35" s="28" t="str">
        <f>InputB!$E$12</f>
        <v>XXX</v>
      </c>
      <c r="H35" s="28" t="str">
        <f>InputB!$E$12</f>
        <v>XXX</v>
      </c>
      <c r="I35" s="28" t="str">
        <f>InputB!$E$12</f>
        <v>XXX</v>
      </c>
      <c r="J35" s="28" t="str">
        <f>InputB!$E$12</f>
        <v>XXX</v>
      </c>
      <c r="K35" s="28" t="str">
        <f>InputB!$E$12</f>
        <v>XXX</v>
      </c>
      <c r="L35" s="28" t="str">
        <f>InputB!$E$12</f>
        <v>XXX</v>
      </c>
      <c r="M35" s="29" t="str">
        <f>InputB!$E$12</f>
        <v>XXX</v>
      </c>
    </row>
    <row r="36" spans="1:13" ht="15.75" customHeight="1">
      <c r="A36" s="289">
        <f>InputB!$A$36</f>
      </c>
      <c r="B36" s="78"/>
      <c r="C36" s="35"/>
      <c r="D36" s="35"/>
      <c r="E36" s="94"/>
      <c r="F36" s="94"/>
      <c r="G36" s="94"/>
      <c r="H36" s="94"/>
      <c r="I36" s="94"/>
      <c r="J36" s="94"/>
      <c r="K36" s="94"/>
      <c r="L36" s="94"/>
      <c r="M36" s="95"/>
    </row>
    <row r="37" spans="1:13" ht="15.75" customHeight="1">
      <c r="A37" s="291" t="str">
        <f>InputB!$A37</f>
        <v>Direct Unpaid ALAE (Case +Bulk/IBNR)</v>
      </c>
      <c r="B37" s="78"/>
      <c r="C37" s="35"/>
      <c r="D37" s="35"/>
      <c r="E37" s="94"/>
      <c r="F37" s="94"/>
      <c r="G37" s="94"/>
      <c r="H37" s="94"/>
      <c r="I37" s="94"/>
      <c r="J37" s="94"/>
      <c r="K37" s="94"/>
      <c r="L37" s="94"/>
      <c r="M37" s="95"/>
    </row>
    <row r="38" spans="1:13" ht="15.75" customHeight="1">
      <c r="A38" s="292" t="str">
        <f>InputB!$A38</f>
        <v>Col (10)</v>
      </c>
      <c r="B38" s="78" t="str">
        <f>InputB!$B38</f>
        <v>Item 1</v>
      </c>
      <c r="C38" s="293" t="str">
        <f>InputB!$C38</f>
        <v>Total from the Annual Statement</v>
      </c>
      <c r="D38" s="293"/>
      <c r="E38" s="25">
        <v>0</v>
      </c>
      <c r="F38" s="25">
        <v>0</v>
      </c>
      <c r="G38" s="25">
        <v>0</v>
      </c>
      <c r="H38" s="25">
        <v>0</v>
      </c>
      <c r="I38" s="25">
        <v>0</v>
      </c>
      <c r="J38" s="25">
        <v>0</v>
      </c>
      <c r="K38" s="25">
        <v>0</v>
      </c>
      <c r="L38" s="25">
        <v>0</v>
      </c>
      <c r="M38" s="26">
        <v>0</v>
      </c>
    </row>
    <row r="39" spans="1:13" ht="15.75" customHeight="1">
      <c r="A39" s="292" t="str">
        <f>InputB!$A39</f>
        <v>Col (10)</v>
      </c>
      <c r="B39" s="311" t="str">
        <f>InputB!$B39</f>
        <v>Item 2</v>
      </c>
      <c r="C39" s="293" t="str">
        <f>InputB!$C39</f>
        <v>Excluded Types included in Item 1</v>
      </c>
      <c r="D39" s="293"/>
      <c r="E39" s="25">
        <v>0</v>
      </c>
      <c r="F39" s="25">
        <v>0</v>
      </c>
      <c r="G39" s="25">
        <v>0</v>
      </c>
      <c r="H39" s="25">
        <v>0</v>
      </c>
      <c r="I39" s="25">
        <v>0</v>
      </c>
      <c r="J39" s="25">
        <v>0</v>
      </c>
      <c r="K39" s="25">
        <v>0</v>
      </c>
      <c r="L39" s="25">
        <v>0</v>
      </c>
      <c r="M39" s="27">
        <v>0</v>
      </c>
    </row>
    <row r="40" spans="1:13" ht="15.75" customHeight="1">
      <c r="A40" s="296"/>
      <c r="B40" s="296"/>
      <c r="C40" s="296"/>
      <c r="D40" s="296"/>
      <c r="E40" s="296"/>
      <c r="F40" s="97"/>
      <c r="G40" s="97"/>
      <c r="H40" s="97"/>
      <c r="I40" s="97"/>
      <c r="J40" s="97"/>
      <c r="K40" s="97"/>
      <c r="L40" s="94"/>
      <c r="M40" s="94"/>
    </row>
    <row r="41" spans="1:13" ht="15.75" customHeight="1" thickBot="1">
      <c r="A41" s="296"/>
      <c r="B41" s="296"/>
      <c r="C41" s="296"/>
      <c r="D41" s="296"/>
      <c r="E41" s="296"/>
      <c r="F41" s="97"/>
      <c r="G41" s="97"/>
      <c r="H41" s="97"/>
      <c r="I41" s="97"/>
      <c r="J41" s="97"/>
      <c r="K41" s="97"/>
      <c r="L41" s="94"/>
      <c r="M41" s="94"/>
    </row>
    <row r="42" spans="1:13" ht="15.75" customHeight="1" thickBot="1">
      <c r="A42" s="568" t="s">
        <v>336</v>
      </c>
      <c r="B42" s="425"/>
      <c r="C42" s="85"/>
      <c r="D42" s="319"/>
      <c r="E42" s="557"/>
      <c r="F42" s="425"/>
      <c r="G42" s="98"/>
      <c r="H42" s="98"/>
      <c r="I42" s="98"/>
      <c r="J42" s="98"/>
      <c r="K42" s="98"/>
      <c r="L42" s="98"/>
      <c r="M42" s="99"/>
    </row>
    <row r="43" spans="1:13" s="398" customFormat="1" ht="15.75" customHeight="1" thickBot="1">
      <c r="A43" s="556"/>
      <c r="B43" s="425"/>
      <c r="C43" s="85"/>
      <c r="D43" s="319"/>
      <c r="E43" s="557"/>
      <c r="F43" s="425"/>
      <c r="G43" s="98"/>
      <c r="H43" s="98"/>
      <c r="I43" s="98"/>
      <c r="J43" s="98"/>
      <c r="K43" s="98"/>
      <c r="L43" s="98"/>
      <c r="M43" s="98"/>
    </row>
    <row r="44" spans="1:13" s="398" customFormat="1" ht="15.75" customHeight="1">
      <c r="A44" s="568"/>
      <c r="B44" s="571" t="s">
        <v>52</v>
      </c>
      <c r="C44" s="382"/>
      <c r="D44" s="566" t="s">
        <v>199</v>
      </c>
      <c r="E44" s="223" t="s">
        <v>33</v>
      </c>
      <c r="F44" s="223"/>
      <c r="G44" s="223"/>
      <c r="H44" s="223"/>
      <c r="I44" s="223"/>
      <c r="J44" s="223"/>
      <c r="K44" s="223"/>
      <c r="L44" s="223"/>
      <c r="M44" s="567"/>
    </row>
    <row r="45" spans="1:13" s="398" customFormat="1" ht="15.75" customHeight="1">
      <c r="A45" s="558" t="s">
        <v>410</v>
      </c>
      <c r="D45" s="559" t="s">
        <v>191</v>
      </c>
      <c r="E45" s="177">
        <f aca="true" t="shared" si="2" ref="E45:L45">F45-1</f>
        <v>2015</v>
      </c>
      <c r="F45" s="177">
        <f t="shared" si="2"/>
        <v>2016</v>
      </c>
      <c r="G45" s="177">
        <f t="shared" si="2"/>
        <v>2017</v>
      </c>
      <c r="H45" s="177">
        <f t="shared" si="2"/>
        <v>2018</v>
      </c>
      <c r="I45" s="177">
        <f t="shared" si="2"/>
        <v>2019</v>
      </c>
      <c r="J45" s="177">
        <f t="shared" si="2"/>
        <v>2020</v>
      </c>
      <c r="K45" s="177">
        <f t="shared" si="2"/>
        <v>2021</v>
      </c>
      <c r="L45" s="177">
        <f t="shared" si="2"/>
        <v>2022</v>
      </c>
      <c r="M45" s="178">
        <f>ReportYear-1</f>
        <v>2023</v>
      </c>
    </row>
    <row r="46" spans="1:13" s="398" customFormat="1" ht="15.75" customHeight="1">
      <c r="A46" s="561"/>
      <c r="D46" s="322" t="s">
        <v>34</v>
      </c>
      <c r="E46" s="94">
        <v>0</v>
      </c>
      <c r="F46" s="94">
        <v>0</v>
      </c>
      <c r="G46" s="94">
        <v>0</v>
      </c>
      <c r="H46" s="94">
        <v>0</v>
      </c>
      <c r="I46" s="94">
        <v>0</v>
      </c>
      <c r="J46" s="94">
        <v>0</v>
      </c>
      <c r="K46" s="94">
        <v>0</v>
      </c>
      <c r="L46" s="94">
        <v>0</v>
      </c>
      <c r="M46" s="102">
        <v>0</v>
      </c>
    </row>
    <row r="47" spans="1:13" s="398" customFormat="1" ht="15.75" customHeight="1">
      <c r="A47" s="131"/>
      <c r="D47" s="182" t="s">
        <v>35</v>
      </c>
      <c r="E47" s="94">
        <v>0</v>
      </c>
      <c r="F47" s="94">
        <v>0</v>
      </c>
      <c r="G47" s="94">
        <v>0</v>
      </c>
      <c r="H47" s="563">
        <v>0</v>
      </c>
      <c r="I47" s="563">
        <v>0</v>
      </c>
      <c r="J47" s="563">
        <v>0</v>
      </c>
      <c r="K47" s="563">
        <v>0</v>
      </c>
      <c r="L47" s="563">
        <v>0</v>
      </c>
      <c r="M47" s="492" t="str">
        <f>InputB!$E$12</f>
        <v>XXX</v>
      </c>
    </row>
    <row r="48" spans="1:13" s="398" customFormat="1" ht="15.75" customHeight="1">
      <c r="A48" s="131"/>
      <c r="D48" s="182" t="s">
        <v>36</v>
      </c>
      <c r="E48" s="94">
        <v>0</v>
      </c>
      <c r="F48" s="94">
        <v>0</v>
      </c>
      <c r="G48" s="94">
        <v>0</v>
      </c>
      <c r="H48" s="563">
        <v>0</v>
      </c>
      <c r="I48" s="563">
        <v>0</v>
      </c>
      <c r="J48" s="563">
        <v>0</v>
      </c>
      <c r="K48" s="563">
        <v>0</v>
      </c>
      <c r="L48" s="479" t="str">
        <f>InputB!$E$12</f>
        <v>XXX</v>
      </c>
      <c r="M48" s="492" t="str">
        <f>InputB!$E$12</f>
        <v>XXX</v>
      </c>
    </row>
    <row r="49" spans="1:13" s="398" customFormat="1" ht="15.75" customHeight="1">
      <c r="A49" s="131" t="s">
        <v>331</v>
      </c>
      <c r="D49" s="322" t="s">
        <v>37</v>
      </c>
      <c r="E49" s="94">
        <v>0</v>
      </c>
      <c r="F49" s="94">
        <v>0</v>
      </c>
      <c r="G49" s="94">
        <v>0</v>
      </c>
      <c r="H49" s="563">
        <v>0</v>
      </c>
      <c r="I49" s="563">
        <v>0</v>
      </c>
      <c r="J49" s="563">
        <v>0</v>
      </c>
      <c r="K49" s="479" t="str">
        <f>InputB!$E$12</f>
        <v>XXX</v>
      </c>
      <c r="L49" s="479" t="str">
        <f>InputB!$E$12</f>
        <v>XXX</v>
      </c>
      <c r="M49" s="492" t="str">
        <f>InputB!$E$12</f>
        <v>XXX</v>
      </c>
    </row>
    <row r="50" spans="1:13" s="398" customFormat="1" ht="15.75" customHeight="1">
      <c r="A50" s="131" t="s">
        <v>332</v>
      </c>
      <c r="D50" s="322"/>
      <c r="E50" s="94"/>
      <c r="F50" s="94"/>
      <c r="G50" s="94"/>
      <c r="H50" s="563"/>
      <c r="I50" s="563"/>
      <c r="J50" s="479"/>
      <c r="K50" s="479"/>
      <c r="L50" s="479"/>
      <c r="M50" s="492"/>
    </row>
    <row r="51" spans="1:13" s="398" customFormat="1" ht="15.75" customHeight="1">
      <c r="A51" s="131" t="s">
        <v>333</v>
      </c>
      <c r="D51" s="322"/>
      <c r="E51" s="94"/>
      <c r="F51" s="94"/>
      <c r="G51" s="94"/>
      <c r="H51" s="563"/>
      <c r="I51" s="479"/>
      <c r="J51" s="479"/>
      <c r="K51" s="479"/>
      <c r="L51" s="479"/>
      <c r="M51" s="492"/>
    </row>
    <row r="52" spans="1:13" s="398" customFormat="1" ht="15.75" customHeight="1">
      <c r="A52" s="561"/>
      <c r="D52" s="322"/>
      <c r="E52" s="94"/>
      <c r="F52" s="94"/>
      <c r="G52" s="94"/>
      <c r="H52" s="479"/>
      <c r="I52" s="479"/>
      <c r="J52" s="479"/>
      <c r="K52" s="479"/>
      <c r="L52" s="479"/>
      <c r="M52" s="492"/>
    </row>
    <row r="53" spans="1:13" s="398" customFormat="1" ht="15.75" customHeight="1" thickBot="1">
      <c r="A53" s="562"/>
      <c r="B53" s="379"/>
      <c r="C53" s="379"/>
      <c r="D53" s="560"/>
      <c r="E53" s="393"/>
      <c r="F53" s="393"/>
      <c r="G53" s="572"/>
      <c r="H53" s="572"/>
      <c r="I53" s="572"/>
      <c r="J53" s="572"/>
      <c r="K53" s="572"/>
      <c r="L53" s="572"/>
      <c r="M53" s="573"/>
    </row>
    <row r="54" spans="1:13" ht="15.75" customHeight="1" thickBot="1">
      <c r="A54" s="127"/>
      <c r="B54" s="127"/>
      <c r="C54" s="127"/>
      <c r="D54" s="35"/>
      <c r="E54" s="41"/>
      <c r="F54" s="41"/>
      <c r="G54" s="39"/>
      <c r="H54" s="39"/>
      <c r="I54" s="39"/>
      <c r="J54" s="39"/>
      <c r="K54" s="39"/>
      <c r="L54" s="39"/>
      <c r="M54" s="39"/>
    </row>
    <row r="55" spans="1:13" s="398" customFormat="1" ht="15.75" customHeight="1">
      <c r="A55" s="568"/>
      <c r="B55" s="571"/>
      <c r="C55" s="382"/>
      <c r="D55" s="566"/>
      <c r="E55" s="200"/>
      <c r="F55" s="200"/>
      <c r="G55" s="200"/>
      <c r="H55" s="200"/>
      <c r="I55" s="200"/>
      <c r="J55" s="200"/>
      <c r="K55" s="200"/>
      <c r="L55" s="200"/>
      <c r="M55" s="201"/>
    </row>
    <row r="56" spans="1:13" s="398" customFormat="1" ht="15.75" customHeight="1">
      <c r="A56" s="558"/>
      <c r="D56" s="559"/>
      <c r="E56" s="177"/>
      <c r="F56" s="177"/>
      <c r="G56" s="177"/>
      <c r="H56" s="177"/>
      <c r="I56" s="177"/>
      <c r="J56" s="177"/>
      <c r="K56" s="177"/>
      <c r="L56" s="177"/>
      <c r="M56" s="178"/>
    </row>
    <row r="57" spans="1:13" s="398" customFormat="1" ht="15.75" customHeight="1">
      <c r="A57" s="561"/>
      <c r="D57" s="322"/>
      <c r="E57" s="94"/>
      <c r="F57" s="94"/>
      <c r="G57" s="94"/>
      <c r="H57" s="94"/>
      <c r="I57" s="94"/>
      <c r="J57" s="94"/>
      <c r="K57" s="94"/>
      <c r="L57" s="94"/>
      <c r="M57" s="102"/>
    </row>
    <row r="58" spans="1:13" s="398" customFormat="1" ht="15.75" customHeight="1">
      <c r="A58" s="131"/>
      <c r="D58" s="182"/>
      <c r="E58" s="94"/>
      <c r="F58" s="94"/>
      <c r="G58" s="94"/>
      <c r="H58" s="563"/>
      <c r="I58" s="563"/>
      <c r="J58" s="563"/>
      <c r="K58" s="563"/>
      <c r="L58" s="563"/>
      <c r="M58" s="564"/>
    </row>
    <row r="59" spans="1:13" s="398" customFormat="1" ht="15.75" customHeight="1">
      <c r="A59" s="131"/>
      <c r="D59" s="182"/>
      <c r="E59" s="94"/>
      <c r="F59" s="94"/>
      <c r="G59" s="94"/>
      <c r="H59" s="563"/>
      <c r="I59" s="563"/>
      <c r="J59" s="563"/>
      <c r="K59" s="563"/>
      <c r="L59" s="479"/>
      <c r="M59" s="492"/>
    </row>
    <row r="60" spans="1:13" s="398" customFormat="1" ht="15.75" customHeight="1">
      <c r="A60" s="131"/>
      <c r="D60" s="322"/>
      <c r="E60" s="94"/>
      <c r="F60" s="94"/>
      <c r="G60" s="94"/>
      <c r="H60" s="563"/>
      <c r="I60" s="563"/>
      <c r="J60" s="563"/>
      <c r="K60" s="479"/>
      <c r="L60" s="479"/>
      <c r="M60" s="492"/>
    </row>
    <row r="61" spans="1:13" s="398" customFormat="1" ht="15.75" customHeight="1">
      <c r="A61" s="131"/>
      <c r="D61" s="322"/>
      <c r="E61" s="94"/>
      <c r="F61" s="94"/>
      <c r="G61" s="94"/>
      <c r="H61" s="563"/>
      <c r="I61" s="563"/>
      <c r="J61" s="479"/>
      <c r="K61" s="479"/>
      <c r="L61" s="479"/>
      <c r="M61" s="492"/>
    </row>
    <row r="62" spans="1:13" s="398" customFormat="1" ht="15.75" customHeight="1">
      <c r="A62" s="131"/>
      <c r="D62" s="322"/>
      <c r="E62" s="94"/>
      <c r="F62" s="94"/>
      <c r="G62" s="94"/>
      <c r="H62" s="563"/>
      <c r="I62" s="479"/>
      <c r="J62" s="479"/>
      <c r="K62" s="479"/>
      <c r="L62" s="479"/>
      <c r="M62" s="492"/>
    </row>
    <row r="63" spans="1:13" s="398" customFormat="1" ht="15.75" customHeight="1">
      <c r="A63" s="561"/>
      <c r="D63" s="322"/>
      <c r="E63" s="94"/>
      <c r="F63" s="94"/>
      <c r="G63" s="94"/>
      <c r="H63" s="479"/>
      <c r="I63" s="479"/>
      <c r="J63" s="479"/>
      <c r="K63" s="479"/>
      <c r="L63" s="479"/>
      <c r="M63" s="492"/>
    </row>
    <row r="64" spans="1:13" s="398" customFormat="1" ht="15.75" customHeight="1" thickBot="1">
      <c r="A64" s="562"/>
      <c r="B64" s="379"/>
      <c r="C64" s="379"/>
      <c r="D64" s="560"/>
      <c r="E64" s="393"/>
      <c r="F64" s="393"/>
      <c r="G64" s="572"/>
      <c r="H64" s="572"/>
      <c r="I64" s="572"/>
      <c r="J64" s="572"/>
      <c r="K64" s="572"/>
      <c r="L64" s="572"/>
      <c r="M64" s="573"/>
    </row>
    <row r="65" spans="1:13" ht="15.75" customHeight="1" thickBot="1">
      <c r="A65" s="311"/>
      <c r="B65" s="293"/>
      <c r="C65" s="35"/>
      <c r="D65" s="35"/>
      <c r="E65" s="94"/>
      <c r="F65" s="94"/>
      <c r="G65" s="94"/>
      <c r="H65" s="39"/>
      <c r="I65" s="39"/>
      <c r="J65" s="39"/>
      <c r="K65" s="39"/>
      <c r="L65" s="39"/>
      <c r="M65" s="39"/>
    </row>
    <row r="66" spans="1:13" ht="15.75" customHeight="1">
      <c r="A66" s="318"/>
      <c r="B66" s="556" t="s">
        <v>53</v>
      </c>
      <c r="C66" s="85"/>
      <c r="D66" s="566" t="s">
        <v>199</v>
      </c>
      <c r="E66" s="382"/>
      <c r="F66" s="319" t="s">
        <v>353</v>
      </c>
      <c r="G66" s="608">
        <v>1</v>
      </c>
      <c r="H66" s="605" t="s">
        <v>102</v>
      </c>
      <c r="I66" s="98"/>
      <c r="J66" s="98"/>
      <c r="K66" s="98"/>
      <c r="L66" s="98"/>
      <c r="M66" s="99"/>
    </row>
    <row r="67" spans="1:13" ht="15.75" customHeight="1" thickBot="1">
      <c r="A67" s="601"/>
      <c r="B67" s="602"/>
      <c r="C67" s="36"/>
      <c r="D67" s="598"/>
      <c r="E67" s="379"/>
      <c r="F67" s="603"/>
      <c r="G67" s="609"/>
      <c r="H67" s="604"/>
      <c r="I67" s="597"/>
      <c r="J67" s="597"/>
      <c r="K67" s="597"/>
      <c r="L67" s="597"/>
      <c r="M67" s="600"/>
    </row>
    <row r="68" spans="1:13" ht="15.75" customHeight="1" thickBot="1">
      <c r="A68" s="127"/>
      <c r="B68" s="127"/>
      <c r="C68" s="127"/>
      <c r="D68" s="35"/>
      <c r="E68" s="41"/>
      <c r="F68" s="41"/>
      <c r="G68" s="39"/>
      <c r="H68" s="39"/>
      <c r="I68" s="39"/>
      <c r="J68" s="39"/>
      <c r="K68" s="39"/>
      <c r="L68" s="39"/>
      <c r="M68" s="39"/>
    </row>
    <row r="69" spans="1:13" ht="15.75" customHeight="1">
      <c r="A69" s="297"/>
      <c r="B69" s="556" t="s">
        <v>56</v>
      </c>
      <c r="C69" s="471"/>
      <c r="D69" s="298"/>
      <c r="E69" s="98"/>
      <c r="F69" s="98"/>
      <c r="G69" s="98"/>
      <c r="H69" s="98"/>
      <c r="I69" s="98"/>
      <c r="J69" s="98"/>
      <c r="K69" s="98"/>
      <c r="L69" s="98"/>
      <c r="M69" s="99"/>
    </row>
    <row r="70" spans="1:13" ht="15.75" customHeight="1">
      <c r="A70" s="333" t="s">
        <v>337</v>
      </c>
      <c r="B70" s="35"/>
      <c r="C70" s="35"/>
      <c r="D70" s="35"/>
      <c r="E70" s="100" t="str">
        <f>InputB!$E$70</f>
        <v>Calendar Year</v>
      </c>
      <c r="F70" s="100"/>
      <c r="G70" s="100"/>
      <c r="H70" s="100"/>
      <c r="I70" s="100"/>
      <c r="J70" s="100"/>
      <c r="K70" s="100"/>
      <c r="L70" s="100"/>
      <c r="M70" s="101"/>
    </row>
    <row r="71" spans="1:13" ht="15.75" customHeight="1">
      <c r="A71" s="381" t="s">
        <v>378</v>
      </c>
      <c r="B71" s="127"/>
      <c r="C71" s="127"/>
      <c r="D71" s="472" t="s">
        <v>338</v>
      </c>
      <c r="E71" s="283">
        <f>ReportYear-1</f>
        <v>2023</v>
      </c>
      <c r="F71" s="283">
        <f>ReportYear-2</f>
        <v>2022</v>
      </c>
      <c r="G71" s="283">
        <f>ReportYear-3</f>
        <v>2021</v>
      </c>
      <c r="H71" s="283">
        <f>ReportYear-4</f>
        <v>2020</v>
      </c>
      <c r="I71" s="283">
        <f>ReportYear-5</f>
        <v>2019</v>
      </c>
      <c r="J71" s="283">
        <f>ReportYear-6</f>
        <v>2018</v>
      </c>
      <c r="K71" s="283">
        <f>ReportYear-7</f>
        <v>2017</v>
      </c>
      <c r="L71" s="283">
        <f>ReportYear-8</f>
        <v>2016</v>
      </c>
      <c r="M71" s="301">
        <f>ReportYear-9</f>
        <v>2015</v>
      </c>
    </row>
    <row r="72" spans="1:13" ht="15.75" customHeight="1">
      <c r="A72" s="317" t="s">
        <v>118</v>
      </c>
      <c r="B72" s="293" t="s">
        <v>339</v>
      </c>
      <c r="C72" s="295"/>
      <c r="D72" s="295"/>
      <c r="E72" s="25">
        <v>0</v>
      </c>
      <c r="F72" s="25">
        <v>0</v>
      </c>
      <c r="G72" s="25">
        <v>0</v>
      </c>
      <c r="H72" s="25">
        <v>0</v>
      </c>
      <c r="I72" s="25">
        <v>0</v>
      </c>
      <c r="J72" s="25">
        <v>0</v>
      </c>
      <c r="K72" s="25">
        <v>0</v>
      </c>
      <c r="L72" s="25">
        <v>0</v>
      </c>
      <c r="M72" s="27">
        <v>0</v>
      </c>
    </row>
    <row r="73" spans="1:13" ht="15.75" customHeight="1">
      <c r="A73" s="302" t="s">
        <v>119</v>
      </c>
      <c r="B73" s="344" t="s">
        <v>340</v>
      </c>
      <c r="C73" s="285"/>
      <c r="D73" s="41"/>
      <c r="E73" s="25">
        <v>0</v>
      </c>
      <c r="F73" s="25">
        <v>0</v>
      </c>
      <c r="G73" s="25">
        <v>0</v>
      </c>
      <c r="H73" s="25">
        <v>0</v>
      </c>
      <c r="I73" s="25">
        <v>0</v>
      </c>
      <c r="J73" s="25">
        <v>0</v>
      </c>
      <c r="K73" s="25">
        <v>0</v>
      </c>
      <c r="L73" s="25">
        <v>0</v>
      </c>
      <c r="M73" s="27">
        <v>0</v>
      </c>
    </row>
    <row r="74" spans="1:13" ht="15.75" customHeight="1" thickBot="1">
      <c r="A74" s="304" t="s">
        <v>121</v>
      </c>
      <c r="B74" s="569" t="s">
        <v>341</v>
      </c>
      <c r="C74" s="350"/>
      <c r="D74" s="130"/>
      <c r="E74" s="31">
        <v>0</v>
      </c>
      <c r="F74" s="31">
        <v>0</v>
      </c>
      <c r="G74" s="31">
        <v>0</v>
      </c>
      <c r="H74" s="31">
        <v>0</v>
      </c>
      <c r="I74" s="31">
        <v>0</v>
      </c>
      <c r="J74" s="31">
        <v>0</v>
      </c>
      <c r="K74" s="31">
        <v>0</v>
      </c>
      <c r="L74" s="31">
        <v>0</v>
      </c>
      <c r="M74" s="32">
        <v>0</v>
      </c>
    </row>
    <row r="75" spans="1:13" ht="15.75" customHeight="1">
      <c r="A75" s="305"/>
      <c r="B75" s="470"/>
      <c r="C75" s="329"/>
      <c r="D75" s="308"/>
      <c r="E75" s="309"/>
      <c r="F75" s="309"/>
      <c r="G75" s="309"/>
      <c r="H75" s="309"/>
      <c r="I75" s="309"/>
      <c r="J75" s="310"/>
      <c r="K75" s="310"/>
      <c r="L75" s="310"/>
      <c r="M75" s="310"/>
    </row>
    <row r="76" spans="1:13" s="15" customFormat="1" ht="15.75" customHeight="1" thickBot="1">
      <c r="A76" s="246"/>
      <c r="B76" s="246"/>
      <c r="C76" s="246"/>
      <c r="D76" s="246"/>
      <c r="E76" s="246"/>
      <c r="F76" s="246"/>
      <c r="G76" s="246"/>
      <c r="H76" s="246"/>
      <c r="I76" s="246"/>
      <c r="J76" s="246"/>
      <c r="K76" s="246"/>
      <c r="L76" s="41"/>
      <c r="M76" s="41"/>
    </row>
    <row r="77" spans="1:13" ht="15.75" customHeight="1">
      <c r="A77" s="297" t="str">
        <f>InputB!$A$77</f>
        <v>Exhibit 3</v>
      </c>
      <c r="B77" s="313"/>
      <c r="C77" s="298"/>
      <c r="D77" s="298"/>
      <c r="E77" s="314" t="str">
        <f>InputB!$E$77</f>
        <v>Calendar Year</v>
      </c>
      <c r="F77" s="314"/>
      <c r="G77" s="314"/>
      <c r="H77" s="314"/>
      <c r="I77" s="314"/>
      <c r="J77" s="314"/>
      <c r="K77" s="314"/>
      <c r="L77" s="314"/>
      <c r="M77" s="315"/>
    </row>
    <row r="78" spans="1:13" ht="15.75" customHeight="1">
      <c r="A78" s="340" t="str">
        <f>A70</f>
        <v>Source: Countrywide Insurance Expense Exhibit (IEE) Part 3</v>
      </c>
      <c r="B78" s="360"/>
      <c r="C78" s="353"/>
      <c r="D78" s="41"/>
      <c r="E78" s="283">
        <f>ReportYear-1</f>
        <v>2023</v>
      </c>
      <c r="F78" s="283">
        <f>ReportYear-2</f>
        <v>2022</v>
      </c>
      <c r="G78" s="283">
        <f>ReportYear-3</f>
        <v>2021</v>
      </c>
      <c r="H78" s="283">
        <f>ReportYear-4</f>
        <v>2020</v>
      </c>
      <c r="I78" s="283">
        <f>ReportYear-5</f>
        <v>2019</v>
      </c>
      <c r="J78" s="283">
        <f>ReportYear-6</f>
        <v>2018</v>
      </c>
      <c r="K78" s="283">
        <f>ReportYear-7</f>
        <v>2017</v>
      </c>
      <c r="L78" s="283">
        <f>ReportYear-8</f>
        <v>2016</v>
      </c>
      <c r="M78" s="301">
        <f>ReportYear-9</f>
        <v>2015</v>
      </c>
    </row>
    <row r="79" spans="1:13" ht="15.75" customHeight="1">
      <c r="A79" s="381" t="str">
        <f>A71</f>
        <v>   Part 3, Line 21.1 (except Item 9)</v>
      </c>
      <c r="B79" s="127"/>
      <c r="C79" s="127"/>
      <c r="D79" s="472" t="s">
        <v>338</v>
      </c>
      <c r="E79" s="103"/>
      <c r="F79" s="103"/>
      <c r="G79" s="103"/>
      <c r="H79" s="103"/>
      <c r="I79" s="103"/>
      <c r="J79" s="103"/>
      <c r="K79" s="103"/>
      <c r="L79" s="127"/>
      <c r="M79" s="316"/>
    </row>
    <row r="80" spans="1:13" ht="15.75" customHeight="1">
      <c r="A80" s="317" t="str">
        <f>InputB!$A80</f>
        <v>Col (1)</v>
      </c>
      <c r="B80" s="78" t="str">
        <f>InputB!$B80</f>
        <v>Item 1</v>
      </c>
      <c r="C80" s="35" t="str">
        <f>InputB!$C80</f>
        <v>Direct Written Premium - CW</v>
      </c>
      <c r="D80" s="35"/>
      <c r="E80" s="25">
        <v>0</v>
      </c>
      <c r="F80" s="25">
        <v>0</v>
      </c>
      <c r="G80" s="25">
        <v>0</v>
      </c>
      <c r="H80" s="25">
        <v>0</v>
      </c>
      <c r="I80" s="25">
        <v>0</v>
      </c>
      <c r="J80" s="25">
        <v>0</v>
      </c>
      <c r="K80" s="25">
        <v>0</v>
      </c>
      <c r="L80" s="39" t="str">
        <f>InputB!$E$12</f>
        <v>XXX</v>
      </c>
      <c r="M80" s="287" t="str">
        <f>InputB!$E$12</f>
        <v>XXX</v>
      </c>
    </row>
    <row r="81" spans="1:13" ht="15.75" customHeight="1">
      <c r="A81" s="317" t="str">
        <f>InputB!$A81</f>
        <v>Col (1)</v>
      </c>
      <c r="B81" s="78" t="str">
        <f>InputB!$B81</f>
        <v>Item 2</v>
      </c>
      <c r="C81" s="35" t="str">
        <f>InputB!$C81</f>
        <v>Direct Earned Premium - CW</v>
      </c>
      <c r="D81" s="35"/>
      <c r="E81" s="25">
        <v>0</v>
      </c>
      <c r="F81" s="25">
        <v>0</v>
      </c>
      <c r="G81" s="25">
        <v>0</v>
      </c>
      <c r="H81" s="25">
        <v>0</v>
      </c>
      <c r="I81" s="25">
        <v>0</v>
      </c>
      <c r="J81" s="25">
        <v>0</v>
      </c>
      <c r="K81" s="25">
        <v>0</v>
      </c>
      <c r="L81" s="39" t="str">
        <f>InputB!$E$12</f>
        <v>XXX</v>
      </c>
      <c r="M81" s="40" t="str">
        <f>InputB!$E$12</f>
        <v>XXX</v>
      </c>
    </row>
    <row r="82" spans="1:13" ht="15.75" customHeight="1">
      <c r="A82" s="317" t="str">
        <f>InputB!$A82</f>
        <v>Col (1)</v>
      </c>
      <c r="B82" s="78" t="str">
        <f>InputB!$B82</f>
        <v>Item 3</v>
      </c>
      <c r="C82" s="35" t="str">
        <f>InputB!$C82</f>
        <v>Direct Other Acquisition Expense - CW</v>
      </c>
      <c r="D82" s="35"/>
      <c r="E82" s="25">
        <v>0</v>
      </c>
      <c r="F82" s="25">
        <v>0</v>
      </c>
      <c r="G82" s="25">
        <v>0</v>
      </c>
      <c r="H82" s="25">
        <v>0</v>
      </c>
      <c r="I82" s="25">
        <v>0</v>
      </c>
      <c r="J82" s="25">
        <v>0</v>
      </c>
      <c r="K82" s="25">
        <v>0</v>
      </c>
      <c r="L82" s="39" t="str">
        <f>InputB!$E$12</f>
        <v>XXX</v>
      </c>
      <c r="M82" s="40" t="str">
        <f>InputB!$E$12</f>
        <v>XXX</v>
      </c>
    </row>
    <row r="83" spans="1:13" ht="15.75" customHeight="1">
      <c r="A83" s="317" t="str">
        <f>InputB!$A83</f>
        <v>Col (1)</v>
      </c>
      <c r="B83" s="78" t="str">
        <f>InputB!$B83</f>
        <v>Item 4</v>
      </c>
      <c r="C83" s="35" t="str">
        <f>InputB!$C83</f>
        <v>Direct General Expense - CW</v>
      </c>
      <c r="D83" s="35"/>
      <c r="E83" s="25">
        <v>0</v>
      </c>
      <c r="F83" s="25">
        <v>0</v>
      </c>
      <c r="G83" s="25">
        <v>0</v>
      </c>
      <c r="H83" s="25">
        <v>0</v>
      </c>
      <c r="I83" s="25">
        <v>0</v>
      </c>
      <c r="J83" s="25">
        <v>0</v>
      </c>
      <c r="K83" s="25">
        <v>0</v>
      </c>
      <c r="L83" s="39" t="str">
        <f>InputB!$E$12</f>
        <v>XXX</v>
      </c>
      <c r="M83" s="40" t="str">
        <f>InputB!$E$12</f>
        <v>XXX</v>
      </c>
    </row>
    <row r="84" spans="1:13" ht="15.75" customHeight="1">
      <c r="A84" s="317" t="str">
        <f>InputB!$A84</f>
        <v>Col (1)</v>
      </c>
      <c r="B84" s="78" t="str">
        <f>InputB!$B84</f>
        <v>Item 5</v>
      </c>
      <c r="C84" s="35" t="str">
        <f>InputB!$C84</f>
        <v>Direct Commission &amp; Brokerage - CW</v>
      </c>
      <c r="D84" s="35"/>
      <c r="E84" s="25">
        <v>0</v>
      </c>
      <c r="F84" s="25">
        <v>0</v>
      </c>
      <c r="G84" s="25">
        <v>0</v>
      </c>
      <c r="H84" s="25">
        <v>0</v>
      </c>
      <c r="I84" s="25">
        <v>0</v>
      </c>
      <c r="J84" s="25">
        <v>0</v>
      </c>
      <c r="K84" s="25">
        <v>0</v>
      </c>
      <c r="L84" s="39" t="str">
        <f>InputB!$E$12</f>
        <v>XXX</v>
      </c>
      <c r="M84" s="40" t="str">
        <f>InputB!$E$12</f>
        <v>XXX</v>
      </c>
    </row>
    <row r="85" spans="1:13" ht="15.75" customHeight="1">
      <c r="A85" s="317" t="str">
        <f>InputB!$A85</f>
        <v>Col (1)</v>
      </c>
      <c r="B85" s="78" t="str">
        <f>InputB!$B85</f>
        <v>Item 7</v>
      </c>
      <c r="C85" s="35" t="str">
        <f>InputB!$C85</f>
        <v>Direct Taxes, Licenses &amp; Fees - CW</v>
      </c>
      <c r="D85" s="35"/>
      <c r="E85" s="25">
        <v>0</v>
      </c>
      <c r="F85" s="25">
        <v>0</v>
      </c>
      <c r="G85" s="25">
        <v>0</v>
      </c>
      <c r="H85" s="25">
        <v>0</v>
      </c>
      <c r="I85" s="25">
        <v>0</v>
      </c>
      <c r="J85" s="25">
        <v>0</v>
      </c>
      <c r="K85" s="25">
        <v>0</v>
      </c>
      <c r="L85" s="39" t="str">
        <f>InputB!$E$12</f>
        <v>XXX</v>
      </c>
      <c r="M85" s="40" t="str">
        <f>InputB!$E$12</f>
        <v>XXX</v>
      </c>
    </row>
    <row r="86" spans="1:13" ht="15.75" customHeight="1">
      <c r="A86" s="317" t="str">
        <f>InputB!$A86</f>
        <v>Col (1)</v>
      </c>
      <c r="B86" s="78" t="str">
        <f>InputB!$B86</f>
        <v>Item 9</v>
      </c>
      <c r="C86" s="35" t="str">
        <f>InputB!$C86</f>
        <v>Net Catastrophe Reinsurance Exp. - CW</v>
      </c>
      <c r="D86" s="35"/>
      <c r="E86" s="25">
        <v>0</v>
      </c>
      <c r="F86" s="25">
        <v>0</v>
      </c>
      <c r="G86" s="25">
        <v>0</v>
      </c>
      <c r="H86" s="25">
        <v>0</v>
      </c>
      <c r="I86" s="25">
        <v>0</v>
      </c>
      <c r="J86" s="25">
        <v>0</v>
      </c>
      <c r="K86" s="25">
        <v>0</v>
      </c>
      <c r="L86" s="39" t="str">
        <f>InputB!$E$12</f>
        <v>XXX</v>
      </c>
      <c r="M86" s="40" t="str">
        <f>InputB!$E$12</f>
        <v>XXX</v>
      </c>
    </row>
    <row r="87" spans="1:13" ht="15.75" customHeight="1">
      <c r="A87" s="289"/>
      <c r="B87" s="35"/>
      <c r="C87" s="35"/>
      <c r="D87" s="35"/>
      <c r="E87" s="94"/>
      <c r="F87" s="94"/>
      <c r="G87" s="94"/>
      <c r="H87" s="94"/>
      <c r="I87" s="94"/>
      <c r="J87" s="94"/>
      <c r="K87" s="94"/>
      <c r="L87" s="39"/>
      <c r="M87" s="40"/>
    </row>
    <row r="88" spans="1:13" ht="15.75" customHeight="1">
      <c r="A88" s="340" t="s">
        <v>381</v>
      </c>
      <c r="B88" s="35"/>
      <c r="C88" s="35"/>
      <c r="D88" s="35"/>
      <c r="E88" s="94"/>
      <c r="F88" s="94"/>
      <c r="G88" s="94"/>
      <c r="H88" s="94"/>
      <c r="I88" s="94"/>
      <c r="J88" s="94"/>
      <c r="K88" s="94"/>
      <c r="L88" s="39"/>
      <c r="M88" s="40"/>
    </row>
    <row r="89" spans="1:13" ht="15.75" customHeight="1">
      <c r="A89" s="317" t="str">
        <f>InputB!$A89</f>
        <v>Col (3)</v>
      </c>
      <c r="B89" s="78" t="str">
        <f>InputB!$B89</f>
        <v>Item 5</v>
      </c>
      <c r="C89" s="35" t="str">
        <f>InputB!$C89</f>
        <v>Direct Commission &amp; Brokerage - NJ</v>
      </c>
      <c r="D89" s="35"/>
      <c r="E89" s="25">
        <v>0</v>
      </c>
      <c r="F89" s="25">
        <v>0</v>
      </c>
      <c r="G89" s="25">
        <v>0</v>
      </c>
      <c r="H89" s="25">
        <v>0</v>
      </c>
      <c r="I89" s="25">
        <v>0</v>
      </c>
      <c r="J89" s="25">
        <v>0</v>
      </c>
      <c r="K89" s="25">
        <v>0</v>
      </c>
      <c r="L89" s="39" t="str">
        <f>InputB!$E$12</f>
        <v>XXX</v>
      </c>
      <c r="M89" s="40" t="str">
        <f>InputB!$E$12</f>
        <v>XXX</v>
      </c>
    </row>
    <row r="90" spans="1:13" ht="15.75" customHeight="1">
      <c r="A90" s="317" t="str">
        <f>InputB!$A90</f>
        <v>Col (3)</v>
      </c>
      <c r="B90" s="78" t="str">
        <f>InputB!$B90</f>
        <v>Item 7</v>
      </c>
      <c r="C90" s="35" t="str">
        <f>InputB!$C90</f>
        <v>Direct Taxes, Licenses &amp; Fees - NJ</v>
      </c>
      <c r="D90" s="35"/>
      <c r="E90" s="25">
        <v>0</v>
      </c>
      <c r="F90" s="25">
        <v>0</v>
      </c>
      <c r="G90" s="25">
        <v>0</v>
      </c>
      <c r="H90" s="25">
        <v>0</v>
      </c>
      <c r="I90" s="25">
        <v>0</v>
      </c>
      <c r="J90" s="25">
        <v>0</v>
      </c>
      <c r="K90" s="25">
        <v>0</v>
      </c>
      <c r="L90" s="39" t="str">
        <f>InputB!$E$12</f>
        <v>XXX</v>
      </c>
      <c r="M90" s="40" t="str">
        <f>InputB!$E$12</f>
        <v>XXX</v>
      </c>
    </row>
    <row r="91" spans="1:13" ht="15.75" customHeight="1">
      <c r="A91" s="317" t="str">
        <f>InputB!$A91</f>
        <v>Col (3)</v>
      </c>
      <c r="B91" s="78" t="str">
        <f>InputB!$B91</f>
        <v>Item 9</v>
      </c>
      <c r="C91" s="35" t="str">
        <f>InputB!$C91</f>
        <v>Net Catastrophe Reinsurance Exp. - NJ</v>
      </c>
      <c r="D91" s="35"/>
      <c r="E91" s="25">
        <v>0</v>
      </c>
      <c r="F91" s="25">
        <v>0</v>
      </c>
      <c r="G91" s="25">
        <v>0</v>
      </c>
      <c r="H91" s="25">
        <v>0</v>
      </c>
      <c r="I91" s="25">
        <v>0</v>
      </c>
      <c r="J91" s="25">
        <v>0</v>
      </c>
      <c r="K91" s="25">
        <v>0</v>
      </c>
      <c r="L91" s="39" t="str">
        <f>InputB!$E$12</f>
        <v>XXX</v>
      </c>
      <c r="M91" s="40" t="str">
        <f>InputB!$E$12</f>
        <v>XXX</v>
      </c>
    </row>
    <row r="92" spans="1:13" ht="15.75" customHeight="1">
      <c r="A92" s="317" t="str">
        <f>InputB!$A92</f>
        <v>Col (3)</v>
      </c>
      <c r="B92" s="78" t="str">
        <f>InputB!$B92</f>
        <v>Item 10</v>
      </c>
      <c r="C92" s="35" t="str">
        <f>InputB!$C92</f>
        <v>LAD Fees Paid - NJ</v>
      </c>
      <c r="D92" s="41"/>
      <c r="E92" s="25">
        <v>0</v>
      </c>
      <c r="F92" s="25">
        <v>0</v>
      </c>
      <c r="G92" s="25">
        <v>0</v>
      </c>
      <c r="H92" s="25">
        <v>0</v>
      </c>
      <c r="I92" s="25">
        <v>0</v>
      </c>
      <c r="J92" s="25">
        <v>0</v>
      </c>
      <c r="K92" s="25">
        <v>0</v>
      </c>
      <c r="L92" s="39" t="str">
        <f>InputB!$E$12</f>
        <v>XXX</v>
      </c>
      <c r="M92" s="40" t="str">
        <f>InputB!$E$12</f>
        <v>XXX</v>
      </c>
    </row>
    <row r="93" spans="1:13" ht="15.75" customHeight="1">
      <c r="A93" s="176"/>
      <c r="B93" s="182"/>
      <c r="C93" s="125"/>
      <c r="D93" s="41"/>
      <c r="E93" s="25"/>
      <c r="F93" s="25"/>
      <c r="G93" s="25"/>
      <c r="H93" s="39"/>
      <c r="I93" s="39"/>
      <c r="J93" s="39"/>
      <c r="K93" s="39"/>
      <c r="L93" s="39"/>
      <c r="M93" s="40"/>
    </row>
    <row r="94" spans="1:13" ht="15.75" customHeight="1">
      <c r="A94" s="176"/>
      <c r="B94" s="182"/>
      <c r="C94" s="303"/>
      <c r="D94" s="41"/>
      <c r="E94" s="33"/>
      <c r="F94" s="25"/>
      <c r="G94" s="25"/>
      <c r="H94" s="39"/>
      <c r="I94" s="39"/>
      <c r="J94" s="39"/>
      <c r="K94" s="39"/>
      <c r="L94" s="39"/>
      <c r="M94" s="40"/>
    </row>
  </sheetData>
  <sheetProtection/>
  <protectedRanges>
    <protectedRange sqref="E80:K92" name="Range12"/>
    <protectedRange sqref="E72:M74" name="Range11"/>
    <protectedRange sqref="G66" name="Range10"/>
    <protectedRange sqref="E49:J49" name="Range9"/>
    <protectedRange sqref="E48:K48" name="Range8"/>
    <protectedRange sqref="E47:L47" name="Range7"/>
    <protectedRange sqref="E46:M46" name="Range6"/>
    <protectedRange sqref="E38:M39" name="Range5"/>
    <protectedRange sqref="E33:M34" name="Range4"/>
    <protectedRange sqref="E20:M29" name="Range3"/>
    <protectedRange sqref="E15:M16" name="Range2"/>
    <protectedRange sqref="E10:M11" name="Range1"/>
  </protectedRanges>
  <printOptions headings="1"/>
  <pageMargins left="0.5" right="0.5" top="0.5" bottom="0.5" header="0.5" footer="0.5"/>
  <pageSetup horizontalDpi="600" verticalDpi="600" orientation="landscape" scale="46" r:id="rId1"/>
  <headerFooter alignWithMargins="0">
    <oddFooter>&amp;L&amp;D&amp;RPage &amp;P of &amp;N</oddFooter>
  </headerFooter>
  <rowBreaks count="1" manualBreakCount="1">
    <brk id="76" max="255" man="1"/>
  </rowBreaks>
</worksheet>
</file>

<file path=xl/worksheets/sheet5.xml><?xml version="1.0" encoding="utf-8"?>
<worksheet xmlns="http://schemas.openxmlformats.org/spreadsheetml/2006/main" xmlns:r="http://schemas.openxmlformats.org/officeDocument/2006/relationships">
  <sheetPr codeName="sheetExh0A1" transitionEvaluation="1">
    <pageSetUpPr fitToPage="1"/>
  </sheetPr>
  <dimension ref="A1:M225"/>
  <sheetViews>
    <sheetView view="pageBreakPreview" zoomScale="75" zoomScaleNormal="75" zoomScaleSheetLayoutView="75" zoomScalePageLayoutView="0" workbookViewId="0" topLeftCell="A1">
      <selection activeCell="J7" sqref="J7"/>
    </sheetView>
  </sheetViews>
  <sheetFormatPr defaultColWidth="9.7109375" defaultRowHeight="15.75" customHeight="1"/>
  <cols>
    <col min="1" max="3" width="14.7109375" style="14" customWidth="1"/>
    <col min="4" max="4" width="28.7109375" style="15" customWidth="1"/>
    <col min="5" max="12" width="20.7109375" style="14" customWidth="1"/>
    <col min="13" max="13" width="22.421875" style="14" customWidth="1"/>
    <col min="14" max="16384" width="9.7109375" style="14" customWidth="1"/>
  </cols>
  <sheetData>
    <row r="1" spans="1:13" ht="15.75" customHeight="1">
      <c r="A1" s="104" t="s">
        <v>77</v>
      </c>
      <c r="B1" s="103"/>
      <c r="C1" s="443" t="str">
        <f>Info!$E$8</f>
        <v>enter group name here</v>
      </c>
      <c r="D1" s="45"/>
      <c r="E1"/>
      <c r="F1"/>
      <c r="G1"/>
      <c r="H1"/>
      <c r="I1"/>
      <c r="J1"/>
      <c r="K1"/>
      <c r="L1"/>
      <c r="M1" s="107" t="s">
        <v>179</v>
      </c>
    </row>
    <row r="2" spans="1:13" ht="15.75" customHeight="1">
      <c r="A2" s="325" t="s">
        <v>78</v>
      </c>
      <c r="B2" s="108"/>
      <c r="C2" s="443" t="str">
        <f>Info!$B$8</f>
        <v>enter group # here</v>
      </c>
      <c r="D2" s="45"/>
      <c r="E2"/>
      <c r="F2"/>
      <c r="G2"/>
      <c r="H2"/>
      <c r="I2"/>
      <c r="J2"/>
      <c r="K2"/>
      <c r="L2"/>
      <c r="M2" s="380" t="s">
        <v>383</v>
      </c>
    </row>
    <row r="3" spans="1:13" ht="15.75" customHeight="1">
      <c r="A3" s="104" t="s">
        <v>79</v>
      </c>
      <c r="B3" s="103"/>
      <c r="C3" s="444">
        <f>Info!$B$6</f>
        <v>2024</v>
      </c>
      <c r="D3" s="46"/>
      <c r="E3"/>
      <c r="F3"/>
      <c r="G3"/>
      <c r="H3"/>
      <c r="I3"/>
      <c r="J3"/>
      <c r="K3"/>
      <c r="L3"/>
      <c r="M3" s="193" t="s">
        <v>384</v>
      </c>
    </row>
    <row r="4" spans="1:13" ht="15.75" customHeight="1">
      <c r="A4" s="104"/>
      <c r="B4" s="103"/>
      <c r="C4" s="336"/>
      <c r="D4" s="337"/>
      <c r="E4" s="103"/>
      <c r="F4" s="103"/>
      <c r="G4" s="117"/>
      <c r="H4" s="378"/>
      <c r="I4" s="103"/>
      <c r="J4" s="103"/>
      <c r="K4" s="103"/>
      <c r="L4" s="103"/>
      <c r="M4" s="103"/>
    </row>
    <row r="5" spans="1:13" ht="15.75" customHeight="1" thickBot="1">
      <c r="A5" s="103"/>
      <c r="B5" s="103"/>
      <c r="C5" s="103"/>
      <c r="D5" s="104"/>
      <c r="E5" s="103"/>
      <c r="F5" s="127"/>
      <c r="G5" s="127"/>
      <c r="H5" s="127"/>
      <c r="I5" s="127"/>
      <c r="J5" s="127"/>
      <c r="K5" s="127"/>
      <c r="L5" s="127"/>
      <c r="M5" s="127"/>
    </row>
    <row r="6" spans="1:13" ht="15.75" customHeight="1">
      <c r="A6" s="565" t="s">
        <v>51</v>
      </c>
      <c r="B6" s="645"/>
      <c r="C6" s="646"/>
      <c r="D6" s="87"/>
      <c r="E6" s="647"/>
      <c r="F6" s="648"/>
      <c r="G6" s="647"/>
      <c r="H6" s="647"/>
      <c r="I6" s="647"/>
      <c r="J6" s="647"/>
      <c r="K6" s="647"/>
      <c r="L6" s="647"/>
      <c r="M6" s="649"/>
    </row>
    <row r="7" spans="1:13" ht="15.75" customHeight="1">
      <c r="A7" s="176"/>
      <c r="B7" s="182"/>
      <c r="C7" s="125"/>
      <c r="D7" s="41"/>
      <c r="E7" s="25"/>
      <c r="F7" s="25"/>
      <c r="G7" s="25"/>
      <c r="H7" s="39"/>
      <c r="I7" s="39"/>
      <c r="J7" s="39"/>
      <c r="K7" s="39"/>
      <c r="L7" s="39"/>
      <c r="M7" s="40"/>
    </row>
    <row r="8" spans="1:13" ht="15.75" customHeight="1">
      <c r="A8" s="405"/>
      <c r="B8" s="303"/>
      <c r="C8" s="182"/>
      <c r="D8" s="398"/>
      <c r="E8" s="192" t="s">
        <v>257</v>
      </c>
      <c r="F8" s="33" t="s">
        <v>272</v>
      </c>
      <c r="G8" s="396" t="s">
        <v>207</v>
      </c>
      <c r="H8" s="25"/>
      <c r="I8" s="39"/>
      <c r="J8" s="39"/>
      <c r="K8" s="39"/>
      <c r="L8" s="39"/>
      <c r="M8" s="40"/>
    </row>
    <row r="9" spans="1:13" ht="15.75" customHeight="1">
      <c r="A9" s="176"/>
      <c r="B9" s="182"/>
      <c r="C9" s="303"/>
      <c r="D9" s="41"/>
      <c r="E9" s="33"/>
      <c r="F9" s="25"/>
      <c r="G9" s="25"/>
      <c r="H9" s="39"/>
      <c r="I9" s="39"/>
      <c r="J9" s="39"/>
      <c r="K9" s="39"/>
      <c r="L9" s="39"/>
      <c r="M9" s="40"/>
    </row>
    <row r="10" spans="1:13" ht="15.75" customHeight="1">
      <c r="A10" s="176"/>
      <c r="B10" s="182"/>
      <c r="C10" s="475"/>
      <c r="D10" s="414"/>
      <c r="E10" s="476" t="s">
        <v>416</v>
      </c>
      <c r="F10" s="477" t="s">
        <v>108</v>
      </c>
      <c r="G10" s="477" t="s">
        <v>197</v>
      </c>
      <c r="H10" s="477" t="s">
        <v>198</v>
      </c>
      <c r="I10" s="478" t="s">
        <v>220</v>
      </c>
      <c r="J10" s="479"/>
      <c r="K10" s="39"/>
      <c r="L10" s="39"/>
      <c r="M10" s="40"/>
    </row>
    <row r="11" spans="1:13" ht="15.75" customHeight="1">
      <c r="A11" s="176"/>
      <c r="B11" s="182"/>
      <c r="C11" s="475"/>
      <c r="D11" s="414"/>
      <c r="E11" s="480" t="s">
        <v>196</v>
      </c>
      <c r="F11" s="481">
        <v>0.181</v>
      </c>
      <c r="G11" s="481">
        <v>0.261</v>
      </c>
      <c r="H11" s="481">
        <v>0.272</v>
      </c>
      <c r="I11" s="478" t="s">
        <v>221</v>
      </c>
      <c r="J11" s="479"/>
      <c r="K11" s="39"/>
      <c r="L11" s="39"/>
      <c r="M11" s="40"/>
    </row>
    <row r="12" spans="1:13" ht="15.75" customHeight="1" thickBot="1">
      <c r="A12" s="268"/>
      <c r="B12" s="392"/>
      <c r="C12" s="482"/>
      <c r="D12" s="650"/>
      <c r="E12" s="483" t="s">
        <v>199</v>
      </c>
      <c r="F12" s="484">
        <v>0.161</v>
      </c>
      <c r="G12" s="484">
        <v>0.259</v>
      </c>
      <c r="H12" s="484">
        <v>0.273</v>
      </c>
      <c r="I12" s="485" t="s">
        <v>222</v>
      </c>
      <c r="J12" s="486"/>
      <c r="K12" s="394"/>
      <c r="L12" s="394"/>
      <c r="M12" s="395"/>
    </row>
    <row r="13" spans="1:13" ht="15.75" customHeight="1">
      <c r="A13" s="366"/>
      <c r="B13" s="574"/>
      <c r="C13" s="575"/>
      <c r="D13" s="414"/>
      <c r="E13" s="480"/>
      <c r="F13" s="576"/>
      <c r="G13" s="576"/>
      <c r="H13" s="576"/>
      <c r="I13" s="577"/>
      <c r="J13" s="506"/>
      <c r="K13" s="42"/>
      <c r="L13" s="42"/>
      <c r="M13" s="43"/>
    </row>
    <row r="14" spans="1:13" ht="15.75" customHeight="1" thickBot="1">
      <c r="A14" s="366"/>
      <c r="B14" s="574"/>
      <c r="C14" s="575"/>
      <c r="D14" s="414"/>
      <c r="E14" s="480"/>
      <c r="F14" s="576"/>
      <c r="G14" s="576"/>
      <c r="H14" s="576"/>
      <c r="I14" s="577"/>
      <c r="J14" s="506"/>
      <c r="K14" s="42"/>
      <c r="L14" s="42"/>
      <c r="M14" s="43"/>
    </row>
    <row r="15" spans="1:13" ht="15.75" customHeight="1">
      <c r="A15" s="362" t="s">
        <v>64</v>
      </c>
      <c r="B15" s="98"/>
      <c r="C15" s="98"/>
      <c r="D15" s="363"/>
      <c r="E15" s="320" t="s">
        <v>17</v>
      </c>
      <c r="F15" s="320"/>
      <c r="G15" s="320"/>
      <c r="H15" s="320"/>
      <c r="I15" s="320"/>
      <c r="J15" s="320"/>
      <c r="K15" s="320"/>
      <c r="L15" s="320"/>
      <c r="M15" s="321"/>
    </row>
    <row r="16" spans="1:13" ht="15.75" customHeight="1">
      <c r="A16" s="543" t="s">
        <v>294</v>
      </c>
      <c r="B16" s="127"/>
      <c r="C16" s="127"/>
      <c r="D16" s="37"/>
      <c r="E16" s="283">
        <f>InputB!E$7</f>
        <v>2023</v>
      </c>
      <c r="F16" s="283">
        <f>InputB!F$7</f>
        <v>2022</v>
      </c>
      <c r="G16" s="283">
        <f>InputB!G$7</f>
        <v>2021</v>
      </c>
      <c r="H16" s="283">
        <f>InputB!H$7</f>
        <v>2020</v>
      </c>
      <c r="I16" s="283">
        <f>InputB!I$7</f>
        <v>2019</v>
      </c>
      <c r="J16" s="283">
        <f>InputB!J$7</f>
        <v>2018</v>
      </c>
      <c r="K16" s="283">
        <f>InputB!K$7</f>
        <v>2017</v>
      </c>
      <c r="L16" s="283">
        <f>InputB!L$7</f>
        <v>2016</v>
      </c>
      <c r="M16" s="540">
        <f>InputB!M$7</f>
        <v>2015</v>
      </c>
    </row>
    <row r="17" spans="1:13" ht="15.75" customHeight="1">
      <c r="A17" s="543" t="s">
        <v>295</v>
      </c>
      <c r="B17" s="127"/>
      <c r="C17" s="365"/>
      <c r="D17" s="37"/>
      <c r="E17" s="294"/>
      <c r="F17" s="20"/>
      <c r="G17" s="20"/>
      <c r="H17" s="20"/>
      <c r="I17" s="20"/>
      <c r="J17" s="20"/>
      <c r="K17" s="20"/>
      <c r="L17" s="20"/>
      <c r="M17" s="23"/>
    </row>
    <row r="18" spans="1:13" ht="15.75" customHeight="1">
      <c r="A18" s="172" t="s">
        <v>6</v>
      </c>
      <c r="B18" s="323" t="s">
        <v>296</v>
      </c>
      <c r="C18" s="125" t="s">
        <v>343</v>
      </c>
      <c r="D18" s="41"/>
      <c r="E18" s="25">
        <v>0</v>
      </c>
      <c r="F18" s="25">
        <v>0</v>
      </c>
      <c r="G18" s="25">
        <v>0</v>
      </c>
      <c r="H18" s="25">
        <v>0</v>
      </c>
      <c r="I18" s="25">
        <v>0</v>
      </c>
      <c r="J18" s="25">
        <v>0</v>
      </c>
      <c r="K18" s="25">
        <v>0</v>
      </c>
      <c r="L18" s="39" t="s">
        <v>0</v>
      </c>
      <c r="M18" s="40" t="s">
        <v>0</v>
      </c>
    </row>
    <row r="19" spans="1:13" ht="15.75" customHeight="1">
      <c r="A19" s="176" t="s">
        <v>66</v>
      </c>
      <c r="B19" s="323" t="s">
        <v>297</v>
      </c>
      <c r="C19" s="125" t="s">
        <v>130</v>
      </c>
      <c r="D19" s="41"/>
      <c r="E19" s="25">
        <v>0</v>
      </c>
      <c r="F19" s="25">
        <v>0</v>
      </c>
      <c r="G19" s="25">
        <v>0</v>
      </c>
      <c r="H19" s="25">
        <v>0</v>
      </c>
      <c r="I19" s="25">
        <v>0</v>
      </c>
      <c r="J19" s="25">
        <v>0</v>
      </c>
      <c r="K19" s="25">
        <v>0</v>
      </c>
      <c r="L19" s="39" t="s">
        <v>0</v>
      </c>
      <c r="M19" s="40" t="s">
        <v>0</v>
      </c>
    </row>
    <row r="20" spans="1:13" ht="15.75" customHeight="1">
      <c r="A20" s="176" t="s">
        <v>67</v>
      </c>
      <c r="B20" s="323" t="s">
        <v>298</v>
      </c>
      <c r="C20" s="117" t="s">
        <v>62</v>
      </c>
      <c r="D20" s="41"/>
      <c r="E20" s="25">
        <v>0</v>
      </c>
      <c r="F20" s="25">
        <v>0</v>
      </c>
      <c r="G20" s="25">
        <v>0</v>
      </c>
      <c r="H20" s="25">
        <v>0</v>
      </c>
      <c r="I20" s="25">
        <v>0</v>
      </c>
      <c r="J20" s="25">
        <v>0</v>
      </c>
      <c r="K20" s="25">
        <v>0</v>
      </c>
      <c r="L20" s="39" t="s">
        <v>0</v>
      </c>
      <c r="M20" s="40" t="s">
        <v>0</v>
      </c>
    </row>
    <row r="21" spans="1:13" ht="15.75" customHeight="1">
      <c r="A21" s="176" t="s">
        <v>80</v>
      </c>
      <c r="B21" s="323" t="s">
        <v>299</v>
      </c>
      <c r="C21" s="117" t="s">
        <v>8</v>
      </c>
      <c r="D21" s="41"/>
      <c r="E21" s="25">
        <v>0</v>
      </c>
      <c r="F21" s="25">
        <v>0</v>
      </c>
      <c r="G21" s="25">
        <v>0</v>
      </c>
      <c r="H21" s="25">
        <v>0</v>
      </c>
      <c r="I21" s="25">
        <v>0</v>
      </c>
      <c r="J21" s="25">
        <v>0</v>
      </c>
      <c r="K21" s="25">
        <v>0</v>
      </c>
      <c r="L21" s="39" t="s">
        <v>0</v>
      </c>
      <c r="M21" s="40" t="s">
        <v>0</v>
      </c>
    </row>
    <row r="22" spans="1:13" ht="15.75" customHeight="1">
      <c r="A22" s="176" t="s">
        <v>81</v>
      </c>
      <c r="B22" s="323" t="s">
        <v>300</v>
      </c>
      <c r="C22" s="117" t="s">
        <v>9</v>
      </c>
      <c r="D22" s="41"/>
      <c r="E22" s="25">
        <v>0</v>
      </c>
      <c r="F22" s="25">
        <v>0</v>
      </c>
      <c r="G22" s="25">
        <v>0</v>
      </c>
      <c r="H22" s="25">
        <v>0</v>
      </c>
      <c r="I22" s="25">
        <v>0</v>
      </c>
      <c r="J22" s="25">
        <v>0</v>
      </c>
      <c r="K22" s="25">
        <v>0</v>
      </c>
      <c r="L22" s="39" t="s">
        <v>0</v>
      </c>
      <c r="M22" s="40" t="s">
        <v>0</v>
      </c>
    </row>
    <row r="23" spans="1:13" ht="15.75" customHeight="1">
      <c r="A23" s="176" t="s">
        <v>82</v>
      </c>
      <c r="B23" s="323" t="s">
        <v>302</v>
      </c>
      <c r="C23" s="117" t="s">
        <v>10</v>
      </c>
      <c r="D23" s="41"/>
      <c r="E23" s="25">
        <v>0</v>
      </c>
      <c r="F23" s="25">
        <v>0</v>
      </c>
      <c r="G23" s="25">
        <v>0</v>
      </c>
      <c r="H23" s="25">
        <v>0</v>
      </c>
      <c r="I23" s="25">
        <v>0</v>
      </c>
      <c r="J23" s="25">
        <v>0</v>
      </c>
      <c r="K23" s="25">
        <v>0</v>
      </c>
      <c r="L23" s="39" t="s">
        <v>0</v>
      </c>
      <c r="M23" s="40" t="s">
        <v>0</v>
      </c>
    </row>
    <row r="24" spans="1:13" ht="15.75" customHeight="1">
      <c r="A24" s="176" t="s">
        <v>83</v>
      </c>
      <c r="B24" s="323" t="s">
        <v>301</v>
      </c>
      <c r="C24" s="117" t="s">
        <v>12</v>
      </c>
      <c r="D24" s="41"/>
      <c r="E24" s="25">
        <v>0</v>
      </c>
      <c r="F24" s="25">
        <v>0</v>
      </c>
      <c r="G24" s="25">
        <v>0</v>
      </c>
      <c r="H24" s="25">
        <v>0</v>
      </c>
      <c r="I24" s="25">
        <v>0</v>
      </c>
      <c r="J24" s="25">
        <v>0</v>
      </c>
      <c r="K24" s="25">
        <v>0</v>
      </c>
      <c r="L24" s="39" t="s">
        <v>0</v>
      </c>
      <c r="M24" s="40" t="s">
        <v>0</v>
      </c>
    </row>
    <row r="25" spans="1:13" ht="15.75" customHeight="1">
      <c r="A25" s="176" t="s">
        <v>84</v>
      </c>
      <c r="B25" s="323" t="s">
        <v>403</v>
      </c>
      <c r="C25" s="117" t="s">
        <v>16</v>
      </c>
      <c r="D25" s="41"/>
      <c r="E25" s="25"/>
      <c r="F25" s="25"/>
      <c r="G25" s="25"/>
      <c r="H25" s="25"/>
      <c r="I25" s="25"/>
      <c r="J25" s="25"/>
      <c r="K25" s="25"/>
      <c r="L25" s="39"/>
      <c r="M25" s="40"/>
    </row>
    <row r="26" spans="1:13" ht="15.75" customHeight="1">
      <c r="A26" s="176" t="s">
        <v>85</v>
      </c>
      <c r="B26" s="182" t="s">
        <v>303</v>
      </c>
      <c r="C26" s="117" t="s">
        <v>13</v>
      </c>
      <c r="D26" s="41"/>
      <c r="E26" s="25">
        <v>0</v>
      </c>
      <c r="F26" s="25">
        <v>0</v>
      </c>
      <c r="G26" s="25">
        <v>0</v>
      </c>
      <c r="H26" s="25">
        <v>0</v>
      </c>
      <c r="I26" s="25">
        <v>0</v>
      </c>
      <c r="J26" s="25">
        <v>0</v>
      </c>
      <c r="K26" s="25">
        <v>0</v>
      </c>
      <c r="L26" s="39" t="s">
        <v>0</v>
      </c>
      <c r="M26" s="40" t="s">
        <v>0</v>
      </c>
    </row>
    <row r="27" spans="1:13" ht="15.75" customHeight="1">
      <c r="A27" s="176" t="s">
        <v>86</v>
      </c>
      <c r="B27" s="182" t="s">
        <v>408</v>
      </c>
      <c r="C27" s="125" t="s">
        <v>131</v>
      </c>
      <c r="D27" s="41"/>
      <c r="E27" s="25">
        <v>0</v>
      </c>
      <c r="F27" s="25">
        <v>0</v>
      </c>
      <c r="G27" s="25">
        <v>0</v>
      </c>
      <c r="H27" s="25">
        <v>0</v>
      </c>
      <c r="I27" s="25">
        <v>0</v>
      </c>
      <c r="J27" s="25">
        <v>0</v>
      </c>
      <c r="K27" s="25">
        <v>0</v>
      </c>
      <c r="L27" s="39" t="s">
        <v>0</v>
      </c>
      <c r="M27" s="40" t="s">
        <v>0</v>
      </c>
    </row>
    <row r="28" spans="1:13" ht="15.75" customHeight="1">
      <c r="A28" s="543" t="s">
        <v>304</v>
      </c>
      <c r="B28" s="322"/>
      <c r="C28" s="125"/>
      <c r="D28" s="41"/>
      <c r="E28" s="94"/>
      <c r="F28" s="94"/>
      <c r="G28" s="94"/>
      <c r="H28" s="94"/>
      <c r="I28" s="94"/>
      <c r="J28" s="94"/>
      <c r="K28" s="94"/>
      <c r="L28" s="39"/>
      <c r="M28" s="40"/>
    </row>
    <row r="29" spans="1:13" ht="15.75" customHeight="1">
      <c r="A29" s="172" t="s">
        <v>68</v>
      </c>
      <c r="B29" s="182" t="s">
        <v>305</v>
      </c>
      <c r="C29" s="117" t="s">
        <v>344</v>
      </c>
      <c r="D29" s="41"/>
      <c r="E29" s="25">
        <v>0</v>
      </c>
      <c r="F29" s="25">
        <v>0</v>
      </c>
      <c r="G29" s="25">
        <v>0</v>
      </c>
      <c r="H29" s="25">
        <v>0</v>
      </c>
      <c r="I29" s="25">
        <v>0</v>
      </c>
      <c r="J29" s="25">
        <v>0</v>
      </c>
      <c r="K29" s="25">
        <v>0</v>
      </c>
      <c r="L29" s="25">
        <v>0</v>
      </c>
      <c r="M29" s="40" t="s">
        <v>0</v>
      </c>
    </row>
    <row r="30" spans="1:13" ht="15.75" customHeight="1">
      <c r="A30" s="176" t="s">
        <v>69</v>
      </c>
      <c r="B30" s="182" t="s">
        <v>306</v>
      </c>
      <c r="C30" s="117" t="s">
        <v>61</v>
      </c>
      <c r="D30" s="41"/>
      <c r="E30" s="25">
        <v>0</v>
      </c>
      <c r="F30" s="25">
        <v>0</v>
      </c>
      <c r="G30" s="25">
        <v>0</v>
      </c>
      <c r="H30" s="25">
        <v>0</v>
      </c>
      <c r="I30" s="25">
        <v>0</v>
      </c>
      <c r="J30" s="25">
        <v>0</v>
      </c>
      <c r="K30" s="25">
        <v>0</v>
      </c>
      <c r="L30" s="25">
        <v>0</v>
      </c>
      <c r="M30" s="40" t="s">
        <v>0</v>
      </c>
    </row>
    <row r="31" spans="1:13" ht="15.75" customHeight="1">
      <c r="A31" s="176" t="s">
        <v>135</v>
      </c>
      <c r="B31" s="182" t="s">
        <v>307</v>
      </c>
      <c r="C31" s="117" t="s">
        <v>345</v>
      </c>
      <c r="D31" s="41"/>
      <c r="E31" s="25">
        <v>0</v>
      </c>
      <c r="F31" s="25">
        <v>0</v>
      </c>
      <c r="G31" s="25">
        <v>0</v>
      </c>
      <c r="H31" s="25">
        <v>0</v>
      </c>
      <c r="I31" s="25">
        <v>0</v>
      </c>
      <c r="J31" s="25">
        <v>0</v>
      </c>
      <c r="K31" s="25">
        <v>0</v>
      </c>
      <c r="L31" s="25">
        <v>0</v>
      </c>
      <c r="M31" s="40" t="s">
        <v>0</v>
      </c>
    </row>
    <row r="32" spans="1:13" ht="15.75" customHeight="1">
      <c r="A32" s="176" t="s">
        <v>136</v>
      </c>
      <c r="B32" s="182" t="s">
        <v>308</v>
      </c>
      <c r="C32" s="117" t="s">
        <v>309</v>
      </c>
      <c r="D32" s="41"/>
      <c r="E32" s="25">
        <v>0</v>
      </c>
      <c r="F32" s="25">
        <v>0</v>
      </c>
      <c r="G32" s="25">
        <v>0</v>
      </c>
      <c r="H32" s="25">
        <v>0</v>
      </c>
      <c r="I32" s="25">
        <v>0</v>
      </c>
      <c r="J32" s="25">
        <v>0</v>
      </c>
      <c r="K32" s="25">
        <v>0</v>
      </c>
      <c r="L32" s="25">
        <v>0</v>
      </c>
      <c r="M32" s="40" t="s">
        <v>0</v>
      </c>
    </row>
    <row r="33" spans="1:13" ht="15.75" customHeight="1" thickBot="1">
      <c r="A33" s="181" t="s">
        <v>137</v>
      </c>
      <c r="B33" s="541" t="s">
        <v>310</v>
      </c>
      <c r="C33" s="129" t="s">
        <v>311</v>
      </c>
      <c r="D33" s="84"/>
      <c r="E33" s="30">
        <v>0</v>
      </c>
      <c r="F33" s="30">
        <v>0</v>
      </c>
      <c r="G33" s="30">
        <v>0</v>
      </c>
      <c r="H33" s="30">
        <v>0</v>
      </c>
      <c r="I33" s="30">
        <v>0</v>
      </c>
      <c r="J33" s="30">
        <v>0</v>
      </c>
      <c r="K33" s="30">
        <v>0</v>
      </c>
      <c r="L33" s="30">
        <v>0</v>
      </c>
      <c r="M33" s="277" t="s">
        <v>0</v>
      </c>
    </row>
    <row r="34" spans="1:13" ht="15.75" customHeight="1">
      <c r="A34" s="121"/>
      <c r="B34" s="114"/>
      <c r="C34" s="114"/>
      <c r="D34" s="41"/>
      <c r="E34" s="94"/>
      <c r="F34" s="94"/>
      <c r="G34" s="94"/>
      <c r="H34" s="94"/>
      <c r="I34" s="39"/>
      <c r="J34" s="39"/>
      <c r="K34" s="39"/>
      <c r="L34" s="39"/>
      <c r="M34" s="39"/>
    </row>
    <row r="35" spans="1:13" ht="15.75" customHeight="1" thickBot="1">
      <c r="A35" s="354"/>
      <c r="B35" s="103"/>
      <c r="C35" s="103"/>
      <c r="D35" s="246"/>
      <c r="E35" s="97"/>
      <c r="F35" s="97"/>
      <c r="G35" s="97"/>
      <c r="H35" s="97"/>
      <c r="I35" s="97"/>
      <c r="J35" s="97"/>
      <c r="K35" s="97"/>
      <c r="L35" s="94"/>
      <c r="M35" s="94"/>
    </row>
    <row r="36" spans="1:13" ht="15.75" customHeight="1">
      <c r="A36" s="362" t="s">
        <v>54</v>
      </c>
      <c r="B36" s="98"/>
      <c r="C36" s="98"/>
      <c r="D36" s="363"/>
      <c r="E36" s="320" t="s">
        <v>17</v>
      </c>
      <c r="F36" s="320"/>
      <c r="G36" s="320"/>
      <c r="H36" s="320"/>
      <c r="I36" s="320"/>
      <c r="J36" s="320"/>
      <c r="K36" s="320"/>
      <c r="L36" s="320"/>
      <c r="M36" s="321"/>
    </row>
    <row r="37" spans="1:13" ht="15.75" customHeight="1">
      <c r="A37" s="543" t="s">
        <v>294</v>
      </c>
      <c r="B37" s="127"/>
      <c r="C37" s="127"/>
      <c r="D37" s="37"/>
      <c r="E37" s="283">
        <f>InputB!E$7</f>
        <v>2023</v>
      </c>
      <c r="F37" s="283">
        <f>InputB!F$7</f>
        <v>2022</v>
      </c>
      <c r="G37" s="283">
        <f>InputB!G$7</f>
        <v>2021</v>
      </c>
      <c r="H37" s="283">
        <f>InputB!H$7</f>
        <v>2020</v>
      </c>
      <c r="I37" s="283">
        <f>InputB!I$7</f>
        <v>2019</v>
      </c>
      <c r="J37" s="283">
        <f>InputB!J$7</f>
        <v>2018</v>
      </c>
      <c r="K37" s="283">
        <f>InputB!K$7</f>
        <v>2017</v>
      </c>
      <c r="L37" s="283">
        <f>InputB!L$7</f>
        <v>2016</v>
      </c>
      <c r="M37" s="540">
        <f>InputB!M$7</f>
        <v>2015</v>
      </c>
    </row>
    <row r="38" spans="1:13" ht="15.75" customHeight="1">
      <c r="A38" s="364"/>
      <c r="B38" s="127"/>
      <c r="C38" s="365"/>
      <c r="D38" s="37"/>
      <c r="E38" s="294"/>
      <c r="F38" s="20"/>
      <c r="G38" s="20"/>
      <c r="H38" s="20"/>
      <c r="I38" s="20"/>
      <c r="J38" s="20"/>
      <c r="K38" s="20"/>
      <c r="L38" s="20"/>
      <c r="M38" s="23"/>
    </row>
    <row r="39" spans="1:13" ht="15.75" customHeight="1">
      <c r="A39" s="176" t="s">
        <v>6</v>
      </c>
      <c r="B39" s="182" t="s">
        <v>409</v>
      </c>
      <c r="C39" s="125" t="s">
        <v>189</v>
      </c>
      <c r="D39" s="41"/>
      <c r="E39" s="25">
        <v>0</v>
      </c>
      <c r="F39" s="25">
        <v>0</v>
      </c>
      <c r="G39" s="25">
        <v>0</v>
      </c>
      <c r="H39" s="25">
        <v>0</v>
      </c>
      <c r="I39" s="25">
        <v>0</v>
      </c>
      <c r="J39" s="25">
        <v>0</v>
      </c>
      <c r="K39" s="25">
        <v>0</v>
      </c>
      <c r="L39" s="39" t="s">
        <v>0</v>
      </c>
      <c r="M39" s="40" t="s">
        <v>0</v>
      </c>
    </row>
    <row r="40" spans="1:13" ht="15.75" customHeight="1" thickBot="1">
      <c r="A40" s="181" t="s">
        <v>1</v>
      </c>
      <c r="B40" s="541" t="s">
        <v>346</v>
      </c>
      <c r="C40" s="196" t="s">
        <v>190</v>
      </c>
      <c r="D40" s="84"/>
      <c r="E40" s="30">
        <v>0</v>
      </c>
      <c r="F40" s="30">
        <v>0</v>
      </c>
      <c r="G40" s="30">
        <v>0</v>
      </c>
      <c r="H40" s="30">
        <v>0</v>
      </c>
      <c r="I40" s="30">
        <v>0</v>
      </c>
      <c r="J40" s="30">
        <v>0</v>
      </c>
      <c r="K40" s="30">
        <v>0</v>
      </c>
      <c r="L40" s="276" t="s">
        <v>0</v>
      </c>
      <c r="M40" s="277" t="s">
        <v>0</v>
      </c>
    </row>
    <row r="41" spans="1:13" ht="15.75" customHeight="1">
      <c r="A41" s="121"/>
      <c r="B41" s="114"/>
      <c r="C41" s="114"/>
      <c r="D41" s="41"/>
      <c r="E41" s="94"/>
      <c r="F41" s="94"/>
      <c r="G41" s="94"/>
      <c r="H41" s="94"/>
      <c r="I41" s="39"/>
      <c r="J41" s="39"/>
      <c r="K41" s="39"/>
      <c r="L41" s="39"/>
      <c r="M41" s="39"/>
    </row>
    <row r="42" spans="1:13" ht="15.75" customHeight="1" thickBot="1">
      <c r="A42" s="354"/>
      <c r="B42" s="103"/>
      <c r="C42" s="103"/>
      <c r="D42" s="246"/>
      <c r="E42" s="97"/>
      <c r="F42" s="97"/>
      <c r="G42" s="97"/>
      <c r="H42" s="97"/>
      <c r="I42" s="97"/>
      <c r="J42" s="97"/>
      <c r="K42" s="97"/>
      <c r="L42" s="94"/>
      <c r="M42" s="102"/>
    </row>
    <row r="43" spans="1:13" ht="15.75" customHeight="1">
      <c r="A43" s="367" t="s">
        <v>60</v>
      </c>
      <c r="B43" s="338"/>
      <c r="C43" s="537" t="s">
        <v>359</v>
      </c>
      <c r="D43" s="113"/>
      <c r="E43" s="98"/>
      <c r="F43" s="98"/>
      <c r="G43" s="98"/>
      <c r="H43" s="98"/>
      <c r="I43" s="98"/>
      <c r="J43" s="98"/>
      <c r="K43" s="98"/>
      <c r="L43" s="98"/>
      <c r="M43" s="99"/>
    </row>
    <row r="44" spans="1:13" ht="15.75" customHeight="1">
      <c r="A44" s="340"/>
      <c r="B44" s="368"/>
      <c r="C44" s="285"/>
      <c r="D44" s="369"/>
      <c r="E44" s="100" t="s">
        <v>97</v>
      </c>
      <c r="F44" s="281"/>
      <c r="G44" s="281"/>
      <c r="H44" s="281"/>
      <c r="I44" s="281"/>
      <c r="J44" s="281"/>
      <c r="K44" s="281"/>
      <c r="L44" s="281"/>
      <c r="M44" s="324"/>
    </row>
    <row r="45" spans="1:13" ht="15.75" customHeight="1">
      <c r="A45" s="370"/>
      <c r="B45" s="285"/>
      <c r="C45" s="286"/>
      <c r="D45" s="17">
        <f>ReportYear</f>
        <v>2024</v>
      </c>
      <c r="E45" s="283">
        <f aca="true" t="shared" si="0" ref="E45:L45">D45-1</f>
        <v>2023</v>
      </c>
      <c r="F45" s="283">
        <f t="shared" si="0"/>
        <v>2022</v>
      </c>
      <c r="G45" s="283">
        <f t="shared" si="0"/>
        <v>2021</v>
      </c>
      <c r="H45" s="283">
        <f t="shared" si="0"/>
        <v>2020</v>
      </c>
      <c r="I45" s="283">
        <f t="shared" si="0"/>
        <v>2019</v>
      </c>
      <c r="J45" s="283">
        <f t="shared" si="0"/>
        <v>2018</v>
      </c>
      <c r="K45" s="283">
        <f t="shared" si="0"/>
        <v>2017</v>
      </c>
      <c r="L45" s="283">
        <f t="shared" si="0"/>
        <v>2016</v>
      </c>
      <c r="M45" s="18"/>
    </row>
    <row r="46" spans="1:13" ht="15.75" customHeight="1">
      <c r="A46" s="349" t="s">
        <v>49</v>
      </c>
      <c r="B46" s="371"/>
      <c r="C46" s="372"/>
      <c r="D46" s="133"/>
      <c r="E46" s="294"/>
      <c r="F46" s="20"/>
      <c r="G46" s="20"/>
      <c r="H46" s="20"/>
      <c r="I46" s="20"/>
      <c r="J46" s="20"/>
      <c r="K46" s="20"/>
      <c r="L46" s="20"/>
      <c r="M46" s="21"/>
    </row>
    <row r="47" spans="1:13" ht="15.75" customHeight="1">
      <c r="A47" s="278"/>
      <c r="B47" s="373" t="str">
        <f>InputB!B10</f>
        <v>Item 1</v>
      </c>
      <c r="C47" s="279" t="s">
        <v>59</v>
      </c>
      <c r="D47" s="25">
        <v>0</v>
      </c>
      <c r="E47" s="25">
        <v>0</v>
      </c>
      <c r="F47" s="25">
        <v>0</v>
      </c>
      <c r="G47" s="25">
        <v>0</v>
      </c>
      <c r="H47" s="25">
        <v>0</v>
      </c>
      <c r="I47" s="25">
        <v>0</v>
      </c>
      <c r="J47" s="25">
        <v>0</v>
      </c>
      <c r="K47" s="25">
        <v>0</v>
      </c>
      <c r="L47" s="25">
        <v>0</v>
      </c>
      <c r="M47" s="27"/>
    </row>
    <row r="48" spans="1:13" ht="15.75" customHeight="1">
      <c r="A48" s="278"/>
      <c r="B48" s="279"/>
      <c r="C48" s="279"/>
      <c r="D48" s="41"/>
      <c r="E48" s="94"/>
      <c r="F48" s="94"/>
      <c r="G48" s="94"/>
      <c r="H48" s="94"/>
      <c r="I48" s="94"/>
      <c r="J48" s="94"/>
      <c r="K48" s="94"/>
      <c r="L48" s="94"/>
      <c r="M48" s="95"/>
    </row>
    <row r="49" spans="1:13" ht="15.75" customHeight="1">
      <c r="A49" s="349" t="s">
        <v>209</v>
      </c>
      <c r="B49" s="279"/>
      <c r="C49" s="279"/>
      <c r="D49" s="467" t="s">
        <v>248</v>
      </c>
      <c r="E49" s="466">
        <f aca="true" t="shared" si="1" ref="E49:L49">SUM(E50:E64)</f>
        <v>0</v>
      </c>
      <c r="F49" s="466">
        <f t="shared" si="1"/>
        <v>0</v>
      </c>
      <c r="G49" s="466">
        <f t="shared" si="1"/>
        <v>0</v>
      </c>
      <c r="H49" s="466">
        <f t="shared" si="1"/>
        <v>0</v>
      </c>
      <c r="I49" s="466">
        <f t="shared" si="1"/>
        <v>0</v>
      </c>
      <c r="J49" s="466">
        <f t="shared" si="1"/>
        <v>0</v>
      </c>
      <c r="K49" s="466">
        <f t="shared" si="1"/>
        <v>0</v>
      </c>
      <c r="L49" s="466">
        <f t="shared" si="1"/>
        <v>0</v>
      </c>
      <c r="M49" s="95"/>
    </row>
    <row r="50" spans="1:13" ht="15.75" customHeight="1">
      <c r="A50" s="278"/>
      <c r="B50" s="347" t="s">
        <v>66</v>
      </c>
      <c r="C50" s="344" t="str">
        <f>"in AY "&amp;TEXT(E$45,"0")</f>
        <v>in AY 2023</v>
      </c>
      <c r="D50" s="25">
        <v>0</v>
      </c>
      <c r="E50" s="25">
        <v>0</v>
      </c>
      <c r="F50" s="25">
        <v>0</v>
      </c>
      <c r="G50" s="25">
        <v>0</v>
      </c>
      <c r="H50" s="25">
        <v>0</v>
      </c>
      <c r="I50" s="25">
        <v>0</v>
      </c>
      <c r="J50" s="25">
        <v>0</v>
      </c>
      <c r="K50" s="25">
        <v>0</v>
      </c>
      <c r="L50" s="25">
        <v>0</v>
      </c>
      <c r="M50" s="27"/>
    </row>
    <row r="51" spans="1:13" ht="15.75" customHeight="1">
      <c r="A51" s="278"/>
      <c r="B51" s="347" t="s">
        <v>67</v>
      </c>
      <c r="C51" s="344" t="str">
        <f>"in AY "&amp;TEXT(E$45-1,"0")</f>
        <v>in AY 2022</v>
      </c>
      <c r="D51" s="25">
        <v>0</v>
      </c>
      <c r="E51" s="25">
        <v>0</v>
      </c>
      <c r="F51" s="25">
        <v>0</v>
      </c>
      <c r="G51" s="25">
        <v>0</v>
      </c>
      <c r="H51" s="25">
        <v>0</v>
      </c>
      <c r="I51" s="25">
        <v>0</v>
      </c>
      <c r="J51" s="25">
        <v>0</v>
      </c>
      <c r="K51" s="25">
        <v>0</v>
      </c>
      <c r="L51" s="25">
        <v>0</v>
      </c>
      <c r="M51" s="27"/>
    </row>
    <row r="52" spans="1:13" ht="15.75" customHeight="1">
      <c r="A52" s="278"/>
      <c r="B52" s="347" t="s">
        <v>80</v>
      </c>
      <c r="C52" s="344" t="str">
        <f>"in AY "&amp;TEXT(E$45-2,"0")</f>
        <v>in AY 2021</v>
      </c>
      <c r="D52" s="25">
        <v>0</v>
      </c>
      <c r="E52" s="25">
        <v>0</v>
      </c>
      <c r="F52" s="25">
        <v>0</v>
      </c>
      <c r="G52" s="25">
        <v>0</v>
      </c>
      <c r="H52" s="25">
        <v>0</v>
      </c>
      <c r="I52" s="25">
        <v>0</v>
      </c>
      <c r="J52" s="25">
        <v>0</v>
      </c>
      <c r="K52" s="25">
        <v>0</v>
      </c>
      <c r="L52" s="25">
        <v>0</v>
      </c>
      <c r="M52" s="27"/>
    </row>
    <row r="53" spans="1:13" ht="15.75" customHeight="1">
      <c r="A53" s="278"/>
      <c r="B53" s="347" t="s">
        <v>81</v>
      </c>
      <c r="C53" s="344" t="str">
        <f>"in AY "&amp;TEXT(E$45-3,"0")</f>
        <v>in AY 2020</v>
      </c>
      <c r="D53" s="25">
        <v>0</v>
      </c>
      <c r="E53" s="25">
        <v>0</v>
      </c>
      <c r="F53" s="25">
        <v>0</v>
      </c>
      <c r="G53" s="25">
        <v>0</v>
      </c>
      <c r="H53" s="25">
        <v>0</v>
      </c>
      <c r="I53" s="25">
        <v>0</v>
      </c>
      <c r="J53" s="25">
        <v>0</v>
      </c>
      <c r="K53" s="25">
        <v>0</v>
      </c>
      <c r="L53" s="25">
        <v>0</v>
      </c>
      <c r="M53" s="27"/>
    </row>
    <row r="54" spans="1:13" ht="15.75" customHeight="1">
      <c r="A54" s="278"/>
      <c r="B54" s="347" t="s">
        <v>82</v>
      </c>
      <c r="C54" s="344" t="str">
        <f>"in AY "&amp;TEXT(E$45-4,"0")</f>
        <v>in AY 2019</v>
      </c>
      <c r="D54" s="25">
        <v>0</v>
      </c>
      <c r="E54" s="25">
        <v>0</v>
      </c>
      <c r="F54" s="25">
        <v>0</v>
      </c>
      <c r="G54" s="25">
        <v>0</v>
      </c>
      <c r="H54" s="25">
        <v>0</v>
      </c>
      <c r="I54" s="25">
        <v>0</v>
      </c>
      <c r="J54" s="25">
        <v>0</v>
      </c>
      <c r="K54" s="25">
        <v>0</v>
      </c>
      <c r="L54" s="25">
        <v>0</v>
      </c>
      <c r="M54" s="27"/>
    </row>
    <row r="55" spans="1:13" ht="15.75" customHeight="1">
      <c r="A55" s="278"/>
      <c r="B55" s="347" t="s">
        <v>83</v>
      </c>
      <c r="C55" s="344" t="str">
        <f>"in AY "&amp;TEXT(E$45-5,"0")</f>
        <v>in AY 2018</v>
      </c>
      <c r="D55" s="25">
        <v>0</v>
      </c>
      <c r="E55" s="25">
        <v>0</v>
      </c>
      <c r="F55" s="25">
        <v>0</v>
      </c>
      <c r="G55" s="25">
        <v>0</v>
      </c>
      <c r="H55" s="25">
        <v>0</v>
      </c>
      <c r="I55" s="25">
        <v>0</v>
      </c>
      <c r="J55" s="25">
        <v>0</v>
      </c>
      <c r="K55" s="25">
        <v>0</v>
      </c>
      <c r="L55" s="25">
        <v>0</v>
      </c>
      <c r="M55" s="27"/>
    </row>
    <row r="56" spans="1:13" ht="15.75" customHeight="1">
      <c r="A56" s="278"/>
      <c r="B56" s="347" t="s">
        <v>84</v>
      </c>
      <c r="C56" s="344" t="str">
        <f>"in AY "&amp;TEXT(E$45-6,"0")</f>
        <v>in AY 2017</v>
      </c>
      <c r="D56" s="25">
        <v>0</v>
      </c>
      <c r="E56" s="25">
        <v>0</v>
      </c>
      <c r="F56" s="25">
        <v>0</v>
      </c>
      <c r="G56" s="25">
        <v>0</v>
      </c>
      <c r="H56" s="25">
        <v>0</v>
      </c>
      <c r="I56" s="25">
        <v>0</v>
      </c>
      <c r="J56" s="25">
        <v>0</v>
      </c>
      <c r="K56" s="25">
        <v>0</v>
      </c>
      <c r="L56" s="25">
        <v>0</v>
      </c>
      <c r="M56" s="27"/>
    </row>
    <row r="57" spans="1:13" ht="15.75" customHeight="1">
      <c r="A57" s="278"/>
      <c r="B57" s="347" t="s">
        <v>85</v>
      </c>
      <c r="C57" s="344" t="str">
        <f>"in AY "&amp;TEXT(E$45-7,"0")</f>
        <v>in AY 2016</v>
      </c>
      <c r="D57" s="39" t="s">
        <v>0</v>
      </c>
      <c r="E57" s="25">
        <v>0</v>
      </c>
      <c r="F57" s="25">
        <v>0</v>
      </c>
      <c r="G57" s="25">
        <v>0</v>
      </c>
      <c r="H57" s="25">
        <v>0</v>
      </c>
      <c r="I57" s="25">
        <v>0</v>
      </c>
      <c r="J57" s="25">
        <v>0</v>
      </c>
      <c r="K57" s="25">
        <v>0</v>
      </c>
      <c r="L57" s="25">
        <v>0</v>
      </c>
      <c r="M57" s="27"/>
    </row>
    <row r="58" spans="1:13" ht="15.75" customHeight="1">
      <c r="A58" s="278"/>
      <c r="B58" s="347" t="s">
        <v>86</v>
      </c>
      <c r="C58" s="344" t="str">
        <f>"in AY "&amp;TEXT(E$45-8,"0")</f>
        <v>in AY 2015</v>
      </c>
      <c r="D58" s="39" t="s">
        <v>0</v>
      </c>
      <c r="E58" s="39" t="s">
        <v>0</v>
      </c>
      <c r="F58" s="25">
        <v>0</v>
      </c>
      <c r="G58" s="25">
        <v>0</v>
      </c>
      <c r="H58" s="25">
        <v>0</v>
      </c>
      <c r="I58" s="25">
        <v>0</v>
      </c>
      <c r="J58" s="25">
        <v>0</v>
      </c>
      <c r="K58" s="25">
        <v>0</v>
      </c>
      <c r="L58" s="25">
        <v>0</v>
      </c>
      <c r="M58" s="27"/>
    </row>
    <row r="59" spans="1:13" ht="15.75" customHeight="1">
      <c r="A59" s="278"/>
      <c r="B59" s="347" t="s">
        <v>87</v>
      </c>
      <c r="C59" s="344" t="str">
        <f>"in AY "&amp;TEXT(E$45-9,"0")</f>
        <v>in AY 2014</v>
      </c>
      <c r="D59" s="39" t="s">
        <v>0</v>
      </c>
      <c r="E59" s="39" t="s">
        <v>0</v>
      </c>
      <c r="F59" s="39" t="s">
        <v>0</v>
      </c>
      <c r="G59" s="25">
        <v>0</v>
      </c>
      <c r="H59" s="25">
        <v>0</v>
      </c>
      <c r="I59" s="25">
        <v>0</v>
      </c>
      <c r="J59" s="25">
        <v>0</v>
      </c>
      <c r="K59" s="25">
        <v>0</v>
      </c>
      <c r="L59" s="25">
        <v>0</v>
      </c>
      <c r="M59" s="27"/>
    </row>
    <row r="60" spans="1:13" ht="15.75" customHeight="1">
      <c r="A60" s="278"/>
      <c r="B60" s="347" t="s">
        <v>88</v>
      </c>
      <c r="C60" s="344" t="str">
        <f>"in AY "&amp;TEXT(E$45-10,"0")</f>
        <v>in AY 2013</v>
      </c>
      <c r="D60" s="39" t="s">
        <v>0</v>
      </c>
      <c r="E60" s="39" t="s">
        <v>0</v>
      </c>
      <c r="F60" s="39" t="s">
        <v>0</v>
      </c>
      <c r="G60" s="39" t="s">
        <v>0</v>
      </c>
      <c r="H60" s="25">
        <v>0</v>
      </c>
      <c r="I60" s="25">
        <v>0</v>
      </c>
      <c r="J60" s="25">
        <v>0</v>
      </c>
      <c r="K60" s="25">
        <v>0</v>
      </c>
      <c r="L60" s="25">
        <v>0</v>
      </c>
      <c r="M60" s="27"/>
    </row>
    <row r="61" spans="1:13" ht="15.75" customHeight="1">
      <c r="A61" s="278"/>
      <c r="B61" s="347" t="s">
        <v>89</v>
      </c>
      <c r="C61" s="344" t="str">
        <f>"in AY "&amp;TEXT(E$45-11,"0")</f>
        <v>in AY 2012</v>
      </c>
      <c r="D61" s="39" t="s">
        <v>0</v>
      </c>
      <c r="E61" s="39" t="s">
        <v>0</v>
      </c>
      <c r="F61" s="39" t="s">
        <v>0</v>
      </c>
      <c r="G61" s="39" t="s">
        <v>0</v>
      </c>
      <c r="H61" s="39" t="s">
        <v>0</v>
      </c>
      <c r="I61" s="25">
        <v>0</v>
      </c>
      <c r="J61" s="25">
        <v>0</v>
      </c>
      <c r="K61" s="25">
        <v>0</v>
      </c>
      <c r="L61" s="25">
        <v>0</v>
      </c>
      <c r="M61" s="27"/>
    </row>
    <row r="62" spans="1:13" ht="15.75" customHeight="1">
      <c r="A62" s="278"/>
      <c r="B62" s="347" t="s">
        <v>90</v>
      </c>
      <c r="C62" s="344" t="str">
        <f>"in AY "&amp;TEXT(E$45-12,"0")</f>
        <v>in AY 2011</v>
      </c>
      <c r="D62" s="39" t="s">
        <v>0</v>
      </c>
      <c r="E62" s="39" t="s">
        <v>0</v>
      </c>
      <c r="F62" s="39" t="s">
        <v>0</v>
      </c>
      <c r="G62" s="39" t="s">
        <v>0</v>
      </c>
      <c r="H62" s="39" t="s">
        <v>0</v>
      </c>
      <c r="I62" s="39" t="s">
        <v>0</v>
      </c>
      <c r="J62" s="25">
        <v>0</v>
      </c>
      <c r="K62" s="25">
        <v>0</v>
      </c>
      <c r="L62" s="25">
        <v>0</v>
      </c>
      <c r="M62" s="27"/>
    </row>
    <row r="63" spans="1:13" ht="15.75" customHeight="1">
      <c r="A63" s="278"/>
      <c r="B63" s="347" t="s">
        <v>91</v>
      </c>
      <c r="C63" s="344" t="str">
        <f>"in AY "&amp;TEXT(E$45-13,"0")</f>
        <v>in AY 2010</v>
      </c>
      <c r="D63" s="39" t="s">
        <v>0</v>
      </c>
      <c r="E63" s="39" t="s">
        <v>0</v>
      </c>
      <c r="F63" s="39" t="s">
        <v>0</v>
      </c>
      <c r="G63" s="39" t="s">
        <v>0</v>
      </c>
      <c r="H63" s="39" t="s">
        <v>0</v>
      </c>
      <c r="I63" s="39" t="s">
        <v>0</v>
      </c>
      <c r="J63" s="39" t="s">
        <v>0</v>
      </c>
      <c r="K63" s="25">
        <v>0</v>
      </c>
      <c r="L63" s="25">
        <v>0</v>
      </c>
      <c r="M63" s="27"/>
    </row>
    <row r="64" spans="1:13" ht="15.75" customHeight="1">
      <c r="A64" s="278"/>
      <c r="B64" s="347" t="s">
        <v>92</v>
      </c>
      <c r="C64" s="344" t="str">
        <f>"in AY "&amp;TEXT(E$45-14,"0")</f>
        <v>in AY 2009</v>
      </c>
      <c r="D64" s="39" t="s">
        <v>0</v>
      </c>
      <c r="E64" s="39" t="s">
        <v>0</v>
      </c>
      <c r="F64" s="39" t="s">
        <v>0</v>
      </c>
      <c r="G64" s="39" t="s">
        <v>0</v>
      </c>
      <c r="H64" s="39" t="s">
        <v>0</v>
      </c>
      <c r="I64" s="39" t="s">
        <v>0</v>
      </c>
      <c r="J64" s="39" t="s">
        <v>0</v>
      </c>
      <c r="K64" s="39" t="s">
        <v>0</v>
      </c>
      <c r="L64" s="25">
        <v>0</v>
      </c>
      <c r="M64" s="27"/>
    </row>
    <row r="65" spans="1:13" ht="15.75" customHeight="1">
      <c r="A65" s="278"/>
      <c r="B65" s="279"/>
      <c r="C65" s="279"/>
      <c r="D65" s="280"/>
      <c r="E65" s="39"/>
      <c r="F65" s="39"/>
      <c r="G65" s="39"/>
      <c r="H65" s="39"/>
      <c r="I65" s="39"/>
      <c r="J65" s="39"/>
      <c r="K65" s="39"/>
      <c r="L65" s="39"/>
      <c r="M65" s="287"/>
    </row>
    <row r="66" spans="1:13" ht="15.75" customHeight="1">
      <c r="A66" s="278"/>
      <c r="B66" s="279"/>
      <c r="C66" s="279"/>
      <c r="D66" s="280"/>
      <c r="E66" s="281" t="str">
        <f>E44</f>
        <v>Calendar Year Excess Profit Paid</v>
      </c>
      <c r="F66" s="281"/>
      <c r="G66" s="281"/>
      <c r="H66" s="281"/>
      <c r="I66" s="281"/>
      <c r="J66" s="281"/>
      <c r="K66" s="281"/>
      <c r="L66" s="281"/>
      <c r="M66" s="282"/>
    </row>
    <row r="67" spans="1:13" ht="15.75" customHeight="1">
      <c r="A67" s="278"/>
      <c r="B67" s="279"/>
      <c r="C67" s="279"/>
      <c r="D67" s="280"/>
      <c r="E67" s="283">
        <f>ReportYear-9</f>
        <v>2015</v>
      </c>
      <c r="F67" s="17">
        <f aca="true" t="shared" si="2" ref="F67:L67">E67-1</f>
        <v>2014</v>
      </c>
      <c r="G67" s="17">
        <f t="shared" si="2"/>
        <v>2013</v>
      </c>
      <c r="H67" s="17">
        <f t="shared" si="2"/>
        <v>2012</v>
      </c>
      <c r="I67" s="17">
        <f t="shared" si="2"/>
        <v>2011</v>
      </c>
      <c r="J67" s="17">
        <f t="shared" si="2"/>
        <v>2010</v>
      </c>
      <c r="K67" s="17">
        <f t="shared" si="2"/>
        <v>2009</v>
      </c>
      <c r="L67" s="17">
        <f t="shared" si="2"/>
        <v>2008</v>
      </c>
      <c r="M67" s="18"/>
    </row>
    <row r="68" spans="1:13" ht="15.75" customHeight="1">
      <c r="A68" s="284" t="str">
        <f>A46</f>
        <v>Excess Profit Refund Paid</v>
      </c>
      <c r="B68" s="285"/>
      <c r="C68" s="286"/>
      <c r="D68" s="41"/>
      <c r="E68" s="39"/>
      <c r="F68" s="39"/>
      <c r="G68" s="39"/>
      <c r="H68" s="39"/>
      <c r="I68" s="39"/>
      <c r="J68" s="39"/>
      <c r="K68" s="39"/>
      <c r="L68" s="39"/>
      <c r="M68" s="287"/>
    </row>
    <row r="69" spans="1:13" ht="15.75" customHeight="1">
      <c r="A69" s="345"/>
      <c r="B69" s="347" t="str">
        <f>B47</f>
        <v>Item 1</v>
      </c>
      <c r="C69" s="347">
        <f>C47</f>
      </c>
      <c r="D69" s="280"/>
      <c r="E69" s="25">
        <v>0</v>
      </c>
      <c r="F69" s="25">
        <v>0</v>
      </c>
      <c r="G69" s="25">
        <v>0</v>
      </c>
      <c r="H69" s="25">
        <v>0</v>
      </c>
      <c r="I69" s="25">
        <v>0</v>
      </c>
      <c r="J69" s="25">
        <v>0</v>
      </c>
      <c r="K69" s="25">
        <v>0</v>
      </c>
      <c r="L69" s="25">
        <v>0</v>
      </c>
      <c r="M69" s="27"/>
    </row>
    <row r="70" spans="1:13" ht="15.75" customHeight="1">
      <c r="A70" s="278"/>
      <c r="B70" s="279"/>
      <c r="C70" s="279"/>
      <c r="D70" s="280"/>
      <c r="E70" s="39"/>
      <c r="F70" s="39"/>
      <c r="G70" s="39"/>
      <c r="H70" s="39"/>
      <c r="I70" s="39"/>
      <c r="J70" s="39"/>
      <c r="K70" s="39"/>
      <c r="L70" s="39"/>
      <c r="M70" s="287"/>
    </row>
    <row r="71" spans="1:13" ht="15.75" customHeight="1">
      <c r="A71" s="284" t="str">
        <f>A49</f>
        <v>Excess Profit Carryforward Used</v>
      </c>
      <c r="B71" s="279"/>
      <c r="C71" s="279"/>
      <c r="D71" s="467" t="s">
        <v>248</v>
      </c>
      <c r="E71" s="466">
        <f aca="true" t="shared" si="3" ref="E71:L71">SUM(E72:E94)</f>
        <v>0</v>
      </c>
      <c r="F71" s="466">
        <f t="shared" si="3"/>
        <v>0</v>
      </c>
      <c r="G71" s="466">
        <f t="shared" si="3"/>
        <v>0</v>
      </c>
      <c r="H71" s="466">
        <f t="shared" si="3"/>
        <v>0</v>
      </c>
      <c r="I71" s="466">
        <f t="shared" si="3"/>
        <v>0</v>
      </c>
      <c r="J71" s="466">
        <f t="shared" si="3"/>
        <v>0</v>
      </c>
      <c r="K71" s="466">
        <f t="shared" si="3"/>
        <v>0</v>
      </c>
      <c r="L71" s="466">
        <f t="shared" si="3"/>
        <v>0</v>
      </c>
      <c r="M71" s="287"/>
    </row>
    <row r="72" spans="1:13" ht="15.75" customHeight="1">
      <c r="A72" s="345"/>
      <c r="B72" s="347" t="str">
        <f aca="true" t="shared" si="4" ref="B72:B81">B50</f>
        <v>Item 2.1</v>
      </c>
      <c r="C72" s="344" t="str">
        <f>"in AY "&amp;TEXT(E$45,"0")</f>
        <v>in AY 2023</v>
      </c>
      <c r="D72" s="280"/>
      <c r="E72" s="25">
        <v>0</v>
      </c>
      <c r="F72" s="25">
        <v>0</v>
      </c>
      <c r="G72" s="25">
        <v>0</v>
      </c>
      <c r="H72" s="25">
        <v>0</v>
      </c>
      <c r="I72" s="25">
        <v>0</v>
      </c>
      <c r="J72" s="25">
        <v>0</v>
      </c>
      <c r="K72" s="25">
        <v>0</v>
      </c>
      <c r="L72" s="25">
        <v>0</v>
      </c>
      <c r="M72" s="27"/>
    </row>
    <row r="73" spans="1:13" ht="15.75" customHeight="1">
      <c r="A73" s="278"/>
      <c r="B73" s="347" t="str">
        <f t="shared" si="4"/>
        <v>Item 2.2</v>
      </c>
      <c r="C73" s="344" t="str">
        <f>"in AY "&amp;TEXT(E$45-1,"0")</f>
        <v>in AY 2022</v>
      </c>
      <c r="D73" s="280"/>
      <c r="E73" s="25">
        <v>0</v>
      </c>
      <c r="F73" s="25">
        <v>0</v>
      </c>
      <c r="G73" s="25">
        <v>0</v>
      </c>
      <c r="H73" s="25">
        <v>0</v>
      </c>
      <c r="I73" s="25">
        <v>0</v>
      </c>
      <c r="J73" s="25">
        <v>0</v>
      </c>
      <c r="K73" s="25">
        <v>0</v>
      </c>
      <c r="L73" s="25">
        <v>0</v>
      </c>
      <c r="M73" s="27"/>
    </row>
    <row r="74" spans="1:13" ht="15.75" customHeight="1">
      <c r="A74" s="278"/>
      <c r="B74" s="347" t="str">
        <f t="shared" si="4"/>
        <v>Item 2.3</v>
      </c>
      <c r="C74" s="344" t="str">
        <f>"in AY "&amp;TEXT(E$45-2,"0")</f>
        <v>in AY 2021</v>
      </c>
      <c r="D74" s="280"/>
      <c r="E74" s="25">
        <v>0</v>
      </c>
      <c r="F74" s="25">
        <v>0</v>
      </c>
      <c r="G74" s="25">
        <v>0</v>
      </c>
      <c r="H74" s="25">
        <v>0</v>
      </c>
      <c r="I74" s="25">
        <v>0</v>
      </c>
      <c r="J74" s="25">
        <v>0</v>
      </c>
      <c r="K74" s="25">
        <v>0</v>
      </c>
      <c r="L74" s="25">
        <v>0</v>
      </c>
      <c r="M74" s="27"/>
    </row>
    <row r="75" spans="1:13" ht="15.75" customHeight="1">
      <c r="A75" s="278"/>
      <c r="B75" s="347" t="str">
        <f t="shared" si="4"/>
        <v>Item 2.4</v>
      </c>
      <c r="C75" s="344" t="str">
        <f>"in AY "&amp;TEXT(E$45-3,"0")</f>
        <v>in AY 2020</v>
      </c>
      <c r="D75" s="280"/>
      <c r="E75" s="25">
        <v>0</v>
      </c>
      <c r="F75" s="25">
        <v>0</v>
      </c>
      <c r="G75" s="25">
        <v>0</v>
      </c>
      <c r="H75" s="25">
        <v>0</v>
      </c>
      <c r="I75" s="25">
        <v>0</v>
      </c>
      <c r="J75" s="25">
        <v>0</v>
      </c>
      <c r="K75" s="25">
        <v>0</v>
      </c>
      <c r="L75" s="25">
        <v>0</v>
      </c>
      <c r="M75" s="27"/>
    </row>
    <row r="76" spans="1:13" ht="15.75" customHeight="1">
      <c r="A76" s="278"/>
      <c r="B76" s="347" t="str">
        <f t="shared" si="4"/>
        <v>Item 2.5</v>
      </c>
      <c r="C76" s="344" t="str">
        <f>"in AY "&amp;TEXT(E$45-4,"0")</f>
        <v>in AY 2019</v>
      </c>
      <c r="D76" s="280"/>
      <c r="E76" s="25">
        <v>0</v>
      </c>
      <c r="F76" s="25">
        <v>0</v>
      </c>
      <c r="G76" s="25">
        <v>0</v>
      </c>
      <c r="H76" s="25">
        <v>0</v>
      </c>
      <c r="I76" s="25">
        <v>0</v>
      </c>
      <c r="J76" s="25">
        <v>0</v>
      </c>
      <c r="K76" s="25">
        <v>0</v>
      </c>
      <c r="L76" s="25">
        <v>0</v>
      </c>
      <c r="M76" s="27"/>
    </row>
    <row r="77" spans="1:13" ht="15.75" customHeight="1">
      <c r="A77" s="278"/>
      <c r="B77" s="347" t="str">
        <f t="shared" si="4"/>
        <v>Item 2.6</v>
      </c>
      <c r="C77" s="344" t="str">
        <f>"in AY "&amp;TEXT(E$45-5,"0")</f>
        <v>in AY 2018</v>
      </c>
      <c r="D77" s="280"/>
      <c r="E77" s="25">
        <v>0</v>
      </c>
      <c r="F77" s="25">
        <v>0</v>
      </c>
      <c r="G77" s="25">
        <v>0</v>
      </c>
      <c r="H77" s="25">
        <v>0</v>
      </c>
      <c r="I77" s="25">
        <v>0</v>
      </c>
      <c r="J77" s="25">
        <v>0</v>
      </c>
      <c r="K77" s="25">
        <v>0</v>
      </c>
      <c r="L77" s="25">
        <v>0</v>
      </c>
      <c r="M77" s="27"/>
    </row>
    <row r="78" spans="1:13" ht="15.75" customHeight="1">
      <c r="A78" s="278"/>
      <c r="B78" s="347" t="str">
        <f t="shared" si="4"/>
        <v>Item 2.7</v>
      </c>
      <c r="C78" s="344" t="str">
        <f>"in AY "&amp;TEXT(E$45-6,"0")</f>
        <v>in AY 2017</v>
      </c>
      <c r="D78" s="280"/>
      <c r="E78" s="25">
        <v>0</v>
      </c>
      <c r="F78" s="25">
        <v>0</v>
      </c>
      <c r="G78" s="25">
        <v>0</v>
      </c>
      <c r="H78" s="25">
        <v>0</v>
      </c>
      <c r="I78" s="25">
        <v>0</v>
      </c>
      <c r="J78" s="25">
        <v>0</v>
      </c>
      <c r="K78" s="25">
        <v>0</v>
      </c>
      <c r="L78" s="25">
        <v>0</v>
      </c>
      <c r="M78" s="27"/>
    </row>
    <row r="79" spans="1:13" ht="15.75" customHeight="1">
      <c r="A79" s="278"/>
      <c r="B79" s="347" t="str">
        <f t="shared" si="4"/>
        <v>Item 2.8</v>
      </c>
      <c r="C79" s="344" t="str">
        <f>"in AY "&amp;TEXT(E$45-7,"0")</f>
        <v>in AY 2016</v>
      </c>
      <c r="D79" s="280"/>
      <c r="E79" s="25">
        <v>0</v>
      </c>
      <c r="F79" s="25">
        <v>0</v>
      </c>
      <c r="G79" s="25">
        <v>0</v>
      </c>
      <c r="H79" s="25">
        <v>0</v>
      </c>
      <c r="I79" s="25">
        <v>0</v>
      </c>
      <c r="J79" s="25">
        <v>0</v>
      </c>
      <c r="K79" s="25">
        <v>0</v>
      </c>
      <c r="L79" s="25">
        <v>0</v>
      </c>
      <c r="M79" s="27"/>
    </row>
    <row r="80" spans="1:13" ht="15.75" customHeight="1">
      <c r="A80" s="278"/>
      <c r="B80" s="347" t="str">
        <f t="shared" si="4"/>
        <v>Item 2.9</v>
      </c>
      <c r="C80" s="344" t="str">
        <f>"in AY "&amp;TEXT(E$45-8,"0")</f>
        <v>in AY 2015</v>
      </c>
      <c r="D80" s="280"/>
      <c r="E80" s="25">
        <v>0</v>
      </c>
      <c r="F80" s="25">
        <v>0</v>
      </c>
      <c r="G80" s="25">
        <v>0</v>
      </c>
      <c r="H80" s="25">
        <v>0</v>
      </c>
      <c r="I80" s="25">
        <v>0</v>
      </c>
      <c r="J80" s="25">
        <v>0</v>
      </c>
      <c r="K80" s="25">
        <v>0</v>
      </c>
      <c r="L80" s="25">
        <v>0</v>
      </c>
      <c r="M80" s="27"/>
    </row>
    <row r="81" spans="1:13" ht="15.75" customHeight="1">
      <c r="A81" s="278"/>
      <c r="B81" s="347" t="str">
        <f t="shared" si="4"/>
        <v>Item 2.10</v>
      </c>
      <c r="C81" s="344" t="str">
        <f>"in AY "&amp;TEXT(E$45-9,"0")</f>
        <v>in AY 2014</v>
      </c>
      <c r="D81" s="280"/>
      <c r="E81" s="25">
        <v>0</v>
      </c>
      <c r="F81" s="25">
        <v>0</v>
      </c>
      <c r="G81" s="25">
        <v>0</v>
      </c>
      <c r="H81" s="25">
        <v>0</v>
      </c>
      <c r="I81" s="25">
        <v>0</v>
      </c>
      <c r="J81" s="25">
        <v>0</v>
      </c>
      <c r="K81" s="25">
        <v>0</v>
      </c>
      <c r="L81" s="25">
        <v>0</v>
      </c>
      <c r="M81" s="27"/>
    </row>
    <row r="82" spans="1:13" ht="15.75" customHeight="1">
      <c r="A82" s="278"/>
      <c r="B82" s="347" t="str">
        <f>B64</f>
        <v>Item 2.15</v>
      </c>
      <c r="C82" s="344" t="str">
        <f>"in AY "&amp;TEXT(E$45-10,"0")</f>
        <v>in AY 2013</v>
      </c>
      <c r="D82" s="280"/>
      <c r="E82" s="25">
        <v>0</v>
      </c>
      <c r="F82" s="25">
        <v>0</v>
      </c>
      <c r="G82" s="25">
        <v>0</v>
      </c>
      <c r="H82" s="25">
        <v>0</v>
      </c>
      <c r="I82" s="25">
        <v>0</v>
      </c>
      <c r="J82" s="25">
        <v>0</v>
      </c>
      <c r="K82" s="25">
        <v>0</v>
      </c>
      <c r="L82" s="25">
        <v>0</v>
      </c>
      <c r="M82" s="27"/>
    </row>
    <row r="83" spans="1:13" ht="15.75" customHeight="1">
      <c r="A83" s="278"/>
      <c r="B83" s="347" t="s">
        <v>89</v>
      </c>
      <c r="C83" s="344" t="str">
        <f>"in AY "&amp;TEXT(E$45-11,"0")</f>
        <v>in AY 2012</v>
      </c>
      <c r="D83" s="280"/>
      <c r="E83" s="25">
        <v>0</v>
      </c>
      <c r="F83" s="25">
        <v>0</v>
      </c>
      <c r="G83" s="25">
        <v>0</v>
      </c>
      <c r="H83" s="25">
        <v>0</v>
      </c>
      <c r="I83" s="25">
        <v>0</v>
      </c>
      <c r="J83" s="25">
        <v>0</v>
      </c>
      <c r="K83" s="25">
        <v>0</v>
      </c>
      <c r="L83" s="25">
        <v>0</v>
      </c>
      <c r="M83" s="27"/>
    </row>
    <row r="84" spans="1:13" ht="15.75" customHeight="1">
      <c r="A84" s="278"/>
      <c r="B84" s="347" t="s">
        <v>90</v>
      </c>
      <c r="C84" s="344" t="str">
        <f>"in AY "&amp;TEXT(E$45-12,"0")</f>
        <v>in AY 2011</v>
      </c>
      <c r="D84" s="280"/>
      <c r="E84" s="25">
        <v>0</v>
      </c>
      <c r="F84" s="25">
        <v>0</v>
      </c>
      <c r="G84" s="25">
        <v>0</v>
      </c>
      <c r="H84" s="25">
        <v>0</v>
      </c>
      <c r="I84" s="25">
        <v>0</v>
      </c>
      <c r="J84" s="25">
        <v>0</v>
      </c>
      <c r="K84" s="25">
        <v>0</v>
      </c>
      <c r="L84" s="25">
        <v>0</v>
      </c>
      <c r="M84" s="27"/>
    </row>
    <row r="85" spans="1:13" ht="15.75" customHeight="1">
      <c r="A85" s="278"/>
      <c r="B85" s="347" t="s">
        <v>91</v>
      </c>
      <c r="C85" s="344" t="str">
        <f>"in AY "&amp;TEXT(E$45-13,"0")</f>
        <v>in AY 2010</v>
      </c>
      <c r="D85" s="280"/>
      <c r="E85" s="25">
        <v>0</v>
      </c>
      <c r="F85" s="25">
        <v>0</v>
      </c>
      <c r="G85" s="25">
        <v>0</v>
      </c>
      <c r="H85" s="25">
        <v>0</v>
      </c>
      <c r="I85" s="25">
        <v>0</v>
      </c>
      <c r="J85" s="25">
        <v>0</v>
      </c>
      <c r="K85" s="25">
        <v>0</v>
      </c>
      <c r="L85" s="25">
        <v>0</v>
      </c>
      <c r="M85" s="27"/>
    </row>
    <row r="86" spans="1:13" ht="15.75" customHeight="1">
      <c r="A86" s="278"/>
      <c r="B86" s="347" t="s">
        <v>92</v>
      </c>
      <c r="C86" s="344" t="str">
        <f>"in AY "&amp;TEXT(E$45-14,"0")</f>
        <v>in AY 2009</v>
      </c>
      <c r="D86" s="280"/>
      <c r="E86" s="25">
        <v>0</v>
      </c>
      <c r="F86" s="25">
        <v>0</v>
      </c>
      <c r="G86" s="25">
        <v>0</v>
      </c>
      <c r="H86" s="25">
        <v>0</v>
      </c>
      <c r="I86" s="25">
        <v>0</v>
      </c>
      <c r="J86" s="25">
        <v>0</v>
      </c>
      <c r="K86" s="25">
        <v>0</v>
      </c>
      <c r="L86" s="25">
        <v>0</v>
      </c>
      <c r="M86" s="27"/>
    </row>
    <row r="87" spans="1:13" ht="15.75" customHeight="1">
      <c r="A87" s="278"/>
      <c r="B87" s="347" t="s">
        <v>93</v>
      </c>
      <c r="C87" s="344" t="str">
        <f>"in AY "&amp;TEXT(E$45-15,"0")</f>
        <v>in AY 2008</v>
      </c>
      <c r="D87" s="280"/>
      <c r="E87" s="25">
        <v>0</v>
      </c>
      <c r="F87" s="25">
        <v>0</v>
      </c>
      <c r="G87" s="25">
        <v>0</v>
      </c>
      <c r="H87" s="25">
        <v>0</v>
      </c>
      <c r="I87" s="25">
        <v>0</v>
      </c>
      <c r="J87" s="25">
        <v>0</v>
      </c>
      <c r="K87" s="25">
        <v>0</v>
      </c>
      <c r="L87" s="25">
        <v>0</v>
      </c>
      <c r="M87" s="27"/>
    </row>
    <row r="88" spans="1:13" ht="15.75" customHeight="1">
      <c r="A88" s="278"/>
      <c r="B88" s="347" t="s">
        <v>94</v>
      </c>
      <c r="C88" s="344" t="str">
        <f>"in AY "&amp;TEXT(E$45-16,"0")</f>
        <v>in AY 2007</v>
      </c>
      <c r="D88" s="280"/>
      <c r="E88" s="39" t="s">
        <v>0</v>
      </c>
      <c r="F88" s="25">
        <v>0</v>
      </c>
      <c r="G88" s="25">
        <v>0</v>
      </c>
      <c r="H88" s="25">
        <v>0</v>
      </c>
      <c r="I88" s="25">
        <v>0</v>
      </c>
      <c r="J88" s="25">
        <v>0</v>
      </c>
      <c r="K88" s="25">
        <v>0</v>
      </c>
      <c r="L88" s="25">
        <v>0</v>
      </c>
      <c r="M88" s="27"/>
    </row>
    <row r="89" spans="1:13" ht="15.75" customHeight="1">
      <c r="A89" s="278"/>
      <c r="B89" s="347" t="s">
        <v>95</v>
      </c>
      <c r="C89" s="344" t="str">
        <f>"in AY "&amp;TEXT(E$45-17,"0")</f>
        <v>in AY 2006</v>
      </c>
      <c r="D89" s="280"/>
      <c r="E89" s="39" t="s">
        <v>0</v>
      </c>
      <c r="F89" s="39" t="s">
        <v>0</v>
      </c>
      <c r="G89" s="25">
        <v>0</v>
      </c>
      <c r="H89" s="25">
        <v>0</v>
      </c>
      <c r="I89" s="25">
        <v>0</v>
      </c>
      <c r="J89" s="25">
        <v>0</v>
      </c>
      <c r="K89" s="25">
        <v>0</v>
      </c>
      <c r="L89" s="25">
        <v>0</v>
      </c>
      <c r="M89" s="27"/>
    </row>
    <row r="90" spans="1:13" ht="15.75" customHeight="1">
      <c r="A90" s="463"/>
      <c r="B90" s="347" t="s">
        <v>96</v>
      </c>
      <c r="C90" s="344" t="str">
        <f>"in AY "&amp;TEXT(E$45-18,"0")</f>
        <v>in AY 2005</v>
      </c>
      <c r="D90" s="280"/>
      <c r="E90" s="39" t="s">
        <v>0</v>
      </c>
      <c r="F90" s="39" t="s">
        <v>0</v>
      </c>
      <c r="G90" s="39" t="s">
        <v>0</v>
      </c>
      <c r="H90" s="25">
        <v>0</v>
      </c>
      <c r="I90" s="25">
        <v>0</v>
      </c>
      <c r="J90" s="25">
        <v>0</v>
      </c>
      <c r="K90" s="25">
        <v>0</v>
      </c>
      <c r="L90" s="25">
        <v>0</v>
      </c>
      <c r="M90" s="27"/>
    </row>
    <row r="91" spans="1:13" ht="15.75" customHeight="1">
      <c r="A91" s="463"/>
      <c r="B91" s="347" t="s">
        <v>244</v>
      </c>
      <c r="C91" s="344" t="str">
        <f>"in AY "&amp;TEXT(E$45-19,"0")</f>
        <v>in AY 2004</v>
      </c>
      <c r="D91" s="280"/>
      <c r="E91" s="39" t="s">
        <v>0</v>
      </c>
      <c r="F91" s="39" t="s">
        <v>0</v>
      </c>
      <c r="G91" s="39" t="s">
        <v>0</v>
      </c>
      <c r="H91" s="39" t="s">
        <v>0</v>
      </c>
      <c r="I91" s="25">
        <v>0</v>
      </c>
      <c r="J91" s="25">
        <v>0</v>
      </c>
      <c r="K91" s="25">
        <v>0</v>
      </c>
      <c r="L91" s="25">
        <v>0</v>
      </c>
      <c r="M91" s="27"/>
    </row>
    <row r="92" spans="1:13" ht="15.75" customHeight="1">
      <c r="A92" s="404"/>
      <c r="B92" s="347" t="s">
        <v>245</v>
      </c>
      <c r="C92" s="344" t="str">
        <f>"in AY "&amp;TEXT(E$45-20,"0")</f>
        <v>in AY 2003</v>
      </c>
      <c r="D92" s="280"/>
      <c r="E92" s="39" t="s">
        <v>0</v>
      </c>
      <c r="F92" s="39" t="s">
        <v>0</v>
      </c>
      <c r="G92" s="39" t="s">
        <v>0</v>
      </c>
      <c r="H92" s="39" t="s">
        <v>0</v>
      </c>
      <c r="I92" s="39" t="s">
        <v>0</v>
      </c>
      <c r="J92" s="25">
        <v>0</v>
      </c>
      <c r="K92" s="25">
        <v>0</v>
      </c>
      <c r="L92" s="25">
        <v>0</v>
      </c>
      <c r="M92" s="26"/>
    </row>
    <row r="93" spans="1:13" ht="15.75" customHeight="1">
      <c r="A93" s="404"/>
      <c r="B93" s="347" t="s">
        <v>246</v>
      </c>
      <c r="C93" s="344" t="str">
        <f>"in AY "&amp;TEXT(E$45-21,"0")</f>
        <v>in AY 2002</v>
      </c>
      <c r="D93" s="280"/>
      <c r="E93" s="39" t="s">
        <v>0</v>
      </c>
      <c r="F93" s="39" t="s">
        <v>0</v>
      </c>
      <c r="G93" s="39" t="s">
        <v>0</v>
      </c>
      <c r="H93" s="39" t="s">
        <v>0</v>
      </c>
      <c r="I93" s="39" t="s">
        <v>0</v>
      </c>
      <c r="J93" s="39" t="s">
        <v>0</v>
      </c>
      <c r="K93" s="25">
        <v>0</v>
      </c>
      <c r="L93" s="25">
        <v>0</v>
      </c>
      <c r="M93" s="26"/>
    </row>
    <row r="94" spans="1:13" ht="15.75" customHeight="1" thickBot="1">
      <c r="A94" s="578"/>
      <c r="B94" s="375" t="s">
        <v>247</v>
      </c>
      <c r="C94" s="376" t="str">
        <f>"in AY "&amp;TEXT(E$45-22,"0")</f>
        <v>in AY 2001</v>
      </c>
      <c r="D94" s="579"/>
      <c r="E94" s="276" t="s">
        <v>0</v>
      </c>
      <c r="F94" s="276" t="s">
        <v>0</v>
      </c>
      <c r="G94" s="276" t="s">
        <v>0</v>
      </c>
      <c r="H94" s="276" t="s">
        <v>0</v>
      </c>
      <c r="I94" s="276" t="s">
        <v>0</v>
      </c>
      <c r="J94" s="276" t="s">
        <v>0</v>
      </c>
      <c r="K94" s="276" t="s">
        <v>0</v>
      </c>
      <c r="L94" s="30">
        <v>0</v>
      </c>
      <c r="M94" s="89"/>
    </row>
    <row r="95" spans="1:13" ht="15.75" customHeight="1">
      <c r="A95" s="405"/>
      <c r="L95" s="398"/>
      <c r="M95" s="406"/>
    </row>
    <row r="96" spans="12:13" ht="15.75" customHeight="1" thickBot="1">
      <c r="L96" s="398"/>
      <c r="M96" s="406"/>
    </row>
    <row r="97" spans="1:13" ht="15.75" customHeight="1">
      <c r="A97" s="352" t="s">
        <v>55</v>
      </c>
      <c r="B97" s="338"/>
      <c r="C97" s="537" t="s">
        <v>358</v>
      </c>
      <c r="D97" s="113"/>
      <c r="E97" s="98"/>
      <c r="F97" s="98"/>
      <c r="G97" s="98"/>
      <c r="H97" s="98"/>
      <c r="I97" s="98"/>
      <c r="J97" s="98"/>
      <c r="K97" s="98"/>
      <c r="L97" s="98"/>
      <c r="M97" s="99"/>
    </row>
    <row r="98" spans="1:13" ht="15.75" customHeight="1">
      <c r="A98" s="340"/>
      <c r="B98" s="368"/>
      <c r="C98" s="285"/>
      <c r="D98" s="369"/>
      <c r="E98" s="100" t="s">
        <v>215</v>
      </c>
      <c r="F98" s="281"/>
      <c r="G98" s="281"/>
      <c r="H98" s="281"/>
      <c r="I98" s="281"/>
      <c r="J98" s="281"/>
      <c r="K98" s="281"/>
      <c r="L98" s="281"/>
      <c r="M98" s="324"/>
    </row>
    <row r="99" spans="1:13" ht="15.75" customHeight="1">
      <c r="A99" s="340"/>
      <c r="B99" s="285"/>
      <c r="C99" s="286"/>
      <c r="D99" s="17">
        <f>InputB!$C$3</f>
        <v>2024</v>
      </c>
      <c r="E99" s="283">
        <f aca="true" t="shared" si="5" ref="E99:L99">D99-1</f>
        <v>2023</v>
      </c>
      <c r="F99" s="17">
        <f t="shared" si="5"/>
        <v>2022</v>
      </c>
      <c r="G99" s="17">
        <f t="shared" si="5"/>
        <v>2021</v>
      </c>
      <c r="H99" s="17">
        <f t="shared" si="5"/>
        <v>2020</v>
      </c>
      <c r="I99" s="17">
        <f t="shared" si="5"/>
        <v>2019</v>
      </c>
      <c r="J99" s="17">
        <f t="shared" si="5"/>
        <v>2018</v>
      </c>
      <c r="K99" s="17">
        <f t="shared" si="5"/>
        <v>2017</v>
      </c>
      <c r="L99" s="17">
        <f t="shared" si="5"/>
        <v>2016</v>
      </c>
      <c r="M99" s="34"/>
    </row>
    <row r="100" spans="1:13" ht="15.75" customHeight="1">
      <c r="A100" s="346" t="s">
        <v>212</v>
      </c>
      <c r="B100" s="371"/>
      <c r="C100" s="372"/>
      <c r="D100" s="133"/>
      <c r="E100" s="294"/>
      <c r="F100" s="20"/>
      <c r="G100" s="20"/>
      <c r="H100" s="20"/>
      <c r="I100" s="20"/>
      <c r="J100" s="20"/>
      <c r="K100" s="20"/>
      <c r="L100" s="20"/>
      <c r="M100" s="23"/>
    </row>
    <row r="101" spans="1:13" ht="15.75" customHeight="1">
      <c r="A101" s="278"/>
      <c r="B101" s="407" t="s">
        <v>6</v>
      </c>
      <c r="C101" s="279" t="s">
        <v>59</v>
      </c>
      <c r="D101" s="39" t="s">
        <v>0</v>
      </c>
      <c r="E101" s="35" t="e">
        <f>Exh9!$I$44</f>
        <v>#DIV/0!</v>
      </c>
      <c r="F101" s="35" t="e">
        <f>Exh9!$H$44</f>
        <v>#DIV/0!</v>
      </c>
      <c r="G101" s="35" t="e">
        <f>Exh9!$G$44</f>
        <v>#DIV/0!</v>
      </c>
      <c r="H101" s="35" t="e">
        <f>Exh9!$F$44</f>
        <v>#DIV/0!</v>
      </c>
      <c r="I101" s="35" t="e">
        <f>Exh9!$E$44</f>
        <v>#DIV/0!</v>
      </c>
      <c r="J101" s="35" t="e">
        <f>Exh9!$D$44</f>
        <v>#DIV/0!</v>
      </c>
      <c r="K101" s="35" t="e">
        <f>Exh9!$C$44</f>
        <v>#DIV/0!</v>
      </c>
      <c r="L101" s="25">
        <v>0</v>
      </c>
      <c r="M101" s="27"/>
    </row>
    <row r="102" spans="1:13" ht="15.75" customHeight="1">
      <c r="A102" s="278"/>
      <c r="B102" s="279"/>
      <c r="C102" s="279"/>
      <c r="D102" s="41"/>
      <c r="E102" s="94"/>
      <c r="F102" s="94"/>
      <c r="G102" s="94"/>
      <c r="H102" s="94"/>
      <c r="I102" s="94"/>
      <c r="J102" s="94"/>
      <c r="K102" s="94"/>
      <c r="L102" s="94"/>
      <c r="M102" s="95"/>
    </row>
    <row r="103" spans="1:13" ht="15.75" customHeight="1">
      <c r="A103" s="349" t="s">
        <v>213</v>
      </c>
      <c r="B103" s="279"/>
      <c r="C103" s="279"/>
      <c r="D103" s="467" t="s">
        <v>248</v>
      </c>
      <c r="E103" s="466">
        <f aca="true" t="shared" si="6" ref="E103:L103">SUM(E104:E118)</f>
        <v>0</v>
      </c>
      <c r="F103" s="466">
        <f t="shared" si="6"/>
        <v>0</v>
      </c>
      <c r="G103" s="466">
        <f t="shared" si="6"/>
        <v>0</v>
      </c>
      <c r="H103" s="466">
        <f t="shared" si="6"/>
        <v>0</v>
      </c>
      <c r="I103" s="466">
        <f t="shared" si="6"/>
        <v>0</v>
      </c>
      <c r="J103" s="466">
        <f t="shared" si="6"/>
        <v>0</v>
      </c>
      <c r="K103" s="466">
        <f t="shared" si="6"/>
        <v>0</v>
      </c>
      <c r="L103" s="466">
        <f t="shared" si="6"/>
        <v>0</v>
      </c>
      <c r="M103" s="95"/>
    </row>
    <row r="104" spans="1:13" ht="15.75" customHeight="1">
      <c r="A104" s="278"/>
      <c r="B104" s="347" t="s">
        <v>66</v>
      </c>
      <c r="C104" s="344" t="str">
        <f>"in AY "&amp;TEXT(InputTOTAL!E$45,"0")</f>
        <v>in AY 2023</v>
      </c>
      <c r="D104" s="39" t="s">
        <v>0</v>
      </c>
      <c r="E104" s="25">
        <v>0</v>
      </c>
      <c r="F104" s="25">
        <v>0</v>
      </c>
      <c r="G104" s="25">
        <v>0</v>
      </c>
      <c r="H104" s="25">
        <v>0</v>
      </c>
      <c r="I104" s="25">
        <v>0</v>
      </c>
      <c r="J104" s="25">
        <v>0</v>
      </c>
      <c r="K104" s="25">
        <v>0</v>
      </c>
      <c r="L104" s="25">
        <v>0</v>
      </c>
      <c r="M104" s="27"/>
    </row>
    <row r="105" spans="1:13" ht="15.75" customHeight="1">
      <c r="A105" s="278"/>
      <c r="B105" s="347" t="s">
        <v>67</v>
      </c>
      <c r="C105" s="344" t="str">
        <f>"in AY "&amp;TEXT(InputTOTAL!E$45-1,"0")</f>
        <v>in AY 2022</v>
      </c>
      <c r="D105" s="39" t="s">
        <v>0</v>
      </c>
      <c r="E105" s="25">
        <v>0</v>
      </c>
      <c r="F105" s="25">
        <v>0</v>
      </c>
      <c r="G105" s="25">
        <v>0</v>
      </c>
      <c r="H105" s="25">
        <v>0</v>
      </c>
      <c r="I105" s="25">
        <v>0</v>
      </c>
      <c r="J105" s="25">
        <v>0</v>
      </c>
      <c r="K105" s="25">
        <v>0</v>
      </c>
      <c r="L105" s="25">
        <v>0</v>
      </c>
      <c r="M105" s="27"/>
    </row>
    <row r="106" spans="1:13" ht="15.75" customHeight="1">
      <c r="A106" s="278"/>
      <c r="B106" s="347" t="s">
        <v>80</v>
      </c>
      <c r="C106" s="344" t="str">
        <f>"in AY "&amp;TEXT(InputTOTAL!E$45-2,"0")</f>
        <v>in AY 2021</v>
      </c>
      <c r="D106" s="39" t="s">
        <v>0</v>
      </c>
      <c r="E106" s="25">
        <v>0</v>
      </c>
      <c r="F106" s="25">
        <v>0</v>
      </c>
      <c r="G106" s="25">
        <v>0</v>
      </c>
      <c r="H106" s="25">
        <v>0</v>
      </c>
      <c r="I106" s="25">
        <v>0</v>
      </c>
      <c r="J106" s="25">
        <v>0</v>
      </c>
      <c r="K106" s="25">
        <v>0</v>
      </c>
      <c r="L106" s="25">
        <v>0</v>
      </c>
      <c r="M106" s="27"/>
    </row>
    <row r="107" spans="1:13" ht="15.75" customHeight="1">
      <c r="A107" s="278"/>
      <c r="B107" s="347" t="s">
        <v>81</v>
      </c>
      <c r="C107" s="344" t="str">
        <f>"in AY "&amp;TEXT(InputTOTAL!E$45-3,"0")</f>
        <v>in AY 2020</v>
      </c>
      <c r="D107" s="39" t="s">
        <v>0</v>
      </c>
      <c r="E107" s="25">
        <v>0</v>
      </c>
      <c r="F107" s="25">
        <v>0</v>
      </c>
      <c r="G107" s="25">
        <v>0</v>
      </c>
      <c r="H107" s="25">
        <v>0</v>
      </c>
      <c r="I107" s="25">
        <v>0</v>
      </c>
      <c r="J107" s="25">
        <v>0</v>
      </c>
      <c r="K107" s="25">
        <v>0</v>
      </c>
      <c r="L107" s="25">
        <v>0</v>
      </c>
      <c r="M107" s="27"/>
    </row>
    <row r="108" spans="1:13" ht="15.75" customHeight="1">
      <c r="A108" s="278"/>
      <c r="B108" s="347" t="s">
        <v>82</v>
      </c>
      <c r="C108" s="344" t="str">
        <f>"in AY "&amp;TEXT(InputTOTAL!E$45-4,"0")</f>
        <v>in AY 2019</v>
      </c>
      <c r="D108" s="39" t="s">
        <v>0</v>
      </c>
      <c r="E108" s="25">
        <v>0</v>
      </c>
      <c r="F108" s="25">
        <v>0</v>
      </c>
      <c r="G108" s="25">
        <v>0</v>
      </c>
      <c r="H108" s="25">
        <v>0</v>
      </c>
      <c r="I108" s="25">
        <v>0</v>
      </c>
      <c r="J108" s="25">
        <v>0</v>
      </c>
      <c r="K108" s="25">
        <v>0</v>
      </c>
      <c r="L108" s="25">
        <v>0</v>
      </c>
      <c r="M108" s="27"/>
    </row>
    <row r="109" spans="1:13" ht="15.75" customHeight="1">
      <c r="A109" s="278"/>
      <c r="B109" s="347" t="s">
        <v>83</v>
      </c>
      <c r="C109" s="344" t="str">
        <f>"in AY "&amp;TEXT(InputTOTAL!E$45-5,"0")</f>
        <v>in AY 2018</v>
      </c>
      <c r="D109" s="39" t="s">
        <v>0</v>
      </c>
      <c r="E109" s="25">
        <v>0</v>
      </c>
      <c r="F109" s="25">
        <v>0</v>
      </c>
      <c r="G109" s="25">
        <v>0</v>
      </c>
      <c r="H109" s="25">
        <v>0</v>
      </c>
      <c r="I109" s="25">
        <v>0</v>
      </c>
      <c r="J109" s="25">
        <v>0</v>
      </c>
      <c r="K109" s="25">
        <v>0</v>
      </c>
      <c r="L109" s="25">
        <v>0</v>
      </c>
      <c r="M109" s="27"/>
    </row>
    <row r="110" spans="1:13" ht="15.75" customHeight="1">
      <c r="A110" s="278"/>
      <c r="B110" s="347" t="s">
        <v>84</v>
      </c>
      <c r="C110" s="344" t="str">
        <f>"in AY "&amp;TEXT(InputTOTAL!E$45-6,"0")</f>
        <v>in AY 2017</v>
      </c>
      <c r="D110" s="39" t="s">
        <v>0</v>
      </c>
      <c r="E110" s="25">
        <v>0</v>
      </c>
      <c r="F110" s="25">
        <v>0</v>
      </c>
      <c r="G110" s="25">
        <v>0</v>
      </c>
      <c r="H110" s="25">
        <v>0</v>
      </c>
      <c r="I110" s="25">
        <v>0</v>
      </c>
      <c r="J110" s="25">
        <v>0</v>
      </c>
      <c r="K110" s="25">
        <v>0</v>
      </c>
      <c r="L110" s="25">
        <v>0</v>
      </c>
      <c r="M110" s="27"/>
    </row>
    <row r="111" spans="1:13" ht="15.75" customHeight="1">
      <c r="A111" s="278"/>
      <c r="B111" s="347" t="s">
        <v>85</v>
      </c>
      <c r="C111" s="344" t="str">
        <f>"in AY "&amp;TEXT(InputTOTAL!E$45-7,"0")</f>
        <v>in AY 2016</v>
      </c>
      <c r="D111" s="39" t="s">
        <v>0</v>
      </c>
      <c r="E111" s="25">
        <v>0</v>
      </c>
      <c r="F111" s="25">
        <v>0</v>
      </c>
      <c r="G111" s="25">
        <v>0</v>
      </c>
      <c r="H111" s="25">
        <v>0</v>
      </c>
      <c r="I111" s="25">
        <v>0</v>
      </c>
      <c r="J111" s="25">
        <v>0</v>
      </c>
      <c r="K111" s="25">
        <v>0</v>
      </c>
      <c r="L111" s="25">
        <v>0</v>
      </c>
      <c r="M111" s="27"/>
    </row>
    <row r="112" spans="1:13" ht="15.75" customHeight="1">
      <c r="A112" s="278"/>
      <c r="B112" s="347" t="s">
        <v>86</v>
      </c>
      <c r="C112" s="344" t="str">
        <f>"in AY "&amp;TEXT(InputTOTAL!E$45-8,"0")</f>
        <v>in AY 2015</v>
      </c>
      <c r="D112" s="39" t="s">
        <v>0</v>
      </c>
      <c r="E112" s="39" t="s">
        <v>0</v>
      </c>
      <c r="F112" s="25">
        <v>0</v>
      </c>
      <c r="G112" s="25">
        <v>0</v>
      </c>
      <c r="H112" s="25">
        <v>0</v>
      </c>
      <c r="I112" s="25">
        <v>0</v>
      </c>
      <c r="J112" s="25">
        <v>0</v>
      </c>
      <c r="K112" s="25">
        <v>0</v>
      </c>
      <c r="L112" s="25">
        <v>0</v>
      </c>
      <c r="M112" s="27"/>
    </row>
    <row r="113" spans="1:13" ht="15.75" customHeight="1">
      <c r="A113" s="278"/>
      <c r="B113" s="347" t="s">
        <v>87</v>
      </c>
      <c r="C113" s="344" t="str">
        <f>"in AY "&amp;TEXT(InputTOTAL!E$45-9,"0")</f>
        <v>in AY 2014</v>
      </c>
      <c r="D113" s="39" t="s">
        <v>0</v>
      </c>
      <c r="E113" s="39" t="s">
        <v>0</v>
      </c>
      <c r="F113" s="39" t="s">
        <v>0</v>
      </c>
      <c r="G113" s="25">
        <v>0</v>
      </c>
      <c r="H113" s="25">
        <v>0</v>
      </c>
      <c r="I113" s="25">
        <v>0</v>
      </c>
      <c r="J113" s="25">
        <v>0</v>
      </c>
      <c r="K113" s="25">
        <v>0</v>
      </c>
      <c r="L113" s="25">
        <v>0</v>
      </c>
      <c r="M113" s="27"/>
    </row>
    <row r="114" spans="1:13" ht="15.75" customHeight="1">
      <c r="A114" s="278"/>
      <c r="B114" s="347" t="s">
        <v>88</v>
      </c>
      <c r="C114" s="344" t="str">
        <f>"in AY "&amp;TEXT(InputTOTAL!E$45-10,"0")</f>
        <v>in AY 2013</v>
      </c>
      <c r="D114" s="39" t="s">
        <v>0</v>
      </c>
      <c r="E114" s="39" t="s">
        <v>0</v>
      </c>
      <c r="F114" s="39" t="s">
        <v>0</v>
      </c>
      <c r="G114" s="39" t="s">
        <v>0</v>
      </c>
      <c r="H114" s="25">
        <v>0</v>
      </c>
      <c r="I114" s="25">
        <v>0</v>
      </c>
      <c r="J114" s="25">
        <v>0</v>
      </c>
      <c r="K114" s="25">
        <v>0</v>
      </c>
      <c r="L114" s="25">
        <v>0</v>
      </c>
      <c r="M114" s="27"/>
    </row>
    <row r="115" spans="1:13" ht="15.75" customHeight="1">
      <c r="A115" s="278"/>
      <c r="B115" s="347" t="s">
        <v>89</v>
      </c>
      <c r="C115" s="344" t="str">
        <f>"in AY "&amp;TEXT(InputTOTAL!E$45-11,"0")</f>
        <v>in AY 2012</v>
      </c>
      <c r="D115" s="39" t="s">
        <v>0</v>
      </c>
      <c r="E115" s="39" t="s">
        <v>0</v>
      </c>
      <c r="F115" s="39" t="s">
        <v>0</v>
      </c>
      <c r="G115" s="39" t="s">
        <v>0</v>
      </c>
      <c r="H115" s="39" t="s">
        <v>0</v>
      </c>
      <c r="I115" s="25">
        <v>0</v>
      </c>
      <c r="J115" s="25">
        <v>0</v>
      </c>
      <c r="K115" s="25">
        <v>0</v>
      </c>
      <c r="L115" s="25">
        <v>0</v>
      </c>
      <c r="M115" s="27"/>
    </row>
    <row r="116" spans="1:13" ht="15.75" customHeight="1">
      <c r="A116" s="278"/>
      <c r="B116" s="347" t="s">
        <v>90</v>
      </c>
      <c r="C116" s="344" t="str">
        <f>"in AY "&amp;TEXT(InputTOTAL!E$45-12,"0")</f>
        <v>in AY 2011</v>
      </c>
      <c r="D116" s="39" t="s">
        <v>0</v>
      </c>
      <c r="E116" s="39" t="s">
        <v>0</v>
      </c>
      <c r="F116" s="39" t="s">
        <v>0</v>
      </c>
      <c r="G116" s="39" t="s">
        <v>0</v>
      </c>
      <c r="H116" s="39" t="s">
        <v>0</v>
      </c>
      <c r="I116" s="39" t="s">
        <v>0</v>
      </c>
      <c r="J116" s="25">
        <v>0</v>
      </c>
      <c r="K116" s="25">
        <v>0</v>
      </c>
      <c r="L116" s="25">
        <v>0</v>
      </c>
      <c r="M116" s="27"/>
    </row>
    <row r="117" spans="1:13" ht="15.75" customHeight="1">
      <c r="A117" s="278"/>
      <c r="B117" s="347" t="s">
        <v>91</v>
      </c>
      <c r="C117" s="344" t="str">
        <f>"in AY "&amp;TEXT(InputTOTAL!E$45-13,"0")</f>
        <v>in AY 2010</v>
      </c>
      <c r="D117" s="39" t="s">
        <v>0</v>
      </c>
      <c r="E117" s="39" t="s">
        <v>0</v>
      </c>
      <c r="F117" s="39" t="s">
        <v>0</v>
      </c>
      <c r="G117" s="39" t="s">
        <v>0</v>
      </c>
      <c r="H117" s="39" t="s">
        <v>0</v>
      </c>
      <c r="I117" s="39" t="s">
        <v>0</v>
      </c>
      <c r="J117" s="39" t="s">
        <v>0</v>
      </c>
      <c r="K117" s="25">
        <v>0</v>
      </c>
      <c r="L117" s="25">
        <v>0</v>
      </c>
      <c r="M117" s="27"/>
    </row>
    <row r="118" spans="1:13" ht="15.75" customHeight="1">
      <c r="A118" s="278"/>
      <c r="B118" s="347" t="s">
        <v>92</v>
      </c>
      <c r="C118" s="344" t="str">
        <f>"in AY "&amp;TEXT(InputTOTAL!E$45-14,"0")</f>
        <v>in AY 2009</v>
      </c>
      <c r="D118" s="39" t="s">
        <v>0</v>
      </c>
      <c r="E118" s="39" t="s">
        <v>0</v>
      </c>
      <c r="F118" s="39" t="s">
        <v>0</v>
      </c>
      <c r="G118" s="39" t="s">
        <v>0</v>
      </c>
      <c r="H118" s="39" t="s">
        <v>0</v>
      </c>
      <c r="I118" s="39" t="s">
        <v>0</v>
      </c>
      <c r="J118" s="39" t="s">
        <v>0</v>
      </c>
      <c r="K118" s="39" t="s">
        <v>0</v>
      </c>
      <c r="L118" s="25">
        <v>0</v>
      </c>
      <c r="M118" s="27"/>
    </row>
    <row r="119" spans="1:13" ht="15.75" customHeight="1">
      <c r="A119" s="278"/>
      <c r="B119" s="279"/>
      <c r="C119" s="279"/>
      <c r="D119" s="280"/>
      <c r="E119" s="39"/>
      <c r="F119" s="39"/>
      <c r="G119" s="39"/>
      <c r="H119" s="39"/>
      <c r="I119" s="39"/>
      <c r="J119" s="39"/>
      <c r="K119" s="39"/>
      <c r="L119" s="39"/>
      <c r="M119" s="287"/>
    </row>
    <row r="120" spans="1:13" ht="15.75" customHeight="1">
      <c r="A120" s="278"/>
      <c r="B120" s="279"/>
      <c r="C120" s="279"/>
      <c r="D120" s="280"/>
      <c r="E120" s="281" t="str">
        <f>E98</f>
        <v>Calendar Year Extraordinary Loss Incurred</v>
      </c>
      <c r="F120" s="281"/>
      <c r="G120" s="281"/>
      <c r="H120" s="281"/>
      <c r="I120" s="281"/>
      <c r="J120" s="281"/>
      <c r="K120" s="281"/>
      <c r="L120" s="281"/>
      <c r="M120" s="282"/>
    </row>
    <row r="121" spans="1:13" ht="15.75" customHeight="1">
      <c r="A121" s="278"/>
      <c r="B121" s="279"/>
      <c r="C121" s="279"/>
      <c r="D121" s="280"/>
      <c r="E121" s="283">
        <f>E99-8</f>
        <v>2015</v>
      </c>
      <c r="F121" s="17">
        <f aca="true" t="shared" si="7" ref="F121:L121">E121-1</f>
        <v>2014</v>
      </c>
      <c r="G121" s="17">
        <f t="shared" si="7"/>
        <v>2013</v>
      </c>
      <c r="H121" s="17">
        <f t="shared" si="7"/>
        <v>2012</v>
      </c>
      <c r="I121" s="17">
        <f t="shared" si="7"/>
        <v>2011</v>
      </c>
      <c r="J121" s="17">
        <f t="shared" si="7"/>
        <v>2010</v>
      </c>
      <c r="K121" s="17">
        <f t="shared" si="7"/>
        <v>2009</v>
      </c>
      <c r="L121" s="17">
        <f t="shared" si="7"/>
        <v>2008</v>
      </c>
      <c r="M121" s="18"/>
    </row>
    <row r="122" spans="1:13" ht="15.75" customHeight="1">
      <c r="A122" s="284" t="str">
        <f>A100</f>
        <v>Extraordinary Loss Incurred</v>
      </c>
      <c r="B122" s="285"/>
      <c r="C122" s="286"/>
      <c r="D122" s="41"/>
      <c r="E122" s="39"/>
      <c r="F122" s="39"/>
      <c r="G122" s="39"/>
      <c r="H122" s="39"/>
      <c r="I122" s="39"/>
      <c r="J122" s="39"/>
      <c r="K122" s="39"/>
      <c r="L122" s="39"/>
      <c r="M122" s="287"/>
    </row>
    <row r="123" spans="1:13" ht="15.75" customHeight="1">
      <c r="A123" s="345"/>
      <c r="B123" s="347" t="str">
        <f>B101</f>
        <v>Item 1</v>
      </c>
      <c r="C123" s="347">
        <f>C101</f>
      </c>
      <c r="D123" s="280"/>
      <c r="E123" s="25">
        <v>0</v>
      </c>
      <c r="F123" s="25">
        <v>0</v>
      </c>
      <c r="G123" s="25">
        <v>0</v>
      </c>
      <c r="H123" s="25">
        <v>0</v>
      </c>
      <c r="I123" s="25">
        <v>0</v>
      </c>
      <c r="J123" s="25">
        <v>0</v>
      </c>
      <c r="K123" s="25">
        <v>0</v>
      </c>
      <c r="L123" s="25">
        <v>0</v>
      </c>
      <c r="M123" s="27"/>
    </row>
    <row r="124" spans="1:13" ht="15.75" customHeight="1">
      <c r="A124" s="278"/>
      <c r="B124" s="279"/>
      <c r="C124" s="279"/>
      <c r="D124" s="280"/>
      <c r="E124" s="39"/>
      <c r="F124" s="39"/>
      <c r="G124" s="39"/>
      <c r="H124" s="39"/>
      <c r="I124" s="39"/>
      <c r="J124" s="39"/>
      <c r="K124" s="39"/>
      <c r="L124" s="39"/>
      <c r="M124" s="287"/>
    </row>
    <row r="125" spans="1:13" ht="15.75" customHeight="1">
      <c r="A125" s="284" t="str">
        <f>A103</f>
        <v>Extraordinary Loss Carryforward Used</v>
      </c>
      <c r="B125" s="279"/>
      <c r="C125" s="279"/>
      <c r="D125" s="467" t="s">
        <v>248</v>
      </c>
      <c r="E125" s="466">
        <f aca="true" t="shared" si="8" ref="E125:L125">SUM(E126:E148)</f>
        <v>0</v>
      </c>
      <c r="F125" s="466">
        <f t="shared" si="8"/>
        <v>0</v>
      </c>
      <c r="G125" s="466">
        <f t="shared" si="8"/>
        <v>0</v>
      </c>
      <c r="H125" s="466">
        <f t="shared" si="8"/>
        <v>0</v>
      </c>
      <c r="I125" s="466">
        <f t="shared" si="8"/>
        <v>0</v>
      </c>
      <c r="J125" s="466">
        <f t="shared" si="8"/>
        <v>0</v>
      </c>
      <c r="K125" s="466">
        <f t="shared" si="8"/>
        <v>0</v>
      </c>
      <c r="L125" s="466">
        <f t="shared" si="8"/>
        <v>0</v>
      </c>
      <c r="M125" s="287"/>
    </row>
    <row r="126" spans="1:13" ht="15.75" customHeight="1">
      <c r="A126" s="345"/>
      <c r="B126" s="347" t="str">
        <f aca="true" t="shared" si="9" ref="B126:B135">B104</f>
        <v>Item 2.1</v>
      </c>
      <c r="C126" s="344" t="str">
        <f>"in AY "&amp;TEXT(InputTOTAL!E$45,"0")</f>
        <v>in AY 2023</v>
      </c>
      <c r="D126" s="280"/>
      <c r="E126" s="25">
        <v>0</v>
      </c>
      <c r="F126" s="25">
        <v>0</v>
      </c>
      <c r="G126" s="25">
        <v>0</v>
      </c>
      <c r="H126" s="25">
        <v>0</v>
      </c>
      <c r="I126" s="25">
        <v>0</v>
      </c>
      <c r="J126" s="25">
        <v>0</v>
      </c>
      <c r="K126" s="25">
        <v>0</v>
      </c>
      <c r="L126" s="25">
        <v>0</v>
      </c>
      <c r="M126" s="27"/>
    </row>
    <row r="127" spans="1:13" ht="15.75" customHeight="1">
      <c r="A127" s="278"/>
      <c r="B127" s="347" t="str">
        <f t="shared" si="9"/>
        <v>Item 2.2</v>
      </c>
      <c r="C127" s="344" t="str">
        <f>"in AY "&amp;TEXT(InputTOTAL!E$45-1,"0")</f>
        <v>in AY 2022</v>
      </c>
      <c r="D127" s="280"/>
      <c r="E127" s="25">
        <v>0</v>
      </c>
      <c r="F127" s="25">
        <v>0</v>
      </c>
      <c r="G127" s="25">
        <v>0</v>
      </c>
      <c r="H127" s="25">
        <v>0</v>
      </c>
      <c r="I127" s="25">
        <v>0</v>
      </c>
      <c r="J127" s="25">
        <v>0</v>
      </c>
      <c r="K127" s="25">
        <v>0</v>
      </c>
      <c r="L127" s="25">
        <v>0</v>
      </c>
      <c r="M127" s="27"/>
    </row>
    <row r="128" spans="1:13" ht="15.75" customHeight="1">
      <c r="A128" s="278"/>
      <c r="B128" s="347" t="str">
        <f t="shared" si="9"/>
        <v>Item 2.3</v>
      </c>
      <c r="C128" s="344" t="str">
        <f>"in AY "&amp;TEXT(InputTOTAL!E$45-2,"0")</f>
        <v>in AY 2021</v>
      </c>
      <c r="D128" s="280"/>
      <c r="E128" s="25">
        <v>0</v>
      </c>
      <c r="F128" s="25">
        <v>0</v>
      </c>
      <c r="G128" s="25">
        <v>0</v>
      </c>
      <c r="H128" s="25">
        <v>0</v>
      </c>
      <c r="I128" s="25">
        <v>0</v>
      </c>
      <c r="J128" s="25">
        <v>0</v>
      </c>
      <c r="K128" s="25">
        <v>0</v>
      </c>
      <c r="L128" s="25">
        <v>0</v>
      </c>
      <c r="M128" s="27"/>
    </row>
    <row r="129" spans="1:13" ht="15.75" customHeight="1">
      <c r="A129" s="278"/>
      <c r="B129" s="347" t="str">
        <f t="shared" si="9"/>
        <v>Item 2.4</v>
      </c>
      <c r="C129" s="344" t="str">
        <f>"in AY "&amp;TEXT(InputTOTAL!E$45-3,"0")</f>
        <v>in AY 2020</v>
      </c>
      <c r="D129" s="280"/>
      <c r="E129" s="25">
        <v>0</v>
      </c>
      <c r="F129" s="25">
        <v>0</v>
      </c>
      <c r="G129" s="25">
        <v>0</v>
      </c>
      <c r="H129" s="25">
        <v>0</v>
      </c>
      <c r="I129" s="25">
        <v>0</v>
      </c>
      <c r="J129" s="25">
        <v>0</v>
      </c>
      <c r="K129" s="25">
        <v>0</v>
      </c>
      <c r="L129" s="25">
        <v>0</v>
      </c>
      <c r="M129" s="27"/>
    </row>
    <row r="130" spans="1:13" ht="15.75" customHeight="1">
      <c r="A130" s="278"/>
      <c r="B130" s="347" t="str">
        <f t="shared" si="9"/>
        <v>Item 2.5</v>
      </c>
      <c r="C130" s="344" t="str">
        <f>"in AY "&amp;TEXT(InputTOTAL!E$45-4,"0")</f>
        <v>in AY 2019</v>
      </c>
      <c r="D130" s="280"/>
      <c r="E130" s="25">
        <v>0</v>
      </c>
      <c r="F130" s="25">
        <v>0</v>
      </c>
      <c r="G130" s="25">
        <v>0</v>
      </c>
      <c r="H130" s="25">
        <v>0</v>
      </c>
      <c r="I130" s="25">
        <v>0</v>
      </c>
      <c r="J130" s="25">
        <v>0</v>
      </c>
      <c r="K130" s="25">
        <v>0</v>
      </c>
      <c r="L130" s="25">
        <v>0</v>
      </c>
      <c r="M130" s="27"/>
    </row>
    <row r="131" spans="1:13" ht="15.75" customHeight="1">
      <c r="A131" s="278"/>
      <c r="B131" s="347" t="str">
        <f t="shared" si="9"/>
        <v>Item 2.6</v>
      </c>
      <c r="C131" s="344" t="str">
        <f>"in AY "&amp;TEXT(InputTOTAL!E$45-5,"0")</f>
        <v>in AY 2018</v>
      </c>
      <c r="D131" s="280"/>
      <c r="E131" s="25">
        <v>0</v>
      </c>
      <c r="F131" s="25">
        <v>0</v>
      </c>
      <c r="G131" s="25">
        <v>0</v>
      </c>
      <c r="H131" s="25">
        <v>0</v>
      </c>
      <c r="I131" s="25">
        <v>0</v>
      </c>
      <c r="J131" s="25">
        <v>0</v>
      </c>
      <c r="K131" s="25">
        <v>0</v>
      </c>
      <c r="L131" s="25">
        <v>0</v>
      </c>
      <c r="M131" s="27"/>
    </row>
    <row r="132" spans="1:13" ht="15.75" customHeight="1">
      <c r="A132" s="278"/>
      <c r="B132" s="347" t="str">
        <f t="shared" si="9"/>
        <v>Item 2.7</v>
      </c>
      <c r="C132" s="344" t="str">
        <f>"in AY "&amp;TEXT(InputTOTAL!E$45-6,"0")</f>
        <v>in AY 2017</v>
      </c>
      <c r="D132" s="280"/>
      <c r="E132" s="25">
        <v>0</v>
      </c>
      <c r="F132" s="25">
        <v>0</v>
      </c>
      <c r="G132" s="25">
        <v>0</v>
      </c>
      <c r="H132" s="25">
        <v>0</v>
      </c>
      <c r="I132" s="25">
        <v>0</v>
      </c>
      <c r="J132" s="25">
        <v>0</v>
      </c>
      <c r="K132" s="25">
        <v>0</v>
      </c>
      <c r="L132" s="25">
        <v>0</v>
      </c>
      <c r="M132" s="27"/>
    </row>
    <row r="133" spans="1:13" ht="15.75" customHeight="1">
      <c r="A133" s="278"/>
      <c r="B133" s="347" t="str">
        <f t="shared" si="9"/>
        <v>Item 2.8</v>
      </c>
      <c r="C133" s="344" t="str">
        <f>"in AY "&amp;TEXT(InputTOTAL!E$45-7,"0")</f>
        <v>in AY 2016</v>
      </c>
      <c r="D133" s="280"/>
      <c r="E133" s="25">
        <v>0</v>
      </c>
      <c r="F133" s="25">
        <v>0</v>
      </c>
      <c r="G133" s="25">
        <v>0</v>
      </c>
      <c r="H133" s="25">
        <v>0</v>
      </c>
      <c r="I133" s="25">
        <v>0</v>
      </c>
      <c r="J133" s="25">
        <v>0</v>
      </c>
      <c r="K133" s="25">
        <v>0</v>
      </c>
      <c r="L133" s="25">
        <v>0</v>
      </c>
      <c r="M133" s="27"/>
    </row>
    <row r="134" spans="1:13" ht="15.75" customHeight="1">
      <c r="A134" s="278"/>
      <c r="B134" s="347" t="str">
        <f t="shared" si="9"/>
        <v>Item 2.9</v>
      </c>
      <c r="C134" s="344" t="str">
        <f>"in AY "&amp;TEXT(InputTOTAL!E$45-8,"0")</f>
        <v>in AY 2015</v>
      </c>
      <c r="D134" s="280"/>
      <c r="E134" s="25">
        <v>0</v>
      </c>
      <c r="F134" s="25">
        <v>0</v>
      </c>
      <c r="G134" s="25">
        <v>0</v>
      </c>
      <c r="H134" s="25">
        <v>0</v>
      </c>
      <c r="I134" s="25">
        <v>0</v>
      </c>
      <c r="J134" s="25">
        <v>0</v>
      </c>
      <c r="K134" s="25">
        <v>0</v>
      </c>
      <c r="L134" s="25">
        <v>0</v>
      </c>
      <c r="M134" s="27"/>
    </row>
    <row r="135" spans="1:13" ht="15.75" customHeight="1">
      <c r="A135" s="278"/>
      <c r="B135" s="347" t="str">
        <f t="shared" si="9"/>
        <v>Item 2.10</v>
      </c>
      <c r="C135" s="344" t="str">
        <f>"in AY "&amp;TEXT(InputTOTAL!E$45-9,"0")</f>
        <v>in AY 2014</v>
      </c>
      <c r="D135" s="280"/>
      <c r="E135" s="25">
        <v>0</v>
      </c>
      <c r="F135" s="25">
        <v>0</v>
      </c>
      <c r="G135" s="25">
        <v>0</v>
      </c>
      <c r="H135" s="25">
        <v>0</v>
      </c>
      <c r="I135" s="25">
        <v>0</v>
      </c>
      <c r="J135" s="25">
        <v>0</v>
      </c>
      <c r="K135" s="25">
        <v>0</v>
      </c>
      <c r="L135" s="25">
        <v>0</v>
      </c>
      <c r="M135" s="27"/>
    </row>
    <row r="136" spans="1:13" ht="15.75" customHeight="1">
      <c r="A136" s="278"/>
      <c r="B136" s="347" t="str">
        <f>B118</f>
        <v>Item 2.15</v>
      </c>
      <c r="C136" s="344" t="str">
        <f>"in AY "&amp;TEXT(InputTOTAL!E$45-10,"0")</f>
        <v>in AY 2013</v>
      </c>
      <c r="D136" s="280"/>
      <c r="E136" s="25">
        <v>0</v>
      </c>
      <c r="F136" s="25">
        <v>0</v>
      </c>
      <c r="G136" s="25">
        <v>0</v>
      </c>
      <c r="H136" s="25">
        <v>0</v>
      </c>
      <c r="I136" s="25">
        <v>0</v>
      </c>
      <c r="J136" s="25">
        <v>0</v>
      </c>
      <c r="K136" s="25">
        <v>0</v>
      </c>
      <c r="L136" s="25">
        <v>0</v>
      </c>
      <c r="M136" s="27"/>
    </row>
    <row r="137" spans="1:13" ht="15.75" customHeight="1">
      <c r="A137" s="278"/>
      <c r="B137" s="347" t="s">
        <v>89</v>
      </c>
      <c r="C137" s="344" t="str">
        <f>"in AY "&amp;TEXT(InputTOTAL!E$45-11,"0")</f>
        <v>in AY 2012</v>
      </c>
      <c r="D137" s="280"/>
      <c r="E137" s="25">
        <v>0</v>
      </c>
      <c r="F137" s="25">
        <v>0</v>
      </c>
      <c r="G137" s="25">
        <v>0</v>
      </c>
      <c r="H137" s="25">
        <v>0</v>
      </c>
      <c r="I137" s="25">
        <v>0</v>
      </c>
      <c r="J137" s="25">
        <v>0</v>
      </c>
      <c r="K137" s="25">
        <v>0</v>
      </c>
      <c r="L137" s="25">
        <v>0</v>
      </c>
      <c r="M137" s="27"/>
    </row>
    <row r="138" spans="1:13" ht="15.75" customHeight="1">
      <c r="A138" s="278"/>
      <c r="B138" s="347" t="s">
        <v>90</v>
      </c>
      <c r="C138" s="344" t="str">
        <f>"in AY "&amp;TEXT(InputTOTAL!E$45-12,"0")</f>
        <v>in AY 2011</v>
      </c>
      <c r="D138" s="280"/>
      <c r="E138" s="25">
        <v>0</v>
      </c>
      <c r="F138" s="25">
        <v>0</v>
      </c>
      <c r="G138" s="25">
        <v>0</v>
      </c>
      <c r="H138" s="25">
        <v>0</v>
      </c>
      <c r="I138" s="25">
        <v>0</v>
      </c>
      <c r="J138" s="25">
        <v>0</v>
      </c>
      <c r="K138" s="25">
        <v>0</v>
      </c>
      <c r="L138" s="25">
        <v>0</v>
      </c>
      <c r="M138" s="27"/>
    </row>
    <row r="139" spans="1:13" ht="15.75" customHeight="1">
      <c r="A139" s="278"/>
      <c r="B139" s="347" t="s">
        <v>91</v>
      </c>
      <c r="C139" s="344" t="str">
        <f>"in AY "&amp;TEXT(InputTOTAL!E$45-13,"0")</f>
        <v>in AY 2010</v>
      </c>
      <c r="D139" s="280"/>
      <c r="E139" s="25">
        <v>0</v>
      </c>
      <c r="F139" s="25">
        <v>0</v>
      </c>
      <c r="G139" s="25">
        <v>0</v>
      </c>
      <c r="H139" s="25">
        <v>0</v>
      </c>
      <c r="I139" s="25">
        <v>0</v>
      </c>
      <c r="J139" s="25">
        <v>0</v>
      </c>
      <c r="K139" s="25">
        <v>0</v>
      </c>
      <c r="L139" s="25">
        <v>0</v>
      </c>
      <c r="M139" s="27"/>
    </row>
    <row r="140" spans="1:13" ht="15.75" customHeight="1">
      <c r="A140" s="278"/>
      <c r="B140" s="347" t="s">
        <v>92</v>
      </c>
      <c r="C140" s="344" t="str">
        <f>"in AY "&amp;TEXT(InputTOTAL!E$45-14,"0")</f>
        <v>in AY 2009</v>
      </c>
      <c r="D140" s="280"/>
      <c r="E140" s="25">
        <v>0</v>
      </c>
      <c r="F140" s="25">
        <v>0</v>
      </c>
      <c r="G140" s="25">
        <v>0</v>
      </c>
      <c r="H140" s="25">
        <v>0</v>
      </c>
      <c r="I140" s="25">
        <v>0</v>
      </c>
      <c r="J140" s="25">
        <v>0</v>
      </c>
      <c r="K140" s="25">
        <v>0</v>
      </c>
      <c r="L140" s="25">
        <v>0</v>
      </c>
      <c r="M140" s="27"/>
    </row>
    <row r="141" spans="1:13" ht="15.75" customHeight="1">
      <c r="A141" s="278"/>
      <c r="B141" s="347" t="s">
        <v>93</v>
      </c>
      <c r="C141" s="344" t="str">
        <f>"in AY "&amp;TEXT(InputTOTAL!E$45-15,"0")</f>
        <v>in AY 2008</v>
      </c>
      <c r="D141" s="280"/>
      <c r="E141" s="25">
        <v>0</v>
      </c>
      <c r="F141" s="25">
        <v>0</v>
      </c>
      <c r="G141" s="25">
        <v>0</v>
      </c>
      <c r="H141" s="25">
        <v>0</v>
      </c>
      <c r="I141" s="25">
        <v>0</v>
      </c>
      <c r="J141" s="25">
        <v>0</v>
      </c>
      <c r="K141" s="25">
        <v>0</v>
      </c>
      <c r="L141" s="25">
        <v>0</v>
      </c>
      <c r="M141" s="27"/>
    </row>
    <row r="142" spans="1:13" ht="15.75" customHeight="1">
      <c r="A142" s="278"/>
      <c r="B142" s="347" t="s">
        <v>94</v>
      </c>
      <c r="C142" s="344" t="str">
        <f>"in AY "&amp;TEXT(InputTOTAL!E$45-16,"0")</f>
        <v>in AY 2007</v>
      </c>
      <c r="D142" s="280"/>
      <c r="E142" s="39" t="s">
        <v>0</v>
      </c>
      <c r="F142" s="25">
        <v>0</v>
      </c>
      <c r="G142" s="25">
        <v>0</v>
      </c>
      <c r="H142" s="25">
        <v>0</v>
      </c>
      <c r="I142" s="25">
        <v>0</v>
      </c>
      <c r="J142" s="25">
        <v>0</v>
      </c>
      <c r="K142" s="25">
        <v>0</v>
      </c>
      <c r="L142" s="25">
        <v>0</v>
      </c>
      <c r="M142" s="26"/>
    </row>
    <row r="143" spans="1:13" ht="15.75" customHeight="1">
      <c r="A143" s="278"/>
      <c r="B143" s="347" t="s">
        <v>95</v>
      </c>
      <c r="C143" s="344" t="str">
        <f>"in AY "&amp;TEXT(InputTOTAL!E$45-17,"0")</f>
        <v>in AY 2006</v>
      </c>
      <c r="D143" s="280"/>
      <c r="E143" s="39" t="s">
        <v>0</v>
      </c>
      <c r="F143" s="39" t="s">
        <v>0</v>
      </c>
      <c r="G143" s="25">
        <v>0</v>
      </c>
      <c r="H143" s="25">
        <v>0</v>
      </c>
      <c r="I143" s="25">
        <v>0</v>
      </c>
      <c r="J143" s="25">
        <v>0</v>
      </c>
      <c r="K143" s="25">
        <v>0</v>
      </c>
      <c r="L143" s="25">
        <v>0</v>
      </c>
      <c r="M143" s="26"/>
    </row>
    <row r="144" spans="1:13" ht="15.75" customHeight="1">
      <c r="A144" s="463"/>
      <c r="B144" s="347" t="s">
        <v>96</v>
      </c>
      <c r="C144" s="344" t="str">
        <f>"in AY "&amp;TEXT(InputTOTAL!E$45-18,"0")</f>
        <v>in AY 2005</v>
      </c>
      <c r="D144" s="280"/>
      <c r="E144" s="39" t="s">
        <v>0</v>
      </c>
      <c r="F144" s="39" t="s">
        <v>0</v>
      </c>
      <c r="G144" s="39" t="s">
        <v>0</v>
      </c>
      <c r="H144" s="25">
        <v>0</v>
      </c>
      <c r="I144" s="25">
        <v>0</v>
      </c>
      <c r="J144" s="25">
        <v>0</v>
      </c>
      <c r="K144" s="25">
        <v>0</v>
      </c>
      <c r="L144" s="25">
        <v>0</v>
      </c>
      <c r="M144" s="26"/>
    </row>
    <row r="145" spans="1:13" ht="15.75" customHeight="1">
      <c r="A145" s="463"/>
      <c r="B145" s="347" t="s">
        <v>244</v>
      </c>
      <c r="C145" s="344" t="str">
        <f>"in AY "&amp;TEXT(InputTOTAL!E$45-19,"0")</f>
        <v>in AY 2004</v>
      </c>
      <c r="D145" s="280"/>
      <c r="E145" s="39" t="s">
        <v>0</v>
      </c>
      <c r="F145" s="39" t="s">
        <v>0</v>
      </c>
      <c r="G145" s="39" t="s">
        <v>0</v>
      </c>
      <c r="H145" s="39" t="s">
        <v>0</v>
      </c>
      <c r="I145" s="25">
        <v>0</v>
      </c>
      <c r="J145" s="25">
        <v>0</v>
      </c>
      <c r="K145" s="25">
        <v>0</v>
      </c>
      <c r="L145" s="25">
        <v>0</v>
      </c>
      <c r="M145" s="26"/>
    </row>
    <row r="146" spans="1:13" ht="15.75" customHeight="1">
      <c r="A146" s="463"/>
      <c r="B146" s="347" t="s">
        <v>245</v>
      </c>
      <c r="C146" s="344" t="str">
        <f>"in AY "&amp;TEXT(InputTOTAL!E$45-20,"0")</f>
        <v>in AY 2003</v>
      </c>
      <c r="D146" s="280"/>
      <c r="E146" s="39" t="s">
        <v>0</v>
      </c>
      <c r="F146" s="39" t="s">
        <v>0</v>
      </c>
      <c r="G146" s="39" t="s">
        <v>0</v>
      </c>
      <c r="H146" s="39" t="s">
        <v>0</v>
      </c>
      <c r="I146" s="39" t="s">
        <v>0</v>
      </c>
      <c r="J146" s="25">
        <v>0</v>
      </c>
      <c r="K146" s="25">
        <v>0</v>
      </c>
      <c r="L146" s="25">
        <v>0</v>
      </c>
      <c r="M146" s="26"/>
    </row>
    <row r="147" spans="1:13" ht="15.75" customHeight="1">
      <c r="A147" s="463"/>
      <c r="B147" s="347" t="s">
        <v>246</v>
      </c>
      <c r="C147" s="344" t="str">
        <f>"in AY "&amp;TEXT(InputTOTAL!E$45-21,"0")</f>
        <v>in AY 2002</v>
      </c>
      <c r="D147" s="280"/>
      <c r="E147" s="39" t="s">
        <v>0</v>
      </c>
      <c r="F147" s="39" t="s">
        <v>0</v>
      </c>
      <c r="G147" s="39" t="s">
        <v>0</v>
      </c>
      <c r="H147" s="39" t="s">
        <v>0</v>
      </c>
      <c r="I147" s="39" t="s">
        <v>0</v>
      </c>
      <c r="J147" s="39" t="s">
        <v>0</v>
      </c>
      <c r="K147" s="25">
        <v>0</v>
      </c>
      <c r="L147" s="25">
        <v>0</v>
      </c>
      <c r="M147" s="26"/>
    </row>
    <row r="148" spans="1:13" ht="15.75" customHeight="1">
      <c r="A148" s="404"/>
      <c r="B148" s="347" t="s">
        <v>247</v>
      </c>
      <c r="C148" s="344" t="str">
        <f>"in AY "&amp;TEXT(InputTOTAL!E$45-22,"0")</f>
        <v>in AY 2001</v>
      </c>
      <c r="D148" s="280"/>
      <c r="E148" s="39" t="s">
        <v>0</v>
      </c>
      <c r="F148" s="39" t="s">
        <v>0</v>
      </c>
      <c r="G148" s="39" t="s">
        <v>0</v>
      </c>
      <c r="H148" s="39" t="s">
        <v>0</v>
      </c>
      <c r="I148" s="39" t="s">
        <v>0</v>
      </c>
      <c r="J148" s="39" t="s">
        <v>0</v>
      </c>
      <c r="K148" s="39" t="s">
        <v>0</v>
      </c>
      <c r="L148" s="25">
        <v>0</v>
      </c>
      <c r="M148" s="26"/>
    </row>
    <row r="149" spans="1:13" ht="15.75" customHeight="1">
      <c r="A149" s="404"/>
      <c r="B149" s="347"/>
      <c r="C149" s="344"/>
      <c r="D149" s="280"/>
      <c r="E149" s="39"/>
      <c r="F149" s="39"/>
      <c r="G149" s="39"/>
      <c r="H149" s="39"/>
      <c r="I149" s="39"/>
      <c r="J149" s="39"/>
      <c r="K149" s="39"/>
      <c r="L149" s="25"/>
      <c r="M149" s="26"/>
    </row>
    <row r="150" spans="1:13" ht="15.75" customHeight="1" thickBot="1">
      <c r="A150" s="405"/>
      <c r="B150" s="398"/>
      <c r="C150" s="398"/>
      <c r="D150" s="414"/>
      <c r="E150" s="398"/>
      <c r="F150" s="398"/>
      <c r="G150" s="398"/>
      <c r="H150" s="398"/>
      <c r="I150" s="398"/>
      <c r="J150" s="398"/>
      <c r="K150" s="398"/>
      <c r="L150" s="398"/>
      <c r="M150" s="406"/>
    </row>
    <row r="151" spans="1:13" ht="15.75" customHeight="1">
      <c r="A151" s="352" t="s">
        <v>58</v>
      </c>
      <c r="B151" s="368"/>
      <c r="C151" s="537"/>
      <c r="D151" s="133"/>
      <c r="E151" s="415" t="s">
        <v>216</v>
      </c>
      <c r="F151" s="412"/>
      <c r="G151" s="412"/>
      <c r="H151" s="412"/>
      <c r="I151" s="412"/>
      <c r="J151" s="412"/>
      <c r="K151" s="412"/>
      <c r="L151" s="412"/>
      <c r="M151" s="413"/>
    </row>
    <row r="152" spans="1:13" ht="15.75" customHeight="1">
      <c r="A152" s="346"/>
      <c r="B152" s="285"/>
      <c r="C152" s="286"/>
      <c r="D152" s="17">
        <f>InputB!$C$3</f>
        <v>2024</v>
      </c>
      <c r="E152" s="283">
        <f aca="true" t="shared" si="10" ref="E152:L152">D152-1</f>
        <v>2023</v>
      </c>
      <c r="F152" s="17">
        <f t="shared" si="10"/>
        <v>2022</v>
      </c>
      <c r="G152" s="17">
        <f t="shared" si="10"/>
        <v>2021</v>
      </c>
      <c r="H152" s="17">
        <f t="shared" si="10"/>
        <v>2020</v>
      </c>
      <c r="I152" s="17">
        <f t="shared" si="10"/>
        <v>2019</v>
      </c>
      <c r="J152" s="17">
        <f t="shared" si="10"/>
        <v>2018</v>
      </c>
      <c r="K152" s="17">
        <f t="shared" si="10"/>
        <v>2017</v>
      </c>
      <c r="L152" s="17">
        <f t="shared" si="10"/>
        <v>2016</v>
      </c>
      <c r="M152" s="34"/>
    </row>
    <row r="153" spans="1:13" ht="15.75" customHeight="1">
      <c r="A153" s="411" t="s">
        <v>210</v>
      </c>
      <c r="B153" s="371"/>
      <c r="C153" s="372"/>
      <c r="D153" s="133"/>
      <c r="E153" s="294"/>
      <c r="F153" s="20"/>
      <c r="G153" s="20"/>
      <c r="H153" s="20"/>
      <c r="I153" s="20"/>
      <c r="J153" s="20"/>
      <c r="K153" s="20"/>
      <c r="L153" s="20"/>
      <c r="M153" s="23"/>
    </row>
    <row r="154" spans="1:13" ht="15.75" customHeight="1">
      <c r="A154" s="404"/>
      <c r="B154" s="373" t="s">
        <v>6</v>
      </c>
      <c r="C154" s="279" t="s">
        <v>59</v>
      </c>
      <c r="D154" s="25">
        <v>0</v>
      </c>
      <c r="E154" s="25">
        <v>0</v>
      </c>
      <c r="F154" s="25">
        <v>0</v>
      </c>
      <c r="G154" s="25">
        <v>0</v>
      </c>
      <c r="H154" s="25">
        <v>0</v>
      </c>
      <c r="I154" s="25">
        <v>0</v>
      </c>
      <c r="J154" s="25">
        <v>0</v>
      </c>
      <c r="K154" s="25">
        <v>0</v>
      </c>
      <c r="L154" s="25">
        <v>0</v>
      </c>
      <c r="M154" s="26"/>
    </row>
    <row r="155" spans="1:13" ht="15.75" customHeight="1">
      <c r="A155" s="404"/>
      <c r="B155" s="279"/>
      <c r="C155" s="279"/>
      <c r="D155" s="41"/>
      <c r="E155" s="94"/>
      <c r="F155" s="94"/>
      <c r="G155" s="94"/>
      <c r="H155" s="94"/>
      <c r="I155" s="94"/>
      <c r="J155" s="94"/>
      <c r="K155" s="94"/>
      <c r="L155" s="94"/>
      <c r="M155" s="102"/>
    </row>
    <row r="156" spans="1:13" ht="15.75" customHeight="1">
      <c r="A156" s="416" t="s">
        <v>211</v>
      </c>
      <c r="B156" s="279"/>
      <c r="C156" s="279"/>
      <c r="D156" s="467" t="s">
        <v>248</v>
      </c>
      <c r="E156" s="700">
        <f aca="true" t="shared" si="11" ref="E156:L156">SUM(E157:E171)</f>
        <v>0</v>
      </c>
      <c r="F156" s="466">
        <f t="shared" si="11"/>
        <v>0</v>
      </c>
      <c r="G156" s="466">
        <f t="shared" si="11"/>
        <v>0</v>
      </c>
      <c r="H156" s="466">
        <f t="shared" si="11"/>
        <v>0</v>
      </c>
      <c r="I156" s="466">
        <f t="shared" si="11"/>
        <v>0</v>
      </c>
      <c r="J156" s="466">
        <f t="shared" si="11"/>
        <v>0</v>
      </c>
      <c r="K156" s="466">
        <f t="shared" si="11"/>
        <v>0</v>
      </c>
      <c r="L156" s="466">
        <f t="shared" si="11"/>
        <v>0</v>
      </c>
      <c r="M156" s="102"/>
    </row>
    <row r="157" spans="1:13" ht="15.75" customHeight="1">
      <c r="A157" s="404"/>
      <c r="B157" s="347" t="s">
        <v>66</v>
      </c>
      <c r="C157" s="344" t="str">
        <f>"in AY "&amp;TEXT(InputTOTAL!E$45,"0")</f>
        <v>in AY 2023</v>
      </c>
      <c r="D157" s="25">
        <v>0</v>
      </c>
      <c r="E157" s="25">
        <v>0</v>
      </c>
      <c r="F157" s="25">
        <v>0</v>
      </c>
      <c r="G157" s="25">
        <v>0</v>
      </c>
      <c r="H157" s="25">
        <v>0</v>
      </c>
      <c r="I157" s="25">
        <v>0</v>
      </c>
      <c r="J157" s="25">
        <v>0</v>
      </c>
      <c r="K157" s="25">
        <v>0</v>
      </c>
      <c r="L157" s="25">
        <v>0</v>
      </c>
      <c r="M157" s="26"/>
    </row>
    <row r="158" spans="1:13" ht="15.75" customHeight="1">
      <c r="A158" s="404"/>
      <c r="B158" s="347" t="s">
        <v>67</v>
      </c>
      <c r="C158" s="344" t="str">
        <f>"in AY "&amp;TEXT(InputTOTAL!E$45-1,"0")</f>
        <v>in AY 2022</v>
      </c>
      <c r="D158" s="25">
        <v>0</v>
      </c>
      <c r="E158" s="25">
        <v>0</v>
      </c>
      <c r="F158" s="25">
        <v>0</v>
      </c>
      <c r="G158" s="25">
        <v>0</v>
      </c>
      <c r="H158" s="25">
        <v>0</v>
      </c>
      <c r="I158" s="25">
        <v>0</v>
      </c>
      <c r="J158" s="25">
        <v>0</v>
      </c>
      <c r="K158" s="25">
        <v>0</v>
      </c>
      <c r="L158" s="25">
        <v>0</v>
      </c>
      <c r="M158" s="26"/>
    </row>
    <row r="159" spans="1:13" ht="15.75" customHeight="1">
      <c r="A159" s="278"/>
      <c r="B159" s="347" t="s">
        <v>80</v>
      </c>
      <c r="C159" s="344" t="str">
        <f>"in AY "&amp;TEXT(InputTOTAL!E$45-2,"0")</f>
        <v>in AY 2021</v>
      </c>
      <c r="D159" s="25">
        <v>0</v>
      </c>
      <c r="E159" s="25">
        <v>0</v>
      </c>
      <c r="F159" s="25">
        <v>0</v>
      </c>
      <c r="G159" s="25">
        <v>0</v>
      </c>
      <c r="H159" s="25">
        <v>0</v>
      </c>
      <c r="I159" s="25">
        <v>0</v>
      </c>
      <c r="J159" s="25">
        <v>0</v>
      </c>
      <c r="K159" s="25">
        <v>0</v>
      </c>
      <c r="L159" s="25">
        <v>0</v>
      </c>
      <c r="M159" s="27"/>
    </row>
    <row r="160" spans="1:13" ht="15.75" customHeight="1">
      <c r="A160" s="278"/>
      <c r="B160" s="347" t="s">
        <v>81</v>
      </c>
      <c r="C160" s="344" t="str">
        <f>"in AY "&amp;TEXT(InputTOTAL!E$45-3,"0")</f>
        <v>in AY 2020</v>
      </c>
      <c r="D160" s="25">
        <v>0</v>
      </c>
      <c r="E160" s="25">
        <v>0</v>
      </c>
      <c r="F160" s="25">
        <v>0</v>
      </c>
      <c r="G160" s="25">
        <v>0</v>
      </c>
      <c r="H160" s="25">
        <v>0</v>
      </c>
      <c r="I160" s="25">
        <v>0</v>
      </c>
      <c r="J160" s="25">
        <v>0</v>
      </c>
      <c r="K160" s="25">
        <v>0</v>
      </c>
      <c r="L160" s="25">
        <v>0</v>
      </c>
      <c r="M160" s="27"/>
    </row>
    <row r="161" spans="1:13" ht="15.75" customHeight="1">
      <c r="A161" s="278"/>
      <c r="B161" s="347" t="s">
        <v>82</v>
      </c>
      <c r="C161" s="344" t="str">
        <f>"in AY "&amp;TEXT(InputTOTAL!E$45-4,"0")</f>
        <v>in AY 2019</v>
      </c>
      <c r="D161" s="25">
        <v>0</v>
      </c>
      <c r="E161" s="25">
        <v>0</v>
      </c>
      <c r="F161" s="25">
        <v>0</v>
      </c>
      <c r="G161" s="25">
        <v>0</v>
      </c>
      <c r="H161" s="25">
        <v>0</v>
      </c>
      <c r="I161" s="25">
        <v>0</v>
      </c>
      <c r="J161" s="25">
        <v>0</v>
      </c>
      <c r="K161" s="25">
        <v>0</v>
      </c>
      <c r="L161" s="25">
        <v>0</v>
      </c>
      <c r="M161" s="27"/>
    </row>
    <row r="162" spans="1:13" ht="15.75" customHeight="1">
      <c r="A162" s="278"/>
      <c r="B162" s="347" t="s">
        <v>83</v>
      </c>
      <c r="C162" s="344" t="str">
        <f>"in AY "&amp;TEXT(InputTOTAL!E$45-5,"0")</f>
        <v>in AY 2018</v>
      </c>
      <c r="D162" s="25">
        <v>0</v>
      </c>
      <c r="E162" s="25">
        <v>0</v>
      </c>
      <c r="F162" s="25">
        <v>0</v>
      </c>
      <c r="G162" s="25">
        <v>0</v>
      </c>
      <c r="H162" s="25">
        <v>0</v>
      </c>
      <c r="I162" s="25">
        <v>0</v>
      </c>
      <c r="J162" s="25">
        <v>0</v>
      </c>
      <c r="K162" s="25">
        <v>0</v>
      </c>
      <c r="L162" s="25">
        <v>0</v>
      </c>
      <c r="M162" s="27"/>
    </row>
    <row r="163" spans="1:13" ht="15.75" customHeight="1">
      <c r="A163" s="278"/>
      <c r="B163" s="347" t="s">
        <v>84</v>
      </c>
      <c r="C163" s="344" t="str">
        <f>"in AY "&amp;TEXT(InputTOTAL!E$45-6,"0")</f>
        <v>in AY 2017</v>
      </c>
      <c r="D163" s="25">
        <v>0</v>
      </c>
      <c r="E163" s="25">
        <v>0</v>
      </c>
      <c r="F163" s="25">
        <v>0</v>
      </c>
      <c r="G163" s="25">
        <v>0</v>
      </c>
      <c r="H163" s="25">
        <v>0</v>
      </c>
      <c r="I163" s="25">
        <v>0</v>
      </c>
      <c r="J163" s="25">
        <v>0</v>
      </c>
      <c r="K163" s="25">
        <v>0</v>
      </c>
      <c r="L163" s="25">
        <v>0</v>
      </c>
      <c r="M163" s="27"/>
    </row>
    <row r="164" spans="1:13" ht="15.75" customHeight="1">
      <c r="A164" s="278"/>
      <c r="B164" s="347" t="s">
        <v>85</v>
      </c>
      <c r="C164" s="344" t="str">
        <f>"in AY "&amp;TEXT(InputTOTAL!E$45-7,"0")</f>
        <v>in AY 2016</v>
      </c>
      <c r="D164" s="39" t="s">
        <v>0</v>
      </c>
      <c r="E164" s="25">
        <v>0</v>
      </c>
      <c r="F164" s="25">
        <v>0</v>
      </c>
      <c r="G164" s="25">
        <v>0</v>
      </c>
      <c r="H164" s="25">
        <v>0</v>
      </c>
      <c r="I164" s="25">
        <v>0</v>
      </c>
      <c r="J164" s="25">
        <v>0</v>
      </c>
      <c r="K164" s="25">
        <v>0</v>
      </c>
      <c r="L164" s="25">
        <v>0</v>
      </c>
      <c r="M164" s="27"/>
    </row>
    <row r="165" spans="1:13" ht="15.75" customHeight="1">
      <c r="A165" s="278"/>
      <c r="B165" s="347" t="s">
        <v>86</v>
      </c>
      <c r="C165" s="344" t="str">
        <f>"in AY "&amp;TEXT(InputTOTAL!E$45-8,"0")</f>
        <v>in AY 2015</v>
      </c>
      <c r="D165" s="39" t="s">
        <v>0</v>
      </c>
      <c r="E165" s="39" t="s">
        <v>0</v>
      </c>
      <c r="F165" s="25">
        <v>0</v>
      </c>
      <c r="G165" s="25">
        <v>0</v>
      </c>
      <c r="H165" s="25">
        <v>0</v>
      </c>
      <c r="I165" s="25">
        <v>0</v>
      </c>
      <c r="J165" s="25">
        <v>0</v>
      </c>
      <c r="K165" s="25">
        <v>0</v>
      </c>
      <c r="L165" s="25">
        <v>0</v>
      </c>
      <c r="M165" s="27"/>
    </row>
    <row r="166" spans="1:13" ht="15.75" customHeight="1">
      <c r="A166" s="278"/>
      <c r="B166" s="347" t="s">
        <v>87</v>
      </c>
      <c r="C166" s="344" t="str">
        <f>"in AY "&amp;TEXT(InputTOTAL!E$45-9,"0")</f>
        <v>in AY 2014</v>
      </c>
      <c r="D166" s="39" t="s">
        <v>0</v>
      </c>
      <c r="E166" s="39" t="s">
        <v>0</v>
      </c>
      <c r="F166" s="39" t="s">
        <v>0</v>
      </c>
      <c r="G166" s="25">
        <v>0</v>
      </c>
      <c r="H166" s="25">
        <v>0</v>
      </c>
      <c r="I166" s="25">
        <v>0</v>
      </c>
      <c r="J166" s="25">
        <v>0</v>
      </c>
      <c r="K166" s="25">
        <v>0</v>
      </c>
      <c r="L166" s="25">
        <v>0</v>
      </c>
      <c r="M166" s="27"/>
    </row>
    <row r="167" spans="1:13" ht="15.75" customHeight="1">
      <c r="A167" s="278"/>
      <c r="B167" s="347" t="s">
        <v>88</v>
      </c>
      <c r="C167" s="344" t="str">
        <f>"in AY "&amp;TEXT(InputTOTAL!E$45-10,"0")</f>
        <v>in AY 2013</v>
      </c>
      <c r="D167" s="39" t="s">
        <v>0</v>
      </c>
      <c r="E167" s="39" t="s">
        <v>0</v>
      </c>
      <c r="F167" s="39" t="s">
        <v>0</v>
      </c>
      <c r="G167" s="39" t="s">
        <v>0</v>
      </c>
      <c r="H167" s="25">
        <v>0</v>
      </c>
      <c r="I167" s="25">
        <v>0</v>
      </c>
      <c r="J167" s="25">
        <v>0</v>
      </c>
      <c r="K167" s="25">
        <v>0</v>
      </c>
      <c r="L167" s="25">
        <v>0</v>
      </c>
      <c r="M167" s="27"/>
    </row>
    <row r="168" spans="1:13" ht="15.75" customHeight="1">
      <c r="A168" s="278"/>
      <c r="B168" s="347" t="s">
        <v>89</v>
      </c>
      <c r="C168" s="344" t="str">
        <f>"in AY "&amp;TEXT(InputTOTAL!E$45-11,"0")</f>
        <v>in AY 2012</v>
      </c>
      <c r="D168" s="39" t="s">
        <v>0</v>
      </c>
      <c r="E168" s="39" t="s">
        <v>0</v>
      </c>
      <c r="F168" s="39" t="s">
        <v>0</v>
      </c>
      <c r="G168" s="39" t="s">
        <v>0</v>
      </c>
      <c r="H168" s="39" t="s">
        <v>0</v>
      </c>
      <c r="I168" s="25">
        <v>0</v>
      </c>
      <c r="J168" s="25">
        <v>0</v>
      </c>
      <c r="K168" s="25">
        <v>0</v>
      </c>
      <c r="L168" s="25">
        <v>0</v>
      </c>
      <c r="M168" s="27"/>
    </row>
    <row r="169" spans="1:13" ht="15.75" customHeight="1">
      <c r="A169" s="278"/>
      <c r="B169" s="347" t="s">
        <v>90</v>
      </c>
      <c r="C169" s="344" t="str">
        <f>"in AY "&amp;TEXT(InputTOTAL!E$45-12,"0")</f>
        <v>in AY 2011</v>
      </c>
      <c r="D169" s="39" t="s">
        <v>0</v>
      </c>
      <c r="E169" s="39" t="s">
        <v>0</v>
      </c>
      <c r="F169" s="39" t="s">
        <v>0</v>
      </c>
      <c r="G169" s="39" t="s">
        <v>0</v>
      </c>
      <c r="H169" s="39" t="s">
        <v>0</v>
      </c>
      <c r="I169" s="39" t="s">
        <v>0</v>
      </c>
      <c r="J169" s="25">
        <v>0</v>
      </c>
      <c r="K169" s="25">
        <v>0</v>
      </c>
      <c r="L169" s="25">
        <v>0</v>
      </c>
      <c r="M169" s="27"/>
    </row>
    <row r="170" spans="1:13" ht="15.75" customHeight="1">
      <c r="A170" s="278"/>
      <c r="B170" s="347" t="s">
        <v>91</v>
      </c>
      <c r="C170" s="344" t="str">
        <f>"in AY "&amp;TEXT(InputTOTAL!E$45-13,"0")</f>
        <v>in AY 2010</v>
      </c>
      <c r="D170" s="39" t="s">
        <v>0</v>
      </c>
      <c r="E170" s="39" t="s">
        <v>0</v>
      </c>
      <c r="F170" s="39" t="s">
        <v>0</v>
      </c>
      <c r="G170" s="39" t="s">
        <v>0</v>
      </c>
      <c r="H170" s="39" t="s">
        <v>0</v>
      </c>
      <c r="I170" s="39" t="s">
        <v>0</v>
      </c>
      <c r="J170" s="39" t="s">
        <v>0</v>
      </c>
      <c r="K170" s="25">
        <v>0</v>
      </c>
      <c r="L170" s="25">
        <v>0</v>
      </c>
      <c r="M170" s="27"/>
    </row>
    <row r="171" spans="1:13" ht="15.75" customHeight="1">
      <c r="A171" s="278"/>
      <c r="B171" s="347" t="s">
        <v>92</v>
      </c>
      <c r="C171" s="344" t="str">
        <f>"in AY "&amp;TEXT(InputTOTAL!E$45-14,"0")</f>
        <v>in AY 2009</v>
      </c>
      <c r="D171" s="39" t="s">
        <v>0</v>
      </c>
      <c r="E171" s="39" t="s">
        <v>0</v>
      </c>
      <c r="F171" s="39" t="s">
        <v>0</v>
      </c>
      <c r="G171" s="39" t="s">
        <v>0</v>
      </c>
      <c r="H171" s="39" t="s">
        <v>0</v>
      </c>
      <c r="I171" s="39" t="s">
        <v>0</v>
      </c>
      <c r="J171" s="39" t="s">
        <v>0</v>
      </c>
      <c r="K171" s="39" t="s">
        <v>0</v>
      </c>
      <c r="L171" s="25">
        <v>0</v>
      </c>
      <c r="M171" s="27"/>
    </row>
    <row r="172" spans="1:13" ht="15.75" customHeight="1">
      <c r="A172" s="278"/>
      <c r="B172" s="279"/>
      <c r="C172" s="279"/>
      <c r="D172" s="280"/>
      <c r="E172" s="39"/>
      <c r="F172" s="39"/>
      <c r="G172" s="39"/>
      <c r="H172" s="39"/>
      <c r="I172" s="39"/>
      <c r="J172" s="39"/>
      <c r="K172" s="39"/>
      <c r="L172" s="39"/>
      <c r="M172" s="287"/>
    </row>
    <row r="173" spans="1:13" ht="15.75" customHeight="1">
      <c r="A173" s="278"/>
      <c r="B173" s="279"/>
      <c r="C173" s="279"/>
      <c r="D173" s="280"/>
      <c r="E173" s="281" t="str">
        <f>E151</f>
        <v>Calendar Year Reinvestment into New Jersey</v>
      </c>
      <c r="F173" s="281"/>
      <c r="G173" s="281"/>
      <c r="H173" s="281"/>
      <c r="I173" s="281"/>
      <c r="J173" s="281"/>
      <c r="K173" s="281"/>
      <c r="L173" s="281"/>
      <c r="M173" s="282"/>
    </row>
    <row r="174" spans="1:13" ht="15.75" customHeight="1">
      <c r="A174" s="278"/>
      <c r="B174" s="279"/>
      <c r="C174" s="279"/>
      <c r="D174" s="280"/>
      <c r="E174" s="283">
        <f>E152-8</f>
        <v>2015</v>
      </c>
      <c r="F174" s="17">
        <f aca="true" t="shared" si="12" ref="F174:L174">E174-1</f>
        <v>2014</v>
      </c>
      <c r="G174" s="17">
        <f t="shared" si="12"/>
        <v>2013</v>
      </c>
      <c r="H174" s="17">
        <f t="shared" si="12"/>
        <v>2012</v>
      </c>
      <c r="I174" s="17">
        <f t="shared" si="12"/>
        <v>2011</v>
      </c>
      <c r="J174" s="17">
        <f t="shared" si="12"/>
        <v>2010</v>
      </c>
      <c r="K174" s="17">
        <f t="shared" si="12"/>
        <v>2009</v>
      </c>
      <c r="L174" s="17">
        <f t="shared" si="12"/>
        <v>2008</v>
      </c>
      <c r="M174" s="18"/>
    </row>
    <row r="175" spans="1:13" ht="15.75" customHeight="1">
      <c r="A175" s="284" t="str">
        <f>A153</f>
        <v>Reinvestment into New Jersey</v>
      </c>
      <c r="B175" s="285"/>
      <c r="C175" s="286"/>
      <c r="D175" s="41"/>
      <c r="E175" s="39"/>
      <c r="F175" s="39"/>
      <c r="G175" s="39"/>
      <c r="H175" s="39"/>
      <c r="I175" s="39"/>
      <c r="J175" s="39"/>
      <c r="K175" s="39"/>
      <c r="L175" s="39"/>
      <c r="M175" s="287"/>
    </row>
    <row r="176" spans="1:13" ht="15.75" customHeight="1">
      <c r="A176" s="345"/>
      <c r="B176" s="348" t="str">
        <f>B154</f>
        <v>Item 1</v>
      </c>
      <c r="C176" s="347">
        <f>C154</f>
      </c>
      <c r="D176" s="280"/>
      <c r="E176" s="25">
        <v>0</v>
      </c>
      <c r="F176" s="25">
        <v>0</v>
      </c>
      <c r="G176" s="25">
        <v>0</v>
      </c>
      <c r="H176" s="25">
        <v>0</v>
      </c>
      <c r="I176" s="25">
        <v>0</v>
      </c>
      <c r="J176" s="25">
        <v>0</v>
      </c>
      <c r="K176" s="25">
        <v>0</v>
      </c>
      <c r="L176" s="25">
        <v>0</v>
      </c>
      <c r="M176" s="27"/>
    </row>
    <row r="177" spans="1:13" ht="15.75" customHeight="1">
      <c r="A177" s="278"/>
      <c r="B177" s="279"/>
      <c r="C177" s="279"/>
      <c r="D177" s="280"/>
      <c r="E177" s="39"/>
      <c r="F177" s="39"/>
      <c r="G177" s="39"/>
      <c r="H177" s="39"/>
      <c r="I177" s="39"/>
      <c r="J177" s="39"/>
      <c r="K177" s="39"/>
      <c r="L177" s="39"/>
      <c r="M177" s="287"/>
    </row>
    <row r="178" spans="1:13" ht="15.75" customHeight="1">
      <c r="A178" s="284" t="str">
        <f>A156</f>
        <v>Reinvestment Carryforward Used</v>
      </c>
      <c r="B178" s="279"/>
      <c r="C178" s="279"/>
      <c r="D178" s="467" t="s">
        <v>248</v>
      </c>
      <c r="E178" s="466">
        <f aca="true" t="shared" si="13" ref="E178:L178">SUM(E179:E201)</f>
        <v>0</v>
      </c>
      <c r="F178" s="466">
        <f t="shared" si="13"/>
        <v>0</v>
      </c>
      <c r="G178" s="466">
        <f t="shared" si="13"/>
        <v>0</v>
      </c>
      <c r="H178" s="466">
        <f t="shared" si="13"/>
        <v>0</v>
      </c>
      <c r="I178" s="466">
        <f t="shared" si="13"/>
        <v>0</v>
      </c>
      <c r="J178" s="466">
        <f t="shared" si="13"/>
        <v>0</v>
      </c>
      <c r="K178" s="466">
        <f t="shared" si="13"/>
        <v>0</v>
      </c>
      <c r="L178" s="466">
        <f t="shared" si="13"/>
        <v>0</v>
      </c>
      <c r="M178" s="287"/>
    </row>
    <row r="179" spans="1:13" ht="15.75" customHeight="1">
      <c r="A179" s="345"/>
      <c r="B179" s="347" t="str">
        <f aca="true" t="shared" si="14" ref="B179:B188">B157</f>
        <v>Item 2.1</v>
      </c>
      <c r="C179" s="344" t="str">
        <f>"in AY "&amp;TEXT(InputTOTAL!E$45,"0")</f>
        <v>in AY 2023</v>
      </c>
      <c r="D179" s="280"/>
      <c r="E179" s="25">
        <v>0</v>
      </c>
      <c r="F179" s="25">
        <v>0</v>
      </c>
      <c r="G179" s="25">
        <v>0</v>
      </c>
      <c r="H179" s="25">
        <v>0</v>
      </c>
      <c r="I179" s="25">
        <v>0</v>
      </c>
      <c r="J179" s="25">
        <v>0</v>
      </c>
      <c r="K179" s="25">
        <v>0</v>
      </c>
      <c r="L179" s="25">
        <v>0</v>
      </c>
      <c r="M179" s="27"/>
    </row>
    <row r="180" spans="1:13" ht="15.75" customHeight="1">
      <c r="A180" s="278"/>
      <c r="B180" s="347" t="str">
        <f t="shared" si="14"/>
        <v>Item 2.2</v>
      </c>
      <c r="C180" s="344" t="str">
        <f>"in AY "&amp;TEXT(InputTOTAL!E$45-1,"0")</f>
        <v>in AY 2022</v>
      </c>
      <c r="D180" s="280"/>
      <c r="E180" s="25">
        <v>0</v>
      </c>
      <c r="F180" s="25">
        <v>0</v>
      </c>
      <c r="G180" s="25">
        <v>0</v>
      </c>
      <c r="H180" s="25">
        <v>0</v>
      </c>
      <c r="I180" s="25">
        <v>0</v>
      </c>
      <c r="J180" s="25">
        <v>0</v>
      </c>
      <c r="K180" s="25">
        <v>0</v>
      </c>
      <c r="L180" s="25">
        <v>0</v>
      </c>
      <c r="M180" s="27"/>
    </row>
    <row r="181" spans="1:13" ht="15.75" customHeight="1">
      <c r="A181" s="278"/>
      <c r="B181" s="347" t="str">
        <f t="shared" si="14"/>
        <v>Item 2.3</v>
      </c>
      <c r="C181" s="344" t="str">
        <f>"in AY "&amp;TEXT(InputTOTAL!E$45-2,"0")</f>
        <v>in AY 2021</v>
      </c>
      <c r="D181" s="280"/>
      <c r="E181" s="25">
        <v>0</v>
      </c>
      <c r="F181" s="25">
        <v>0</v>
      </c>
      <c r="G181" s="25">
        <v>0</v>
      </c>
      <c r="H181" s="25">
        <v>0</v>
      </c>
      <c r="I181" s="25">
        <v>0</v>
      </c>
      <c r="J181" s="25">
        <v>0</v>
      </c>
      <c r="K181" s="25">
        <v>0</v>
      </c>
      <c r="L181" s="25">
        <v>0</v>
      </c>
      <c r="M181" s="27"/>
    </row>
    <row r="182" spans="1:13" ht="15.75" customHeight="1">
      <c r="A182" s="278"/>
      <c r="B182" s="347" t="str">
        <f t="shared" si="14"/>
        <v>Item 2.4</v>
      </c>
      <c r="C182" s="344" t="str">
        <f>"in AY "&amp;TEXT(InputTOTAL!E$45-3,"0")</f>
        <v>in AY 2020</v>
      </c>
      <c r="D182" s="280"/>
      <c r="E182" s="25">
        <v>0</v>
      </c>
      <c r="F182" s="25">
        <v>0</v>
      </c>
      <c r="G182" s="25">
        <v>0</v>
      </c>
      <c r="H182" s="25">
        <v>0</v>
      </c>
      <c r="I182" s="25">
        <v>0</v>
      </c>
      <c r="J182" s="25">
        <v>0</v>
      </c>
      <c r="K182" s="25">
        <v>0</v>
      </c>
      <c r="L182" s="25">
        <v>0</v>
      </c>
      <c r="M182" s="27"/>
    </row>
    <row r="183" spans="1:13" ht="15.75" customHeight="1">
      <c r="A183" s="278"/>
      <c r="B183" s="347" t="str">
        <f t="shared" si="14"/>
        <v>Item 2.5</v>
      </c>
      <c r="C183" s="344" t="str">
        <f>"in AY "&amp;TEXT(InputTOTAL!E$45-4,"0")</f>
        <v>in AY 2019</v>
      </c>
      <c r="D183" s="280"/>
      <c r="E183" s="25">
        <v>0</v>
      </c>
      <c r="F183" s="25">
        <v>0</v>
      </c>
      <c r="G183" s="25">
        <v>0</v>
      </c>
      <c r="H183" s="25">
        <v>0</v>
      </c>
      <c r="I183" s="25">
        <v>0</v>
      </c>
      <c r="J183" s="25">
        <v>0</v>
      </c>
      <c r="K183" s="25">
        <v>0</v>
      </c>
      <c r="L183" s="25">
        <v>0</v>
      </c>
      <c r="M183" s="27"/>
    </row>
    <row r="184" spans="1:13" ht="15.75" customHeight="1">
      <c r="A184" s="278"/>
      <c r="B184" s="347" t="str">
        <f t="shared" si="14"/>
        <v>Item 2.6</v>
      </c>
      <c r="C184" s="344" t="str">
        <f>"in AY "&amp;TEXT(InputTOTAL!E$45-5,"0")</f>
        <v>in AY 2018</v>
      </c>
      <c r="D184" s="280"/>
      <c r="E184" s="25">
        <v>0</v>
      </c>
      <c r="F184" s="25">
        <v>0</v>
      </c>
      <c r="G184" s="25">
        <v>0</v>
      </c>
      <c r="H184" s="25">
        <v>0</v>
      </c>
      <c r="I184" s="25">
        <v>0</v>
      </c>
      <c r="J184" s="25">
        <v>0</v>
      </c>
      <c r="K184" s="25">
        <v>0</v>
      </c>
      <c r="L184" s="25">
        <v>0</v>
      </c>
      <c r="M184" s="27"/>
    </row>
    <row r="185" spans="1:13" ht="15.75" customHeight="1">
      <c r="A185" s="278"/>
      <c r="B185" s="347" t="str">
        <f t="shared" si="14"/>
        <v>Item 2.7</v>
      </c>
      <c r="C185" s="344" t="str">
        <f>"in AY "&amp;TEXT(InputTOTAL!E$45-6,"0")</f>
        <v>in AY 2017</v>
      </c>
      <c r="D185" s="280"/>
      <c r="E185" s="25">
        <v>0</v>
      </c>
      <c r="F185" s="25">
        <v>0</v>
      </c>
      <c r="G185" s="25">
        <v>0</v>
      </c>
      <c r="H185" s="25">
        <v>0</v>
      </c>
      <c r="I185" s="25">
        <v>0</v>
      </c>
      <c r="J185" s="25">
        <v>0</v>
      </c>
      <c r="K185" s="25">
        <v>0</v>
      </c>
      <c r="L185" s="25">
        <v>0</v>
      </c>
      <c r="M185" s="27"/>
    </row>
    <row r="186" spans="1:13" ht="15.75" customHeight="1">
      <c r="A186" s="278"/>
      <c r="B186" s="347" t="str">
        <f t="shared" si="14"/>
        <v>Item 2.8</v>
      </c>
      <c r="C186" s="344" t="str">
        <f>"in AY "&amp;TEXT(InputTOTAL!E$45-7,"0")</f>
        <v>in AY 2016</v>
      </c>
      <c r="D186" s="280"/>
      <c r="E186" s="25">
        <v>0</v>
      </c>
      <c r="F186" s="25">
        <v>0</v>
      </c>
      <c r="G186" s="25">
        <v>0</v>
      </c>
      <c r="H186" s="25">
        <v>0</v>
      </c>
      <c r="I186" s="25">
        <v>0</v>
      </c>
      <c r="J186" s="25">
        <v>0</v>
      </c>
      <c r="K186" s="25">
        <v>0</v>
      </c>
      <c r="L186" s="25">
        <v>0</v>
      </c>
      <c r="M186" s="27"/>
    </row>
    <row r="187" spans="1:13" ht="15.75" customHeight="1">
      <c r="A187" s="278"/>
      <c r="B187" s="347" t="str">
        <f t="shared" si="14"/>
        <v>Item 2.9</v>
      </c>
      <c r="C187" s="344" t="str">
        <f>"in AY "&amp;TEXT(InputTOTAL!E$45-8,"0")</f>
        <v>in AY 2015</v>
      </c>
      <c r="D187" s="280"/>
      <c r="E187" s="25">
        <v>0</v>
      </c>
      <c r="F187" s="25">
        <v>0</v>
      </c>
      <c r="G187" s="25">
        <v>0</v>
      </c>
      <c r="H187" s="25">
        <v>0</v>
      </c>
      <c r="I187" s="25">
        <v>0</v>
      </c>
      <c r="J187" s="25">
        <v>0</v>
      </c>
      <c r="K187" s="25">
        <v>0</v>
      </c>
      <c r="L187" s="25">
        <v>0</v>
      </c>
      <c r="M187" s="27"/>
    </row>
    <row r="188" spans="1:13" ht="15.75" customHeight="1">
      <c r="A188" s="278"/>
      <c r="B188" s="347" t="str">
        <f t="shared" si="14"/>
        <v>Item 2.10</v>
      </c>
      <c r="C188" s="344" t="str">
        <f>"in AY "&amp;TEXT(InputTOTAL!E$45-9,"0")</f>
        <v>in AY 2014</v>
      </c>
      <c r="D188" s="280"/>
      <c r="E188" s="25">
        <v>0</v>
      </c>
      <c r="F188" s="25">
        <v>0</v>
      </c>
      <c r="G188" s="25">
        <v>0</v>
      </c>
      <c r="H188" s="25">
        <v>0</v>
      </c>
      <c r="I188" s="25">
        <v>0</v>
      </c>
      <c r="J188" s="25">
        <v>0</v>
      </c>
      <c r="K188" s="25">
        <v>0</v>
      </c>
      <c r="L188" s="25">
        <v>0</v>
      </c>
      <c r="M188" s="27"/>
    </row>
    <row r="189" spans="1:13" ht="15.75" customHeight="1">
      <c r="A189" s="278"/>
      <c r="B189" s="347" t="str">
        <f>B171</f>
        <v>Item 2.15</v>
      </c>
      <c r="C189" s="344" t="str">
        <f>"in AY "&amp;TEXT(InputTOTAL!E$45-10,"0")</f>
        <v>in AY 2013</v>
      </c>
      <c r="D189" s="280"/>
      <c r="E189" s="25">
        <v>0</v>
      </c>
      <c r="F189" s="25">
        <v>0</v>
      </c>
      <c r="G189" s="25">
        <v>0</v>
      </c>
      <c r="H189" s="25">
        <v>0</v>
      </c>
      <c r="I189" s="25">
        <v>0</v>
      </c>
      <c r="J189" s="25">
        <v>0</v>
      </c>
      <c r="K189" s="25">
        <v>0</v>
      </c>
      <c r="L189" s="25">
        <v>0</v>
      </c>
      <c r="M189" s="27"/>
    </row>
    <row r="190" spans="1:13" ht="15.75" customHeight="1">
      <c r="A190" s="278"/>
      <c r="B190" s="347" t="s">
        <v>89</v>
      </c>
      <c r="C190" s="344" t="str">
        <f>"in AY "&amp;TEXT(InputTOTAL!E$45-11,"0")</f>
        <v>in AY 2012</v>
      </c>
      <c r="D190" s="280"/>
      <c r="E190" s="25">
        <v>0</v>
      </c>
      <c r="F190" s="25">
        <v>0</v>
      </c>
      <c r="G190" s="25">
        <v>0</v>
      </c>
      <c r="H190" s="25">
        <v>0</v>
      </c>
      <c r="I190" s="25">
        <v>0</v>
      </c>
      <c r="J190" s="25">
        <v>0</v>
      </c>
      <c r="K190" s="25">
        <v>0</v>
      </c>
      <c r="L190" s="25">
        <v>0</v>
      </c>
      <c r="M190" s="27"/>
    </row>
    <row r="191" spans="1:13" ht="15.75" customHeight="1">
      <c r="A191" s="278"/>
      <c r="B191" s="347" t="s">
        <v>90</v>
      </c>
      <c r="C191" s="344" t="str">
        <f>"in AY "&amp;TEXT(InputTOTAL!E$45-12,"0")</f>
        <v>in AY 2011</v>
      </c>
      <c r="D191" s="280"/>
      <c r="E191" s="25">
        <v>0</v>
      </c>
      <c r="F191" s="25">
        <v>0</v>
      </c>
      <c r="G191" s="25">
        <v>0</v>
      </c>
      <c r="H191" s="25">
        <v>0</v>
      </c>
      <c r="I191" s="25">
        <v>0</v>
      </c>
      <c r="J191" s="25">
        <v>0</v>
      </c>
      <c r="K191" s="25">
        <v>0</v>
      </c>
      <c r="L191" s="25">
        <v>0</v>
      </c>
      <c r="M191" s="27"/>
    </row>
    <row r="192" spans="1:13" ht="15.75" customHeight="1">
      <c r="A192" s="278"/>
      <c r="B192" s="347" t="s">
        <v>91</v>
      </c>
      <c r="C192" s="344" t="str">
        <f>"in AY "&amp;TEXT(InputTOTAL!E$45-13,"0")</f>
        <v>in AY 2010</v>
      </c>
      <c r="D192" s="280"/>
      <c r="E192" s="25">
        <v>0</v>
      </c>
      <c r="F192" s="25">
        <v>0</v>
      </c>
      <c r="G192" s="25">
        <v>0</v>
      </c>
      <c r="H192" s="25">
        <v>0</v>
      </c>
      <c r="I192" s="25">
        <v>0</v>
      </c>
      <c r="J192" s="25">
        <v>0</v>
      </c>
      <c r="K192" s="25">
        <v>0</v>
      </c>
      <c r="L192" s="25">
        <v>0</v>
      </c>
      <c r="M192" s="27"/>
    </row>
    <row r="193" spans="1:13" ht="15.75" customHeight="1">
      <c r="A193" s="278"/>
      <c r="B193" s="347" t="s">
        <v>92</v>
      </c>
      <c r="C193" s="344" t="str">
        <f>"in AY "&amp;TEXT(InputTOTAL!E$45-14,"0")</f>
        <v>in AY 2009</v>
      </c>
      <c r="D193" s="280"/>
      <c r="E193" s="25">
        <v>0</v>
      </c>
      <c r="F193" s="25">
        <v>0</v>
      </c>
      <c r="G193" s="25">
        <v>0</v>
      </c>
      <c r="H193" s="25">
        <v>0</v>
      </c>
      <c r="I193" s="25">
        <v>0</v>
      </c>
      <c r="J193" s="25">
        <v>0</v>
      </c>
      <c r="K193" s="25">
        <v>0</v>
      </c>
      <c r="L193" s="25">
        <v>0</v>
      </c>
      <c r="M193" s="27"/>
    </row>
    <row r="194" spans="1:13" ht="15.75" customHeight="1">
      <c r="A194" s="278"/>
      <c r="B194" s="347" t="s">
        <v>93</v>
      </c>
      <c r="C194" s="344" t="str">
        <f>"in AY "&amp;TEXT(InputTOTAL!E$45-15,"0")</f>
        <v>in AY 2008</v>
      </c>
      <c r="D194" s="280"/>
      <c r="E194" s="25">
        <v>0</v>
      </c>
      <c r="F194" s="25">
        <v>0</v>
      </c>
      <c r="G194" s="25">
        <v>0</v>
      </c>
      <c r="H194" s="25">
        <v>0</v>
      </c>
      <c r="I194" s="25">
        <v>0</v>
      </c>
      <c r="J194" s="25">
        <v>0</v>
      </c>
      <c r="K194" s="25">
        <v>0</v>
      </c>
      <c r="L194" s="25">
        <v>0</v>
      </c>
      <c r="M194" s="27"/>
    </row>
    <row r="195" spans="1:13" ht="15.75" customHeight="1">
      <c r="A195" s="278"/>
      <c r="B195" s="347" t="s">
        <v>94</v>
      </c>
      <c r="C195" s="344" t="str">
        <f>"in AY "&amp;TEXT(InputTOTAL!E$45-16,"0")</f>
        <v>in AY 2007</v>
      </c>
      <c r="D195" s="280"/>
      <c r="E195" s="39" t="s">
        <v>0</v>
      </c>
      <c r="F195" s="25">
        <v>0</v>
      </c>
      <c r="G195" s="25">
        <v>0</v>
      </c>
      <c r="H195" s="25">
        <v>0</v>
      </c>
      <c r="I195" s="25">
        <v>0</v>
      </c>
      <c r="J195" s="25">
        <v>0</v>
      </c>
      <c r="K195" s="25">
        <v>0</v>
      </c>
      <c r="L195" s="25">
        <v>0</v>
      </c>
      <c r="M195" s="27"/>
    </row>
    <row r="196" spans="1:13" ht="15.75" customHeight="1">
      <c r="A196" s="278"/>
      <c r="B196" s="347" t="s">
        <v>95</v>
      </c>
      <c r="C196" s="344" t="str">
        <f>"in AY "&amp;TEXT(InputTOTAL!E$45-17,"0")</f>
        <v>in AY 2006</v>
      </c>
      <c r="D196" s="280"/>
      <c r="E196" s="39" t="s">
        <v>0</v>
      </c>
      <c r="F196" s="39" t="s">
        <v>0</v>
      </c>
      <c r="G196" s="25">
        <v>0</v>
      </c>
      <c r="H196" s="25">
        <v>0</v>
      </c>
      <c r="I196" s="25">
        <v>0</v>
      </c>
      <c r="J196" s="25">
        <v>0</v>
      </c>
      <c r="K196" s="25">
        <v>0</v>
      </c>
      <c r="L196" s="25">
        <v>0</v>
      </c>
      <c r="M196" s="27"/>
    </row>
    <row r="197" spans="1:13" ht="15.75" customHeight="1">
      <c r="A197" s="278"/>
      <c r="B197" s="347" t="s">
        <v>96</v>
      </c>
      <c r="C197" s="344" t="str">
        <f>"in AY "&amp;TEXT(InputTOTAL!E$45-18,"0")</f>
        <v>in AY 2005</v>
      </c>
      <c r="D197" s="280"/>
      <c r="E197" s="39" t="s">
        <v>0</v>
      </c>
      <c r="F197" s="39" t="s">
        <v>0</v>
      </c>
      <c r="G197" s="39" t="s">
        <v>0</v>
      </c>
      <c r="H197" s="25">
        <v>0</v>
      </c>
      <c r="I197" s="25">
        <v>0</v>
      </c>
      <c r="J197" s="25">
        <v>0</v>
      </c>
      <c r="K197" s="25">
        <v>0</v>
      </c>
      <c r="L197" s="25">
        <v>0</v>
      </c>
      <c r="M197" s="27"/>
    </row>
    <row r="198" spans="1:13" ht="15.75" customHeight="1">
      <c r="A198" s="278"/>
      <c r="B198" s="347" t="s">
        <v>244</v>
      </c>
      <c r="C198" s="344" t="str">
        <f>"in AY "&amp;TEXT(InputTOTAL!E$45-19,"0")</f>
        <v>in AY 2004</v>
      </c>
      <c r="D198" s="280"/>
      <c r="E198" s="39" t="s">
        <v>0</v>
      </c>
      <c r="F198" s="39" t="s">
        <v>0</v>
      </c>
      <c r="G198" s="39" t="s">
        <v>0</v>
      </c>
      <c r="H198" s="39" t="s">
        <v>0</v>
      </c>
      <c r="I198" s="25">
        <v>0</v>
      </c>
      <c r="J198" s="25">
        <v>0</v>
      </c>
      <c r="K198" s="25">
        <v>0</v>
      </c>
      <c r="L198" s="25">
        <v>0</v>
      </c>
      <c r="M198" s="27"/>
    </row>
    <row r="199" spans="1:13" ht="15.75" customHeight="1">
      <c r="A199" s="278"/>
      <c r="B199" s="347" t="s">
        <v>245</v>
      </c>
      <c r="C199" s="344" t="str">
        <f>"in AY "&amp;TEXT(InputTOTAL!E$45-20,"0")</f>
        <v>in AY 2003</v>
      </c>
      <c r="D199" s="280"/>
      <c r="E199" s="39" t="s">
        <v>0</v>
      </c>
      <c r="F199" s="39" t="s">
        <v>0</v>
      </c>
      <c r="G199" s="39" t="s">
        <v>0</v>
      </c>
      <c r="H199" s="39" t="s">
        <v>0</v>
      </c>
      <c r="I199" s="39" t="s">
        <v>0</v>
      </c>
      <c r="J199" s="25">
        <v>0</v>
      </c>
      <c r="K199" s="25">
        <v>0</v>
      </c>
      <c r="L199" s="25">
        <v>0</v>
      </c>
      <c r="M199" s="27"/>
    </row>
    <row r="200" spans="1:13" ht="15.75" customHeight="1">
      <c r="A200" s="278"/>
      <c r="B200" s="347" t="s">
        <v>246</v>
      </c>
      <c r="C200" s="344" t="str">
        <f>"in AY "&amp;TEXT(InputTOTAL!E$45-21,"0")</f>
        <v>in AY 2002</v>
      </c>
      <c r="D200" s="280"/>
      <c r="E200" s="39" t="s">
        <v>0</v>
      </c>
      <c r="F200" s="39" t="s">
        <v>0</v>
      </c>
      <c r="G200" s="39" t="s">
        <v>0</v>
      </c>
      <c r="H200" s="39" t="s">
        <v>0</v>
      </c>
      <c r="I200" s="39" t="s">
        <v>0</v>
      </c>
      <c r="J200" s="39" t="s">
        <v>0</v>
      </c>
      <c r="K200" s="25">
        <v>0</v>
      </c>
      <c r="L200" s="25">
        <v>0</v>
      </c>
      <c r="M200" s="27"/>
    </row>
    <row r="201" spans="1:13" ht="15.75" customHeight="1" thickBot="1">
      <c r="A201" s="374"/>
      <c r="B201" s="375" t="s">
        <v>247</v>
      </c>
      <c r="C201" s="376" t="str">
        <f>"in AY "&amp;TEXT(InputTOTAL!E$45-22,"0")</f>
        <v>in AY 2001</v>
      </c>
      <c r="D201" s="377"/>
      <c r="E201" s="276" t="s">
        <v>0</v>
      </c>
      <c r="F201" s="276" t="s">
        <v>0</v>
      </c>
      <c r="G201" s="276" t="s">
        <v>0</v>
      </c>
      <c r="H201" s="276" t="s">
        <v>0</v>
      </c>
      <c r="I201" s="276" t="s">
        <v>0</v>
      </c>
      <c r="J201" s="276" t="s">
        <v>0</v>
      </c>
      <c r="K201" s="276" t="s">
        <v>0</v>
      </c>
      <c r="L201" s="31">
        <v>0</v>
      </c>
      <c r="M201" s="32"/>
    </row>
    <row r="202" spans="1:13" ht="15.75" customHeight="1">
      <c r="A202" s="463"/>
      <c r="B202" s="347"/>
      <c r="C202" s="344"/>
      <c r="D202" s="280"/>
      <c r="E202" s="39"/>
      <c r="F202" s="39"/>
      <c r="G202" s="39"/>
      <c r="H202" s="39"/>
      <c r="I202" s="39"/>
      <c r="J202" s="39"/>
      <c r="K202" s="39"/>
      <c r="L202" s="25"/>
      <c r="M202" s="25"/>
    </row>
    <row r="203" spans="1:13" ht="15.75" customHeight="1">
      <c r="A203" s="366"/>
      <c r="B203" s="574"/>
      <c r="C203" s="575"/>
      <c r="D203" s="414"/>
      <c r="E203" s="39"/>
      <c r="F203" s="39"/>
      <c r="G203" s="39"/>
      <c r="H203" s="39"/>
      <c r="I203" s="39"/>
      <c r="J203" s="39"/>
      <c r="K203" s="39"/>
      <c r="L203" s="25"/>
      <c r="M203" s="25"/>
    </row>
    <row r="204" spans="1:13" ht="15.75" customHeight="1">
      <c r="A204" s="709" t="s">
        <v>420</v>
      </c>
      <c r="B204" s="574"/>
      <c r="C204" s="575"/>
      <c r="D204" s="414"/>
      <c r="E204" s="39"/>
      <c r="F204" s="39"/>
      <c r="G204" s="39"/>
      <c r="H204" s="39"/>
      <c r="I204" s="39"/>
      <c r="J204" s="39"/>
      <c r="K204" s="39"/>
      <c r="L204" s="25"/>
      <c r="M204" s="25"/>
    </row>
    <row r="205" spans="1:13" ht="15.75" customHeight="1">
      <c r="A205" s="708"/>
      <c r="B205" s="574"/>
      <c r="C205" s="575"/>
      <c r="D205" s="414"/>
      <c r="E205" s="39"/>
      <c r="F205" s="39"/>
      <c r="G205" s="39"/>
      <c r="H205" s="39"/>
      <c r="I205" s="39"/>
      <c r="J205" s="39"/>
      <c r="K205" s="39"/>
      <c r="L205" s="25"/>
      <c r="M205" s="25"/>
    </row>
    <row r="206" spans="1:13" ht="15.75" customHeight="1">
      <c r="A206" s="708" t="s">
        <v>421</v>
      </c>
      <c r="B206" s="574"/>
      <c r="C206" s="575"/>
      <c r="D206" s="414"/>
      <c r="E206" s="39"/>
      <c r="F206" s="39"/>
      <c r="G206" s="39"/>
      <c r="H206" s="39"/>
      <c r="I206" s="39"/>
      <c r="J206" s="39"/>
      <c r="K206" s="39"/>
      <c r="L206" s="25"/>
      <c r="M206" s="25"/>
    </row>
    <row r="207" spans="1:13" ht="15.75" customHeight="1">
      <c r="A207" s="708"/>
      <c r="B207" s="574"/>
      <c r="C207" s="575"/>
      <c r="D207" s="414"/>
      <c r="E207" s="39"/>
      <c r="F207" s="39"/>
      <c r="G207" s="39"/>
      <c r="H207" s="39"/>
      <c r="I207" s="39"/>
      <c r="J207" s="39"/>
      <c r="K207" s="39"/>
      <c r="L207" s="25"/>
      <c r="M207" s="25"/>
    </row>
    <row r="208" spans="1:13" ht="15.75" customHeight="1">
      <c r="A208" s="708" t="s">
        <v>422</v>
      </c>
      <c r="B208" s="347"/>
      <c r="C208" s="344"/>
      <c r="D208" s="280"/>
      <c r="E208" s="39"/>
      <c r="F208" s="39"/>
      <c r="G208" s="39"/>
      <c r="H208" s="39"/>
      <c r="I208" s="39"/>
      <c r="J208" s="39"/>
      <c r="K208" s="39"/>
      <c r="L208" s="25"/>
      <c r="M208" s="25"/>
    </row>
    <row r="209" spans="1:13" ht="15.75" customHeight="1">
      <c r="A209" s="463"/>
      <c r="B209" s="347"/>
      <c r="C209" s="344"/>
      <c r="D209" s="280"/>
      <c r="E209" s="39"/>
      <c r="F209" s="39"/>
      <c r="G209" s="39"/>
      <c r="H209" s="39"/>
      <c r="I209" s="39"/>
      <c r="J209" s="39"/>
      <c r="K209" s="39"/>
      <c r="L209" s="25"/>
      <c r="M209" s="25"/>
    </row>
    <row r="210" spans="1:13" ht="15.75" customHeight="1">
      <c r="A210" s="463"/>
      <c r="B210" s="347"/>
      <c r="C210" s="344"/>
      <c r="D210" s="280"/>
      <c r="E210" s="39"/>
      <c r="F210" s="39"/>
      <c r="G210" s="39"/>
      <c r="H210" s="39"/>
      <c r="I210" s="39"/>
      <c r="J210" s="39"/>
      <c r="K210" s="39"/>
      <c r="L210" s="25"/>
      <c r="M210" s="25"/>
    </row>
    <row r="211" spans="1:13" ht="15.75" customHeight="1">
      <c r="A211" s="463"/>
      <c r="B211" s="347"/>
      <c r="C211" s="344"/>
      <c r="D211" s="280"/>
      <c r="E211" s="39"/>
      <c r="F211" s="39"/>
      <c r="G211" s="39"/>
      <c r="H211" s="39"/>
      <c r="I211" s="39"/>
      <c r="J211" s="39"/>
      <c r="K211" s="39"/>
      <c r="L211" s="25"/>
      <c r="M211" s="25"/>
    </row>
    <row r="212" spans="12:13" ht="15.75" customHeight="1" thickBot="1">
      <c r="L212" s="398"/>
      <c r="M212" s="398"/>
    </row>
    <row r="213" spans="1:13" ht="15.75" customHeight="1">
      <c r="A213" s="352" t="s">
        <v>217</v>
      </c>
      <c r="B213" s="538" t="s">
        <v>349</v>
      </c>
      <c r="C213" s="329"/>
      <c r="D213" s="113"/>
      <c r="E213" s="98"/>
      <c r="F213" s="98"/>
      <c r="G213" s="391"/>
      <c r="H213" s="391"/>
      <c r="I213" s="391"/>
      <c r="J213" s="98"/>
      <c r="K213" s="98"/>
      <c r="L213" s="98"/>
      <c r="M213" s="99"/>
    </row>
    <row r="214" spans="1:13" ht="15.75" customHeight="1">
      <c r="A214" s="581"/>
      <c r="B214" s="580" t="s">
        <v>399</v>
      </c>
      <c r="C214" s="285"/>
      <c r="D214" s="192" t="s">
        <v>348</v>
      </c>
      <c r="E214" s="127"/>
      <c r="F214" s="582" t="s">
        <v>265</v>
      </c>
      <c r="G214" s="582" t="s">
        <v>265</v>
      </c>
      <c r="H214" s="582" t="s">
        <v>265</v>
      </c>
      <c r="I214" s="582" t="s">
        <v>265</v>
      </c>
      <c r="J214" s="582" t="s">
        <v>265</v>
      </c>
      <c r="K214" s="127"/>
      <c r="L214" s="127"/>
      <c r="M214" s="275"/>
    </row>
    <row r="215" spans="1:13" ht="15.75" customHeight="1">
      <c r="A215" s="583"/>
      <c r="B215" s="584"/>
      <c r="C215" s="585"/>
      <c r="D215" s="449"/>
      <c r="E215" s="589"/>
      <c r="F215" s="586" t="s">
        <v>389</v>
      </c>
      <c r="G215" s="586"/>
      <c r="H215" s="586"/>
      <c r="I215" s="586"/>
      <c r="J215" s="586"/>
      <c r="K215" s="586"/>
      <c r="L215" s="586"/>
      <c r="M215" s="586"/>
    </row>
    <row r="216" spans="1:13" ht="15.75" customHeight="1">
      <c r="A216" s="583"/>
      <c r="B216" s="584"/>
      <c r="C216" s="585"/>
      <c r="D216" s="449"/>
      <c r="E216" s="587"/>
      <c r="F216" s="587">
        <f>InputB!E$7</f>
        <v>2023</v>
      </c>
      <c r="G216" s="587">
        <f>InputB!F$7</f>
        <v>2022</v>
      </c>
      <c r="H216" s="587">
        <f>InputB!G$7</f>
        <v>2021</v>
      </c>
      <c r="I216" s="587">
        <f>InputB!H$7</f>
        <v>2020</v>
      </c>
      <c r="J216" s="587">
        <f>InputB!I$7</f>
        <v>2019</v>
      </c>
      <c r="K216" s="587">
        <f>InputB!J$7</f>
        <v>2018</v>
      </c>
      <c r="L216" s="587">
        <f>InputB!K$7</f>
        <v>2017</v>
      </c>
      <c r="M216" s="588"/>
    </row>
    <row r="217" spans="1:13" ht="15.75" customHeight="1">
      <c r="A217" s="581"/>
      <c r="B217" s="493" t="s">
        <v>400</v>
      </c>
      <c r="C217" s="285"/>
      <c r="D217" s="192" t="s">
        <v>405</v>
      </c>
      <c r="E217" s="590"/>
      <c r="F217" s="590"/>
      <c r="G217" s="590"/>
      <c r="H217" s="590"/>
      <c r="I217" s="590"/>
      <c r="J217" s="590"/>
      <c r="K217" s="590"/>
      <c r="L217" s="590"/>
      <c r="M217" s="590"/>
    </row>
    <row r="218" spans="1:13" ht="15.75" customHeight="1">
      <c r="A218" s="581"/>
      <c r="B218" s="493" t="s">
        <v>401</v>
      </c>
      <c r="C218" s="285"/>
      <c r="D218" s="192" t="s">
        <v>407</v>
      </c>
      <c r="E218" s="590"/>
      <c r="F218" s="590"/>
      <c r="G218" s="590"/>
      <c r="H218" s="590"/>
      <c r="I218" s="590"/>
      <c r="J218" s="590"/>
      <c r="K218" s="590"/>
      <c r="L218" s="590"/>
      <c r="M218" s="275"/>
    </row>
    <row r="219" spans="1:13" ht="15.75" customHeight="1">
      <c r="A219" s="581"/>
      <c r="B219" s="493" t="s">
        <v>402</v>
      </c>
      <c r="C219" s="285"/>
      <c r="D219" s="192" t="s">
        <v>406</v>
      </c>
      <c r="E219" s="496"/>
      <c r="F219" s="496"/>
      <c r="G219" s="496"/>
      <c r="H219" s="496"/>
      <c r="I219" s="496"/>
      <c r="J219" s="496"/>
      <c r="K219" s="496"/>
      <c r="L219" s="496"/>
      <c r="M219" s="275"/>
    </row>
    <row r="220" spans="1:13" ht="15.75" customHeight="1">
      <c r="A220" s="172" t="s">
        <v>59</v>
      </c>
      <c r="B220" s="580" t="s">
        <v>395</v>
      </c>
      <c r="C220" s="511"/>
      <c r="D220" s="480" t="s">
        <v>411</v>
      </c>
      <c r="F220" s="511" t="s">
        <v>419</v>
      </c>
      <c r="G220" s="511"/>
      <c r="H220" s="533"/>
      <c r="I220" s="533"/>
      <c r="J220" s="533"/>
      <c r="K220" s="533"/>
      <c r="L220" s="533"/>
      <c r="M220" s="534"/>
    </row>
    <row r="221" spans="1:13" ht="30.75" customHeight="1">
      <c r="A221" s="322"/>
      <c r="B221" s="580"/>
      <c r="C221" s="511"/>
      <c r="D221" s="480"/>
      <c r="E221" s="702" t="s">
        <v>417</v>
      </c>
      <c r="F221" s="703" t="s">
        <v>418</v>
      </c>
      <c r="G221" s="511"/>
      <c r="H221" s="533"/>
      <c r="I221" s="533"/>
      <c r="J221" s="533"/>
      <c r="K221" s="533"/>
      <c r="L221" s="533"/>
      <c r="M221" s="533"/>
    </row>
    <row r="222" spans="1:13" ht="15.75" customHeight="1">
      <c r="A222" s="322"/>
      <c r="B222" s="493" t="s">
        <v>397</v>
      </c>
      <c r="C222" s="494"/>
      <c r="D222" s="480" t="s">
        <v>253</v>
      </c>
      <c r="E222" s="495" t="s">
        <v>255</v>
      </c>
      <c r="F222" s="704" t="s">
        <v>255</v>
      </c>
      <c r="G222" s="532" t="s">
        <v>413</v>
      </c>
      <c r="H222" s="479"/>
      <c r="I222" s="479"/>
      <c r="J222" s="479"/>
      <c r="K222" s="479"/>
      <c r="L222" s="479"/>
      <c r="M222" s="479"/>
    </row>
    <row r="223" spans="1:13" ht="15.75" customHeight="1">
      <c r="A223" s="322"/>
      <c r="B223" s="493" t="s">
        <v>398</v>
      </c>
      <c r="C223" s="494"/>
      <c r="D223" s="480" t="s">
        <v>254</v>
      </c>
      <c r="E223" s="495" t="s">
        <v>255</v>
      </c>
      <c r="F223" s="704" t="s">
        <v>255</v>
      </c>
      <c r="G223" s="532" t="s">
        <v>256</v>
      </c>
      <c r="H223" s="479"/>
      <c r="I223" s="479"/>
      <c r="J223" s="479"/>
      <c r="K223" s="479"/>
      <c r="L223" s="479"/>
      <c r="M223" s="479"/>
    </row>
    <row r="224" spans="1:13" ht="15.75" customHeight="1">
      <c r="A224" s="172"/>
      <c r="B224" s="493" t="s">
        <v>396</v>
      </c>
      <c r="C224" s="475"/>
      <c r="D224" s="480" t="s">
        <v>252</v>
      </c>
      <c r="E224" s="513" t="s">
        <v>255</v>
      </c>
      <c r="F224" s="705" t="s">
        <v>255</v>
      </c>
      <c r="G224" s="532" t="s">
        <v>414</v>
      </c>
      <c r="H224" s="479"/>
      <c r="I224" s="479"/>
      <c r="J224" s="479"/>
      <c r="K224" s="479"/>
      <c r="L224" s="479"/>
      <c r="M224" s="479"/>
    </row>
    <row r="225" spans="1:13" ht="15.75" customHeight="1">
      <c r="A225" s="405"/>
      <c r="B225" s="695" t="s">
        <v>161</v>
      </c>
      <c r="C225" s="127"/>
      <c r="D225" s="192" t="s">
        <v>293</v>
      </c>
      <c r="E225" s="539">
        <v>0</v>
      </c>
      <c r="F225" s="706" t="s">
        <v>347</v>
      </c>
      <c r="G225" s="39"/>
      <c r="H225" s="39"/>
      <c r="I225" s="127"/>
      <c r="J225" s="127"/>
      <c r="K225" s="127"/>
      <c r="L225" s="127"/>
      <c r="M225" s="275"/>
    </row>
  </sheetData>
  <sheetProtection/>
  <protectedRanges>
    <protectedRange sqref="E222:E225 F222:F224" name="Range40"/>
    <protectedRange sqref="F217:L221 E221" name="Range39"/>
    <protectedRange sqref="F214:L214" name="Range38"/>
    <protectedRange sqref="E179:L210" name="Range37"/>
    <protectedRange sqref="E176:L176" name="Range36"/>
    <protectedRange sqref="D157:L171" name="Range35"/>
    <protectedRange sqref="D154:L154" name="Range34"/>
    <protectedRange sqref="E126:L149" name="Range33"/>
    <protectedRange sqref="E123:L123" name="Range32"/>
    <protectedRange sqref="K117:L118" name="Range31"/>
    <protectedRange sqref="J116:L116" name="Range30"/>
    <protectedRange sqref="I115:L115" name="Range29"/>
    <protectedRange sqref="H114:L114" name="Range28"/>
    <protectedRange sqref="G113:L113" name="Range27"/>
    <protectedRange sqref="F112:L112" name="Range26"/>
    <protectedRange sqref="E104:L111" name="Range25"/>
    <protectedRange sqref="L94" name="Range24"/>
    <protectedRange sqref="K93:L93" name="Range23"/>
    <protectedRange sqref="H92:L92" name="Range22"/>
    <protectedRange sqref="K91:L91" name="Range21"/>
    <protectedRange sqref="I90:L90" name="Range20"/>
    <protectedRange sqref="G89:L89" name="Range19"/>
    <protectedRange sqref="F88:L88" name="Range18"/>
    <protectedRange sqref="E72:M87" name="Range17"/>
    <protectedRange sqref="E69:L69" name="Range16"/>
    <protectedRange sqref="L64" name="Range15"/>
    <protectedRange sqref="K63:L63" name="Range14"/>
    <protectedRange sqref="J62:L62" name="Range13"/>
    <protectedRange sqref="I61:L61" name="Range12"/>
    <protectedRange sqref="H60:L60" name="Range11"/>
    <protectedRange sqref="G59:L59" name="Range10"/>
    <protectedRange sqref="F58:L58" name="Range9"/>
    <protectedRange sqref="E57:L57" name="Range8"/>
    <protectedRange sqref="D50:L56" name="Range7"/>
    <protectedRange sqref="D47:L47" name="Range6"/>
    <protectedRange sqref="E39:K40" name="Range5"/>
    <protectedRange sqref="E29:L33" name="Range4"/>
    <protectedRange sqref="E18:K27" name="Range3"/>
    <protectedRange sqref="F11:H12" name="Range2"/>
    <protectedRange sqref="F8" name="Range1"/>
  </protectedRanges>
  <conditionalFormatting sqref="F217:M219">
    <cfRule type="expression" priority="1" dxfId="0" stopIfTrue="1">
      <formula>OR(LEFT($F$214,5)="enter",LEFT($G$214,5)="enter",LEFT($H$214,5)="enter",LEFT($I$214,5)="enter",LEFT($J$214,5)="enter")</formula>
    </cfRule>
  </conditionalFormatting>
  <conditionalFormatting sqref="E222:F224">
    <cfRule type="expression" priority="2" dxfId="0" stopIfTrue="1">
      <formula>LEFT($F$220,5)="enter"</formula>
    </cfRule>
  </conditionalFormatting>
  <dataValidations count="1">
    <dataValidation type="textLength" allowBlank="1" showInputMessage="1" showErrorMessage="1" promptTitle="NJ AIRE Code" prompt="NJ AIRE Code must be 4 digit code.  If an insurer has less than 5 codes, use 0000 for the empty codes." sqref="F214:J214">
      <formula1>4</formula1>
      <formula2>4</formula2>
    </dataValidation>
  </dataValidations>
  <printOptions headings="1"/>
  <pageMargins left="0.5" right="0.5" top="0.5" bottom="0.5" header="0.5" footer="0.5"/>
  <pageSetup fitToHeight="1" fitToWidth="1" horizontalDpi="600" verticalDpi="600" orientation="landscape" scale="48" r:id="rId3"/>
  <headerFooter alignWithMargins="0">
    <oddFooter>&amp;L&amp;D&amp;RPage &amp;P of &amp;N</oddFooter>
  </headerFooter>
  <rowBreaks count="4" manualBreakCount="4">
    <brk id="42" max="255" man="1"/>
    <brk id="96" max="255" man="1"/>
    <brk id="150" max="255" man="1"/>
    <brk id="212" max="255" man="1"/>
  </rowBreaks>
  <legacyDrawing r:id="rId2"/>
</worksheet>
</file>

<file path=xl/worksheets/sheet6.xml><?xml version="1.0" encoding="utf-8"?>
<worksheet xmlns="http://schemas.openxmlformats.org/spreadsheetml/2006/main" xmlns:r="http://schemas.openxmlformats.org/officeDocument/2006/relationships">
  <sheetPr codeName="Sheet14" transitionEvaluation="1"/>
  <dimension ref="A1:J128"/>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7109375" style="104" customWidth="1"/>
    <col min="2" max="2" width="12.7109375" style="104" customWidth="1"/>
    <col min="3" max="3" width="38.57421875" style="104" customWidth="1"/>
    <col min="4" max="10" width="17.140625" style="104" customWidth="1"/>
    <col min="11" max="16384" width="11.7109375" style="104" customWidth="1"/>
  </cols>
  <sheetData>
    <row r="1" spans="1:10" ht="15.75" customHeight="1">
      <c r="A1" s="103" t="str">
        <f>InputB!$A$1</f>
        <v>Group Name:</v>
      </c>
      <c r="C1" s="105" t="str">
        <f>InputB!$C$1</f>
        <v>enter group name here</v>
      </c>
      <c r="D1"/>
      <c r="E1"/>
      <c r="F1"/>
      <c r="G1"/>
      <c r="H1"/>
      <c r="I1"/>
      <c r="J1" s="107" t="s">
        <v>150</v>
      </c>
    </row>
    <row r="2" spans="1:10" ht="15.75" customHeight="1">
      <c r="A2" s="108" t="str">
        <f>InputB!$A$2</f>
        <v>Group NAIC #:</v>
      </c>
      <c r="C2" s="105" t="str">
        <f>InputB!$C$2</f>
        <v>enter group # here</v>
      </c>
      <c r="D2"/>
      <c r="E2"/>
      <c r="F2"/>
      <c r="G2"/>
      <c r="H2"/>
      <c r="I2"/>
      <c r="J2" s="107" t="s">
        <v>363</v>
      </c>
    </row>
    <row r="3" spans="1:10" ht="15.75" customHeight="1">
      <c r="A3" s="103" t="str">
        <f>InputB!$A$3</f>
        <v>Year Filed:</v>
      </c>
      <c r="C3" s="110">
        <f>InputB!$C$3</f>
        <v>2024</v>
      </c>
      <c r="D3"/>
      <c r="E3"/>
      <c r="F3"/>
      <c r="G3"/>
      <c r="H3"/>
      <c r="I3"/>
      <c r="J3" s="107" t="s">
        <v>103</v>
      </c>
    </row>
    <row r="4" ht="15.75" customHeight="1" thickBot="1"/>
    <row r="5" spans="1:10" ht="15.75" customHeight="1">
      <c r="A5" s="112" t="str">
        <f>"Calendar Year "&amp;FIXED(ReportYear-1,0,TRUE)</f>
        <v>Calendar Year 2023</v>
      </c>
      <c r="B5" s="113"/>
      <c r="C5" s="113"/>
      <c r="D5" s="623" t="s">
        <v>118</v>
      </c>
      <c r="E5" s="623" t="s">
        <v>119</v>
      </c>
      <c r="F5" s="623" t="s">
        <v>120</v>
      </c>
      <c r="G5" s="623" t="s">
        <v>121</v>
      </c>
      <c r="H5" s="612"/>
      <c r="I5" s="623" t="s">
        <v>122</v>
      </c>
      <c r="J5" s="624" t="s">
        <v>107</v>
      </c>
    </row>
    <row r="6" spans="1:10" ht="15.75" customHeight="1">
      <c r="A6" s="116">
        <f>Exh1B!$A6</f>
      </c>
      <c r="B6" s="117">
        <f>Exh1B!$B6</f>
      </c>
      <c r="C6" s="117"/>
      <c r="D6" s="115" t="s">
        <v>108</v>
      </c>
      <c r="E6" s="115" t="s">
        <v>108</v>
      </c>
      <c r="F6" s="115" t="s">
        <v>111</v>
      </c>
      <c r="G6" s="115" t="s">
        <v>108</v>
      </c>
      <c r="H6" s="610"/>
      <c r="I6" s="115" t="s">
        <v>108</v>
      </c>
      <c r="J6" s="614" t="s">
        <v>108</v>
      </c>
    </row>
    <row r="7" spans="1:10" ht="15.75" customHeight="1">
      <c r="A7" s="116">
        <f>Exh1B!$A7</f>
      </c>
      <c r="B7" s="117">
        <f>Exh1B!$B7</f>
      </c>
      <c r="C7" s="117"/>
      <c r="D7" s="118" t="s">
        <v>109</v>
      </c>
      <c r="E7" s="118" t="s">
        <v>110</v>
      </c>
      <c r="F7" s="192" t="s">
        <v>112</v>
      </c>
      <c r="G7" s="502" t="s">
        <v>114</v>
      </c>
      <c r="H7" s="498"/>
      <c r="I7" s="118" t="s">
        <v>100</v>
      </c>
      <c r="J7" s="614" t="s">
        <v>100</v>
      </c>
    </row>
    <row r="8" spans="1:10" ht="15.75" customHeight="1">
      <c r="A8" s="116">
        <f>Exh1B!$A8</f>
      </c>
      <c r="B8" s="117">
        <f>Exh1B!$B8</f>
      </c>
      <c r="C8" s="117"/>
      <c r="D8" s="122" t="s">
        <v>47</v>
      </c>
      <c r="E8" s="122" t="s">
        <v>47</v>
      </c>
      <c r="F8" s="627" t="s">
        <v>113</v>
      </c>
      <c r="G8" s="503" t="s">
        <v>47</v>
      </c>
      <c r="H8" s="499"/>
      <c r="I8" s="122" t="s">
        <v>115</v>
      </c>
      <c r="J8" s="615" t="s">
        <v>322</v>
      </c>
    </row>
    <row r="9" spans="1:10" ht="15.75" customHeight="1">
      <c r="A9" s="116" t="s">
        <v>6</v>
      </c>
      <c r="B9" s="117" t="s">
        <v>366</v>
      </c>
      <c r="C9" s="117"/>
      <c r="D9" s="37">
        <f>InputA!$E$10</f>
        <v>0</v>
      </c>
      <c r="E9" s="37">
        <f>InputA!$E$15</f>
        <v>0</v>
      </c>
      <c r="F9" s="37">
        <f>InputA!$E$20+InputA!$E$24</f>
        <v>0</v>
      </c>
      <c r="G9" s="480">
        <f>InputA!$E$28</f>
        <v>0</v>
      </c>
      <c r="H9" s="480"/>
      <c r="I9" s="37">
        <f>InputA!$E$33</f>
        <v>0</v>
      </c>
      <c r="J9" s="616">
        <f>InputA!$E$38</f>
        <v>0</v>
      </c>
    </row>
    <row r="10" spans="1:10" ht="15.75" customHeight="1">
      <c r="A10" s="116" t="s">
        <v>1</v>
      </c>
      <c r="B10" s="117" t="s">
        <v>367</v>
      </c>
      <c r="C10" s="117"/>
      <c r="D10" s="37">
        <f>SUM(InputA!$E$11:$E$11)</f>
        <v>0</v>
      </c>
      <c r="E10" s="37">
        <f>SUM(InputA!$E$16:$E$16)</f>
        <v>0</v>
      </c>
      <c r="F10" s="37">
        <f>SUM(InputA!$E$21:$E$21,InputA!$E$25:$E$25)</f>
        <v>0</v>
      </c>
      <c r="G10" s="480">
        <f>SUM(InputA!$E$29:$E$29)</f>
        <v>0</v>
      </c>
      <c r="H10" s="480"/>
      <c r="I10" s="37">
        <f>SUM(InputA!$E$34:$E$34)</f>
        <v>0</v>
      </c>
      <c r="J10" s="625">
        <f>SUM(InputA!$E$39:$E$39)</f>
        <v>0</v>
      </c>
    </row>
    <row r="11" spans="1:10" ht="15.75" customHeight="1">
      <c r="A11" s="116" t="s">
        <v>2</v>
      </c>
      <c r="B11" s="117" t="s">
        <v>368</v>
      </c>
      <c r="C11" s="117"/>
      <c r="D11" s="37">
        <f>D9-D10</f>
        <v>0</v>
      </c>
      <c r="E11" s="37">
        <f>E9-E10</f>
        <v>0</v>
      </c>
      <c r="F11" s="37">
        <f>F9-F10</f>
        <v>0</v>
      </c>
      <c r="G11" s="480">
        <f>G9-G10</f>
        <v>0</v>
      </c>
      <c r="H11" s="480"/>
      <c r="I11" s="37">
        <f>I9-I10</f>
        <v>0</v>
      </c>
      <c r="J11" s="38">
        <f>J9-J10</f>
        <v>0</v>
      </c>
    </row>
    <row r="12" spans="1:10" ht="15.75" customHeight="1">
      <c r="A12" s="116" t="s">
        <v>7</v>
      </c>
      <c r="B12" s="133" t="s">
        <v>369</v>
      </c>
      <c r="C12" s="117"/>
      <c r="D12" s="41">
        <f>InputA!$E$12</f>
        <v>0</v>
      </c>
      <c r="E12" s="41">
        <f>InputA!$E$17</f>
        <v>0</v>
      </c>
      <c r="F12" s="39" t="s">
        <v>0</v>
      </c>
      <c r="G12" s="500">
        <f>InputA!$E$30</f>
        <v>0</v>
      </c>
      <c r="H12" s="500"/>
      <c r="I12" s="37">
        <f>InputA!$E$35</f>
        <v>0</v>
      </c>
      <c r="J12" s="40" t="s">
        <v>0</v>
      </c>
    </row>
    <row r="13" spans="1:10" ht="15.75" customHeight="1">
      <c r="A13" s="116"/>
      <c r="B13" s="117"/>
      <c r="C13" s="117"/>
      <c r="D13" s="37"/>
      <c r="E13" s="37"/>
      <c r="F13" s="37"/>
      <c r="G13" s="480"/>
      <c r="H13" s="480"/>
      <c r="I13" s="37"/>
      <c r="J13" s="173"/>
    </row>
    <row r="14" spans="1:10" ht="15.75" customHeight="1">
      <c r="A14" s="116" t="s">
        <v>3</v>
      </c>
      <c r="B14" s="117" t="s">
        <v>370</v>
      </c>
      <c r="C14" s="117"/>
      <c r="D14" s="39" t="s">
        <v>0</v>
      </c>
      <c r="E14" s="39" t="s">
        <v>0</v>
      </c>
      <c r="F14" s="490" t="s">
        <v>0</v>
      </c>
      <c r="G14" s="479" t="s">
        <v>0</v>
      </c>
      <c r="H14" s="479"/>
      <c r="I14" s="39" t="s">
        <v>0</v>
      </c>
      <c r="J14" s="40" t="s">
        <v>0</v>
      </c>
    </row>
    <row r="15" spans="1:10" ht="15.75" customHeight="1" thickBot="1">
      <c r="A15" s="128" t="s">
        <v>4</v>
      </c>
      <c r="B15" s="129" t="s">
        <v>371</v>
      </c>
      <c r="C15" s="129"/>
      <c r="D15" s="276" t="s">
        <v>0</v>
      </c>
      <c r="E15" s="276" t="s">
        <v>0</v>
      </c>
      <c r="F15" s="542" t="s">
        <v>0</v>
      </c>
      <c r="G15" s="572" t="s">
        <v>0</v>
      </c>
      <c r="H15" s="572"/>
      <c r="I15" s="276" t="s">
        <v>0</v>
      </c>
      <c r="J15" s="277" t="s">
        <v>0</v>
      </c>
    </row>
    <row r="16" ht="15.75" customHeight="1" thickBot="1">
      <c r="G16" s="504"/>
    </row>
    <row r="17" spans="1:10" ht="15.75" customHeight="1">
      <c r="A17" s="112" t="str">
        <f>"Calendar Year "&amp;FIXED(ReportYear-2,0,TRUE)</f>
        <v>Calendar Year 2022</v>
      </c>
      <c r="B17" s="113"/>
      <c r="C17" s="113"/>
      <c r="D17" s="611" t="str">
        <f>D5</f>
        <v>Col (1)</v>
      </c>
      <c r="E17" s="611" t="str">
        <f aca="true" t="shared" si="0" ref="E17:J17">E5</f>
        <v>Col (2)</v>
      </c>
      <c r="F17" s="611" t="str">
        <f t="shared" si="0"/>
        <v>Col (3)</v>
      </c>
      <c r="G17" s="612" t="str">
        <f t="shared" si="0"/>
        <v>Col (4)</v>
      </c>
      <c r="H17" s="612"/>
      <c r="I17" s="611" t="str">
        <f t="shared" si="0"/>
        <v>Col (5)</v>
      </c>
      <c r="J17" s="613" t="str">
        <f t="shared" si="0"/>
        <v>Col (6)</v>
      </c>
    </row>
    <row r="18" spans="1:10" ht="15.75" customHeight="1">
      <c r="A18" s="131"/>
      <c r="B18" s="117"/>
      <c r="C18" s="117"/>
      <c r="D18" s="111" t="str">
        <f>D6</f>
        <v>Direct</v>
      </c>
      <c r="E18" s="111" t="str">
        <f aca="true" t="shared" si="1" ref="E18:G19">E6</f>
        <v>Direct</v>
      </c>
      <c r="F18" s="111" t="str">
        <f t="shared" si="1"/>
        <v>Dividends</v>
      </c>
      <c r="G18" s="111" t="str">
        <f t="shared" si="1"/>
        <v>Direct</v>
      </c>
      <c r="H18" s="111"/>
      <c r="I18" s="111" t="str">
        <f>I6</f>
        <v>Direct</v>
      </c>
      <c r="J18" s="614" t="str">
        <f>J6</f>
        <v>Direct</v>
      </c>
    </row>
    <row r="19" spans="1:10" ht="15.75" customHeight="1">
      <c r="A19" s="131"/>
      <c r="B19" s="117"/>
      <c r="C19" s="117"/>
      <c r="D19" s="111" t="str">
        <f>D7</f>
        <v>Written</v>
      </c>
      <c r="E19" s="111" t="str">
        <f t="shared" si="1"/>
        <v>Earned</v>
      </c>
      <c r="F19" s="111" t="str">
        <f t="shared" si="1"/>
        <v>on Direct</v>
      </c>
      <c r="G19" s="111" t="str">
        <f t="shared" si="1"/>
        <v>Unearned</v>
      </c>
      <c r="H19" s="111"/>
      <c r="I19" s="111" t="str">
        <f>I7</f>
        <v>Unpaid</v>
      </c>
      <c r="J19" s="614" t="str">
        <f>J7</f>
        <v>Unpaid</v>
      </c>
    </row>
    <row r="20" spans="1:10" ht="15.75" customHeight="1">
      <c r="A20" s="131"/>
      <c r="B20" s="117"/>
      <c r="C20" s="117"/>
      <c r="D20" s="123" t="str">
        <f aca="true" t="shared" si="2" ref="D20:J20">D8</f>
        <v>Premium</v>
      </c>
      <c r="E20" s="123" t="str">
        <f t="shared" si="2"/>
        <v>Premium</v>
      </c>
      <c r="F20" s="123" t="str">
        <f t="shared" si="2"/>
        <v>Business</v>
      </c>
      <c r="G20" s="123" t="str">
        <f t="shared" si="2"/>
        <v>Premium</v>
      </c>
      <c r="H20" s="123"/>
      <c r="I20" s="123" t="str">
        <f t="shared" si="2"/>
        <v>Losses</v>
      </c>
      <c r="J20" s="615" t="str">
        <f t="shared" si="2"/>
        <v>D&amp;CCE</v>
      </c>
    </row>
    <row r="21" spans="1:10" ht="15.75" customHeight="1">
      <c r="A21" s="132" t="str">
        <f>Exh1B!$A$9</f>
        <v>Item 1</v>
      </c>
      <c r="B21" s="117" t="str">
        <f>Exh1B!$B$9</f>
        <v>Total as Reported on State Page Exhibit</v>
      </c>
      <c r="C21" s="117"/>
      <c r="D21" s="37">
        <f>InputA!$F$10</f>
        <v>0</v>
      </c>
      <c r="E21" s="37">
        <f>InputA!$F$15</f>
        <v>0</v>
      </c>
      <c r="F21" s="37">
        <f>InputA!$F$20+InputA!$F$24</f>
        <v>0</v>
      </c>
      <c r="G21" s="480">
        <f>InputA!$F$28</f>
        <v>0</v>
      </c>
      <c r="H21" s="480"/>
      <c r="I21" s="37">
        <f>InputA!$F$33</f>
        <v>0</v>
      </c>
      <c r="J21" s="616">
        <f>InputA!$F$38</f>
        <v>0</v>
      </c>
    </row>
    <row r="22" spans="1:10" ht="15.75" customHeight="1">
      <c r="A22" s="132" t="str">
        <f>Exh1B!$A$10</f>
        <v>Item 2</v>
      </c>
      <c r="B22" s="117" t="str">
        <f>Exh1B!$B$10</f>
        <v>Exclusions Reported on State Page Exhibit</v>
      </c>
      <c r="C22" s="117"/>
      <c r="D22" s="37">
        <f>SUM(InputA!$F$11:$F$11)</f>
        <v>0</v>
      </c>
      <c r="E22" s="37">
        <f>SUM(InputA!$F$16:$F$16)</f>
        <v>0</v>
      </c>
      <c r="F22" s="37">
        <f>SUM(InputA!$F$21:$F$21,InputA!$F$25:$F$25)</f>
        <v>0</v>
      </c>
      <c r="G22" s="480">
        <f>SUM(InputA!$F$29:$F$29)</f>
        <v>0</v>
      </c>
      <c r="H22" s="480"/>
      <c r="I22" s="37">
        <f>SUM(InputA!$F$34:$F$34)</f>
        <v>0</v>
      </c>
      <c r="J22" s="625">
        <f>SUM(InputA!$F$39:$F$39)</f>
        <v>0</v>
      </c>
    </row>
    <row r="23" spans="1:10" ht="15.75" customHeight="1">
      <c r="A23" s="132" t="str">
        <f>Exh1B!$A$11</f>
        <v>Item 3</v>
      </c>
      <c r="B23" s="117" t="str">
        <f>Exh1B!$B23</f>
        <v>Excess Profit Data [Item 1 -  Item 2]</v>
      </c>
      <c r="C23" s="117"/>
      <c r="D23" s="37">
        <f>D21-D22</f>
        <v>0</v>
      </c>
      <c r="E23" s="37">
        <f>E21-E22</f>
        <v>0</v>
      </c>
      <c r="F23" s="37">
        <f>F21-F22</f>
        <v>0</v>
      </c>
      <c r="G23" s="480">
        <f>G21-G22</f>
        <v>0</v>
      </c>
      <c r="H23" s="480"/>
      <c r="I23" s="37">
        <f>I21-I22</f>
        <v>0</v>
      </c>
      <c r="J23" s="618">
        <f>J21-J22</f>
        <v>0</v>
      </c>
    </row>
    <row r="24" spans="1:10" ht="15.75" customHeight="1">
      <c r="A24" s="132" t="str">
        <f>Exh1B!$A$12</f>
        <v>Item 4</v>
      </c>
      <c r="B24" s="133" t="str">
        <f>Exh1B!$B$12</f>
        <v>UCJF Assessments &amp; Excess Medical Benefits</v>
      </c>
      <c r="C24" s="117"/>
      <c r="D24" s="41">
        <f>InputA!$F$12</f>
        <v>0</v>
      </c>
      <c r="E24" s="41">
        <f>InputA!$F$17</f>
        <v>0</v>
      </c>
      <c r="F24" s="39" t="s">
        <v>0</v>
      </c>
      <c r="G24" s="480">
        <f>InputA!$F$30</f>
        <v>0</v>
      </c>
      <c r="H24" s="480"/>
      <c r="I24" s="37">
        <f>InputA!$F$35</f>
        <v>0</v>
      </c>
      <c r="J24" s="40" t="s">
        <v>0</v>
      </c>
    </row>
    <row r="25" spans="1:10" ht="15.75" customHeight="1">
      <c r="A25" s="132"/>
      <c r="B25" s="117"/>
      <c r="C25" s="117"/>
      <c r="D25" s="37"/>
      <c r="E25" s="37"/>
      <c r="F25" s="37"/>
      <c r="G25" s="480"/>
      <c r="H25" s="480"/>
      <c r="I25" s="37"/>
      <c r="J25" s="173"/>
    </row>
    <row r="26" spans="1:10" ht="15.75" customHeight="1">
      <c r="A26" s="132" t="str">
        <f>Exh1B!$A$14</f>
        <v>Item 5</v>
      </c>
      <c r="B26" s="117" t="str">
        <f>Exh1B!$B$14</f>
        <v>Refund of Excess Profit, included in Col (3)</v>
      </c>
      <c r="C26" s="117"/>
      <c r="D26" s="39" t="s">
        <v>0</v>
      </c>
      <c r="E26" s="39" t="s">
        <v>0</v>
      </c>
      <c r="F26" s="490" t="s">
        <v>0</v>
      </c>
      <c r="G26" s="479" t="s">
        <v>0</v>
      </c>
      <c r="H26" s="479"/>
      <c r="I26" s="39" t="s">
        <v>0</v>
      </c>
      <c r="J26" s="40" t="s">
        <v>0</v>
      </c>
    </row>
    <row r="27" spans="1:10" ht="15.75" customHeight="1" thickBot="1">
      <c r="A27" s="134" t="str">
        <f>Exh1B!$A$15</f>
        <v>Item 6</v>
      </c>
      <c r="B27" s="129" t="str">
        <f>Exh1B!$B$15</f>
        <v>All Other Dividends, included in Col (3)</v>
      </c>
      <c r="C27" s="129"/>
      <c r="D27" s="276" t="s">
        <v>0</v>
      </c>
      <c r="E27" s="276" t="s">
        <v>0</v>
      </c>
      <c r="F27" s="542" t="s">
        <v>0</v>
      </c>
      <c r="G27" s="572" t="s">
        <v>0</v>
      </c>
      <c r="H27" s="572"/>
      <c r="I27" s="276" t="s">
        <v>0</v>
      </c>
      <c r="J27" s="277" t="s">
        <v>0</v>
      </c>
    </row>
    <row r="28" ht="15.75" customHeight="1" thickBot="1">
      <c r="G28" s="504"/>
    </row>
    <row r="29" spans="1:10" ht="15.75" customHeight="1">
      <c r="A29" s="112" t="str">
        <f>"Calendar Year "&amp;FIXED(ReportYear-3,0,TRUE)</f>
        <v>Calendar Year 2021</v>
      </c>
      <c r="B29" s="113"/>
      <c r="C29" s="113"/>
      <c r="D29" s="611" t="str">
        <f>D17</f>
        <v>Col (1)</v>
      </c>
      <c r="E29" s="611" t="str">
        <f aca="true" t="shared" si="3" ref="E29:J29">E17</f>
        <v>Col (2)</v>
      </c>
      <c r="F29" s="611" t="str">
        <f t="shared" si="3"/>
        <v>Col (3)</v>
      </c>
      <c r="G29" s="612" t="str">
        <f t="shared" si="3"/>
        <v>Col (4)</v>
      </c>
      <c r="H29" s="612"/>
      <c r="I29" s="611" t="str">
        <f t="shared" si="3"/>
        <v>Col (5)</v>
      </c>
      <c r="J29" s="613" t="str">
        <f t="shared" si="3"/>
        <v>Col (6)</v>
      </c>
    </row>
    <row r="30" spans="1:10" ht="15.75" customHeight="1">
      <c r="A30" s="131"/>
      <c r="B30" s="117"/>
      <c r="C30" s="117"/>
      <c r="D30" s="111" t="str">
        <f aca="true" t="shared" si="4" ref="D30:J30">D18</f>
        <v>Direct</v>
      </c>
      <c r="E30" s="111" t="str">
        <f t="shared" si="4"/>
        <v>Direct</v>
      </c>
      <c r="F30" s="111" t="str">
        <f t="shared" si="4"/>
        <v>Dividends</v>
      </c>
      <c r="G30" s="111" t="str">
        <f t="shared" si="4"/>
        <v>Direct</v>
      </c>
      <c r="H30" s="111"/>
      <c r="I30" s="111" t="str">
        <f t="shared" si="4"/>
        <v>Direct</v>
      </c>
      <c r="J30" s="614" t="str">
        <f t="shared" si="4"/>
        <v>Direct</v>
      </c>
    </row>
    <row r="31" spans="1:10" ht="15.75" customHeight="1">
      <c r="A31" s="131"/>
      <c r="B31" s="117"/>
      <c r="C31" s="117"/>
      <c r="D31" s="111" t="str">
        <f aca="true" t="shared" si="5" ref="D31:J31">D19</f>
        <v>Written</v>
      </c>
      <c r="E31" s="111" t="str">
        <f t="shared" si="5"/>
        <v>Earned</v>
      </c>
      <c r="F31" s="111" t="str">
        <f t="shared" si="5"/>
        <v>on Direct</v>
      </c>
      <c r="G31" s="111" t="str">
        <f t="shared" si="5"/>
        <v>Unearned</v>
      </c>
      <c r="H31" s="111"/>
      <c r="I31" s="111" t="str">
        <f t="shared" si="5"/>
        <v>Unpaid</v>
      </c>
      <c r="J31" s="614" t="str">
        <f t="shared" si="5"/>
        <v>Unpaid</v>
      </c>
    </row>
    <row r="32" spans="1:10" ht="15.75" customHeight="1">
      <c r="A32" s="131"/>
      <c r="B32" s="117"/>
      <c r="C32" s="117"/>
      <c r="D32" s="123" t="str">
        <f aca="true" t="shared" si="6" ref="D32:J32">D20</f>
        <v>Premium</v>
      </c>
      <c r="E32" s="123" t="str">
        <f t="shared" si="6"/>
        <v>Premium</v>
      </c>
      <c r="F32" s="123" t="str">
        <f t="shared" si="6"/>
        <v>Business</v>
      </c>
      <c r="G32" s="123" t="str">
        <f t="shared" si="6"/>
        <v>Premium</v>
      </c>
      <c r="H32" s="123"/>
      <c r="I32" s="123" t="str">
        <f t="shared" si="6"/>
        <v>Losses</v>
      </c>
      <c r="J32" s="615" t="str">
        <f t="shared" si="6"/>
        <v>D&amp;CCE</v>
      </c>
    </row>
    <row r="33" spans="1:10" ht="15.75" customHeight="1">
      <c r="A33" s="132" t="str">
        <f>Exh1B!$A$9</f>
        <v>Item 1</v>
      </c>
      <c r="B33" s="117" t="str">
        <f>Exh1B!$B$9</f>
        <v>Total as Reported on State Page Exhibit</v>
      </c>
      <c r="C33" s="117"/>
      <c r="D33" s="37">
        <f>InputA!$G$10</f>
        <v>0</v>
      </c>
      <c r="E33" s="37">
        <f>InputA!$G$15</f>
        <v>0</v>
      </c>
      <c r="F33" s="37">
        <f>InputA!$G$20+InputA!$G$24</f>
        <v>0</v>
      </c>
      <c r="G33" s="480">
        <f>InputA!$G$28</f>
        <v>0</v>
      </c>
      <c r="H33" s="480"/>
      <c r="I33" s="37">
        <f>InputA!$G$33</f>
        <v>0</v>
      </c>
      <c r="J33" s="616">
        <f>InputA!$G$38</f>
        <v>0</v>
      </c>
    </row>
    <row r="34" spans="1:10" ht="15.75" customHeight="1">
      <c r="A34" s="132" t="str">
        <f>Exh1B!$A$10</f>
        <v>Item 2</v>
      </c>
      <c r="B34" s="117" t="str">
        <f>Exh1B!$B$10</f>
        <v>Exclusions Reported on State Page Exhibit</v>
      </c>
      <c r="C34" s="117"/>
      <c r="D34" s="37">
        <f>SUM(InputA!$G$11:$G$11)</f>
        <v>0</v>
      </c>
      <c r="E34" s="37">
        <f>SUM(InputA!$G$16:$G$16)</f>
        <v>0</v>
      </c>
      <c r="F34" s="37">
        <f>SUM(InputA!$G$21:$G$21,InputA!$G$25:$G$25)</f>
        <v>0</v>
      </c>
      <c r="G34" s="480">
        <f>SUM(InputA!$G$29:$G$29)</f>
        <v>0</v>
      </c>
      <c r="H34" s="480"/>
      <c r="I34" s="37">
        <f>SUM(InputA!$G$34:$G$34)</f>
        <v>0</v>
      </c>
      <c r="J34" s="625">
        <f>SUM(InputA!$G$39:$G$39)</f>
        <v>0</v>
      </c>
    </row>
    <row r="35" spans="1:10" ht="15.75" customHeight="1">
      <c r="A35" s="132" t="str">
        <f>Exh1B!$A$11</f>
        <v>Item 3</v>
      </c>
      <c r="B35" s="117" t="str">
        <f>Exh1B!$B35</f>
        <v>Excess Profit Data [Item 1 -  Item 2]</v>
      </c>
      <c r="C35" s="117"/>
      <c r="D35" s="37">
        <f>D33-D34</f>
        <v>0</v>
      </c>
      <c r="E35" s="37">
        <f>E33-E34</f>
        <v>0</v>
      </c>
      <c r="F35" s="37">
        <f>F33-F34</f>
        <v>0</v>
      </c>
      <c r="G35" s="480">
        <f>G33-G34</f>
        <v>0</v>
      </c>
      <c r="H35" s="480"/>
      <c r="I35" s="37">
        <f>I33-I34</f>
        <v>0</v>
      </c>
      <c r="J35" s="37">
        <f>J33-J34</f>
        <v>0</v>
      </c>
    </row>
    <row r="36" spans="1:10" ht="15.75" customHeight="1">
      <c r="A36" s="132" t="str">
        <f>Exh1B!$A$12</f>
        <v>Item 4</v>
      </c>
      <c r="B36" s="133" t="str">
        <f>Exh1B!$B$12</f>
        <v>UCJF Assessments &amp; Excess Medical Benefits</v>
      </c>
      <c r="C36" s="117"/>
      <c r="D36" s="41">
        <f>InputA!$G$12</f>
        <v>0</v>
      </c>
      <c r="E36" s="41">
        <f>InputA!$G$17</f>
        <v>0</v>
      </c>
      <c r="F36" s="39" t="s">
        <v>0</v>
      </c>
      <c r="G36" s="500">
        <f>InputA!$G$30</f>
        <v>0</v>
      </c>
      <c r="H36" s="500"/>
      <c r="I36" s="37">
        <f>InputA!$G$35</f>
        <v>0</v>
      </c>
      <c r="J36" s="40" t="s">
        <v>0</v>
      </c>
    </row>
    <row r="37" spans="1:10" ht="15.75" customHeight="1">
      <c r="A37" s="132"/>
      <c r="B37" s="117"/>
      <c r="C37" s="117"/>
      <c r="D37" s="37"/>
      <c r="E37" s="37"/>
      <c r="F37" s="37"/>
      <c r="G37" s="480"/>
      <c r="H37" s="480"/>
      <c r="I37" s="37"/>
      <c r="J37" s="173"/>
    </row>
    <row r="38" spans="1:10" ht="15.75" customHeight="1">
      <c r="A38" s="132" t="str">
        <f>Exh1B!$A$14</f>
        <v>Item 5</v>
      </c>
      <c r="B38" s="117" t="str">
        <f>Exh1B!$B$14</f>
        <v>Refund of Excess Profit, included in Col (3)</v>
      </c>
      <c r="C38" s="117"/>
      <c r="D38" s="39" t="s">
        <v>0</v>
      </c>
      <c r="E38" s="39" t="s">
        <v>0</v>
      </c>
      <c r="F38" s="490" t="s">
        <v>0</v>
      </c>
      <c r="G38" s="479" t="s">
        <v>0</v>
      </c>
      <c r="H38" s="479"/>
      <c r="I38" s="39" t="s">
        <v>0</v>
      </c>
      <c r="J38" s="40" t="s">
        <v>0</v>
      </c>
    </row>
    <row r="39" spans="1:10" ht="15.75" customHeight="1" thickBot="1">
      <c r="A39" s="134" t="str">
        <f>Exh1B!$A$15</f>
        <v>Item 6</v>
      </c>
      <c r="B39" s="129" t="str">
        <f>Exh1B!$B$15</f>
        <v>All Other Dividends, included in Col (3)</v>
      </c>
      <c r="C39" s="129"/>
      <c r="D39" s="276" t="s">
        <v>0</v>
      </c>
      <c r="E39" s="276" t="s">
        <v>0</v>
      </c>
      <c r="F39" s="542" t="s">
        <v>0</v>
      </c>
      <c r="G39" s="572" t="s">
        <v>0</v>
      </c>
      <c r="H39" s="572"/>
      <c r="I39" s="276" t="s">
        <v>0</v>
      </c>
      <c r="J39" s="277" t="s">
        <v>0</v>
      </c>
    </row>
    <row r="40" ht="15.75" customHeight="1">
      <c r="G40" s="504"/>
    </row>
    <row r="41" ht="15.75" customHeight="1">
      <c r="G41" s="504"/>
    </row>
    <row r="42" spans="1:10" ht="15.75" customHeight="1">
      <c r="A42" s="103" t="str">
        <f>InputB!$A$1</f>
        <v>Group Name:</v>
      </c>
      <c r="C42" s="105" t="str">
        <f>InputB!$C$1</f>
        <v>enter group name here</v>
      </c>
      <c r="D42"/>
      <c r="E42"/>
      <c r="F42"/>
      <c r="G42" s="505"/>
      <c r="H42"/>
      <c r="I42"/>
      <c r="J42" s="107" t="s">
        <v>150</v>
      </c>
    </row>
    <row r="43" spans="1:10" ht="15.75" customHeight="1">
      <c r="A43" s="108" t="str">
        <f>InputB!$A$2</f>
        <v>Group NAIC #:</v>
      </c>
      <c r="C43" s="105" t="str">
        <f>InputB!$C$2</f>
        <v>enter group # here</v>
      </c>
      <c r="D43"/>
      <c r="E43"/>
      <c r="F43"/>
      <c r="G43" s="505"/>
      <c r="H43"/>
      <c r="I43"/>
      <c r="J43" s="107" t="s">
        <v>363</v>
      </c>
    </row>
    <row r="44" spans="1:10" ht="15.75" customHeight="1">
      <c r="A44" s="103" t="str">
        <f>InputB!$A$3</f>
        <v>Year Filed:</v>
      </c>
      <c r="C44" s="110">
        <f>InputB!$C$3</f>
        <v>2024</v>
      </c>
      <c r="D44"/>
      <c r="E44"/>
      <c r="F44"/>
      <c r="G44" s="505"/>
      <c r="H44"/>
      <c r="I44"/>
      <c r="J44" s="107" t="s">
        <v>116</v>
      </c>
    </row>
    <row r="45" ht="15.75" customHeight="1" thickBot="1">
      <c r="G45" s="504"/>
    </row>
    <row r="46" spans="1:10" ht="15.75" customHeight="1">
      <c r="A46" s="112" t="str">
        <f>"Calendar Year "&amp;FIXED(ReportYear-4,0,TRUE)</f>
        <v>Calendar Year 2020</v>
      </c>
      <c r="B46" s="113"/>
      <c r="C46" s="113"/>
      <c r="D46" s="611" t="str">
        <f aca="true" t="shared" si="7" ref="D46:G49">D29</f>
        <v>Col (1)</v>
      </c>
      <c r="E46" s="611" t="str">
        <f t="shared" si="7"/>
        <v>Col (2)</v>
      </c>
      <c r="F46" s="611" t="str">
        <f t="shared" si="7"/>
        <v>Col (3)</v>
      </c>
      <c r="G46" s="612" t="str">
        <f t="shared" si="7"/>
        <v>Col (4)</v>
      </c>
      <c r="H46" s="612"/>
      <c r="I46" s="611" t="str">
        <f aca="true" t="shared" si="8" ref="I46:J49">I29</f>
        <v>Col (5)</v>
      </c>
      <c r="J46" s="613" t="str">
        <f t="shared" si="8"/>
        <v>Col (6)</v>
      </c>
    </row>
    <row r="47" spans="1:10" ht="15.75" customHeight="1">
      <c r="A47" s="131"/>
      <c r="B47" s="117"/>
      <c r="C47" s="117"/>
      <c r="D47" s="111" t="str">
        <f t="shared" si="7"/>
        <v>Direct</v>
      </c>
      <c r="E47" s="111" t="str">
        <f t="shared" si="7"/>
        <v>Direct</v>
      </c>
      <c r="F47" s="111" t="str">
        <f t="shared" si="7"/>
        <v>Dividends</v>
      </c>
      <c r="G47" s="111" t="str">
        <f t="shared" si="7"/>
        <v>Direct</v>
      </c>
      <c r="H47" s="501"/>
      <c r="I47" s="111" t="str">
        <f t="shared" si="8"/>
        <v>Direct</v>
      </c>
      <c r="J47" s="614" t="str">
        <f t="shared" si="8"/>
        <v>Direct</v>
      </c>
    </row>
    <row r="48" spans="1:10" ht="15.75" customHeight="1">
      <c r="A48" s="131"/>
      <c r="B48" s="117"/>
      <c r="C48" s="117"/>
      <c r="D48" s="111" t="str">
        <f t="shared" si="7"/>
        <v>Written</v>
      </c>
      <c r="E48" s="111" t="str">
        <f t="shared" si="7"/>
        <v>Earned</v>
      </c>
      <c r="F48" s="111" t="str">
        <f t="shared" si="7"/>
        <v>on Direct</v>
      </c>
      <c r="G48" s="111" t="str">
        <f t="shared" si="7"/>
        <v>Unearned</v>
      </c>
      <c r="H48" s="501"/>
      <c r="I48" s="111" t="str">
        <f t="shared" si="8"/>
        <v>Unpaid</v>
      </c>
      <c r="J48" s="614" t="str">
        <f t="shared" si="8"/>
        <v>Unpaid</v>
      </c>
    </row>
    <row r="49" spans="1:10" ht="15.75" customHeight="1">
      <c r="A49" s="131"/>
      <c r="B49" s="117"/>
      <c r="C49" s="117"/>
      <c r="D49" s="123" t="str">
        <f t="shared" si="7"/>
        <v>Premium</v>
      </c>
      <c r="E49" s="123" t="str">
        <f t="shared" si="7"/>
        <v>Premium</v>
      </c>
      <c r="F49" s="123" t="str">
        <f t="shared" si="7"/>
        <v>Business</v>
      </c>
      <c r="G49" s="123" t="str">
        <f t="shared" si="7"/>
        <v>Premium</v>
      </c>
      <c r="H49" s="499"/>
      <c r="I49" s="123" t="str">
        <f t="shared" si="8"/>
        <v>Losses</v>
      </c>
      <c r="J49" s="615" t="str">
        <f t="shared" si="8"/>
        <v>D&amp;CCE</v>
      </c>
    </row>
    <row r="50" spans="1:10" ht="15.75" customHeight="1">
      <c r="A50" s="132" t="str">
        <f>Exh1B!$A$9</f>
        <v>Item 1</v>
      </c>
      <c r="B50" s="117" t="str">
        <f>Exh1B!$B$9</f>
        <v>Total as Reported on State Page Exhibit</v>
      </c>
      <c r="C50" s="117"/>
      <c r="D50" s="37">
        <f>InputA!$H$10</f>
        <v>0</v>
      </c>
      <c r="E50" s="37">
        <f>InputA!$H$15</f>
        <v>0</v>
      </c>
      <c r="F50" s="37">
        <f>InputA!$H$20+InputA!$H$24</f>
        <v>0</v>
      </c>
      <c r="G50" s="480">
        <f>InputA!$H$28</f>
        <v>0</v>
      </c>
      <c r="H50" s="480"/>
      <c r="I50" s="37">
        <f>InputA!$H$33</f>
        <v>0</v>
      </c>
      <c r="J50" s="616">
        <f>InputA!$H$38</f>
        <v>0</v>
      </c>
    </row>
    <row r="51" spans="1:10" ht="15.75" customHeight="1">
      <c r="A51" s="132" t="str">
        <f>Exh1B!$A$10</f>
        <v>Item 2</v>
      </c>
      <c r="B51" s="117" t="str">
        <f>Exh1B!$B$10</f>
        <v>Exclusions Reported on State Page Exhibit</v>
      </c>
      <c r="C51" s="117"/>
      <c r="D51" s="37">
        <f>SUM(InputA!$H$11:$H$11)</f>
        <v>0</v>
      </c>
      <c r="E51" s="37">
        <f>SUM(InputA!$H$16:$H$16)</f>
        <v>0</v>
      </c>
      <c r="F51" s="37">
        <f>SUM(InputA!$H$21:$H$21,InputA!$H$25:$H$25)</f>
        <v>0</v>
      </c>
      <c r="G51" s="480">
        <f>SUM(InputA!$H$29:$H$29)</f>
        <v>0</v>
      </c>
      <c r="H51" s="480"/>
      <c r="I51" s="37">
        <f>SUM(InputA!$H$34:$H$34)</f>
        <v>0</v>
      </c>
      <c r="J51" s="625">
        <f>SUM(InputA!$H$39:$H$39)</f>
        <v>0</v>
      </c>
    </row>
    <row r="52" spans="1:10" ht="15.75" customHeight="1">
      <c r="A52" s="132" t="str">
        <f>Exh1B!$A$11</f>
        <v>Item 3</v>
      </c>
      <c r="B52" s="117" t="str">
        <f>Exh1B!$B52</f>
        <v>Excess Profit Data [Item 1 -  Item 2]</v>
      </c>
      <c r="C52" s="117"/>
      <c r="D52" s="37">
        <f>D50-D51</f>
        <v>0</v>
      </c>
      <c r="E52" s="37">
        <f>E50-E51</f>
        <v>0</v>
      </c>
      <c r="F52" s="37">
        <f>F50-F51</f>
        <v>0</v>
      </c>
      <c r="G52" s="480">
        <f>G50-G51</f>
        <v>0</v>
      </c>
      <c r="H52" s="480"/>
      <c r="I52" s="37">
        <f>I50-I51</f>
        <v>0</v>
      </c>
      <c r="J52" s="618">
        <f>J50-J51</f>
        <v>0</v>
      </c>
    </row>
    <row r="53" spans="1:10" ht="15.75" customHeight="1">
      <c r="A53" s="132" t="str">
        <f>Exh1B!$A$12</f>
        <v>Item 4</v>
      </c>
      <c r="B53" s="133" t="str">
        <f>Exh1B!$B$12</f>
        <v>UCJF Assessments &amp; Excess Medical Benefits</v>
      </c>
      <c r="C53" s="117"/>
      <c r="D53" s="41">
        <f>InputA!$H$12</f>
        <v>0</v>
      </c>
      <c r="E53" s="41">
        <f>InputA!$H$17</f>
        <v>0</v>
      </c>
      <c r="F53" s="39" t="s">
        <v>0</v>
      </c>
      <c r="G53" s="500">
        <f>InputA!$H$30</f>
        <v>0</v>
      </c>
      <c r="H53" s="500"/>
      <c r="I53" s="37">
        <f>InputA!$H$35</f>
        <v>0</v>
      </c>
      <c r="J53" s="40" t="s">
        <v>0</v>
      </c>
    </row>
    <row r="54" spans="1:10" ht="15.75" customHeight="1">
      <c r="A54" s="132"/>
      <c r="B54" s="117"/>
      <c r="C54" s="117"/>
      <c r="D54" s="37"/>
      <c r="E54" s="37"/>
      <c r="F54" s="37"/>
      <c r="G54" s="480"/>
      <c r="H54" s="480"/>
      <c r="I54" s="37"/>
      <c r="J54" s="173"/>
    </row>
    <row r="55" spans="1:10" ht="15.75" customHeight="1">
      <c r="A55" s="132" t="str">
        <f>Exh1B!$A$14</f>
        <v>Item 5</v>
      </c>
      <c r="B55" s="117" t="str">
        <f>Exh1B!$B$14</f>
        <v>Refund of Excess Profit, included in Col (3)</v>
      </c>
      <c r="C55" s="117"/>
      <c r="D55" s="39" t="s">
        <v>0</v>
      </c>
      <c r="E55" s="39" t="s">
        <v>0</v>
      </c>
      <c r="F55" s="490" t="s">
        <v>0</v>
      </c>
      <c r="G55" s="479" t="s">
        <v>0</v>
      </c>
      <c r="H55" s="479"/>
      <c r="I55" s="39" t="s">
        <v>0</v>
      </c>
      <c r="J55" s="40" t="s">
        <v>0</v>
      </c>
    </row>
    <row r="56" spans="1:10" ht="15.75" customHeight="1" thickBot="1">
      <c r="A56" s="134" t="str">
        <f>Exh1B!$A$15</f>
        <v>Item 6</v>
      </c>
      <c r="B56" s="129" t="str">
        <f>Exh1B!$B$15</f>
        <v>All Other Dividends, included in Col (3)</v>
      </c>
      <c r="C56" s="129"/>
      <c r="D56" s="276" t="s">
        <v>0</v>
      </c>
      <c r="E56" s="276" t="s">
        <v>0</v>
      </c>
      <c r="F56" s="542" t="s">
        <v>0</v>
      </c>
      <c r="G56" s="572" t="s">
        <v>0</v>
      </c>
      <c r="H56" s="572"/>
      <c r="I56" s="276" t="s">
        <v>0</v>
      </c>
      <c r="J56" s="277" t="s">
        <v>0</v>
      </c>
    </row>
    <row r="57" ht="15.75" customHeight="1" thickBot="1">
      <c r="G57" s="504"/>
    </row>
    <row r="58" spans="1:10" ht="15.75" customHeight="1">
      <c r="A58" s="112" t="str">
        <f>"Calendar Year "&amp;FIXED(ReportYear-5,0,TRUE)</f>
        <v>Calendar Year 2019</v>
      </c>
      <c r="B58" s="113"/>
      <c r="C58" s="113"/>
      <c r="D58" s="611" t="str">
        <f aca="true" t="shared" si="9" ref="D58:G61">D46</f>
        <v>Col (1)</v>
      </c>
      <c r="E58" s="611" t="str">
        <f t="shared" si="9"/>
        <v>Col (2)</v>
      </c>
      <c r="F58" s="611" t="str">
        <f t="shared" si="9"/>
        <v>Col (3)</v>
      </c>
      <c r="G58" s="612" t="str">
        <f t="shared" si="9"/>
        <v>Col (4)</v>
      </c>
      <c r="H58" s="612"/>
      <c r="I58" s="611" t="str">
        <f aca="true" t="shared" si="10" ref="I58:J61">I46</f>
        <v>Col (5)</v>
      </c>
      <c r="J58" s="613" t="str">
        <f t="shared" si="10"/>
        <v>Col (6)</v>
      </c>
    </row>
    <row r="59" spans="1:10" ht="15.75" customHeight="1">
      <c r="A59" s="131"/>
      <c r="B59" s="117"/>
      <c r="C59" s="117"/>
      <c r="D59" s="111" t="str">
        <f t="shared" si="9"/>
        <v>Direct</v>
      </c>
      <c r="E59" s="111" t="str">
        <f t="shared" si="9"/>
        <v>Direct</v>
      </c>
      <c r="F59" s="111" t="str">
        <f t="shared" si="9"/>
        <v>Dividends</v>
      </c>
      <c r="G59" s="111" t="str">
        <f t="shared" si="9"/>
        <v>Direct</v>
      </c>
      <c r="H59" s="501"/>
      <c r="I59" s="111" t="str">
        <f t="shared" si="10"/>
        <v>Direct</v>
      </c>
      <c r="J59" s="614" t="str">
        <f t="shared" si="10"/>
        <v>Direct</v>
      </c>
    </row>
    <row r="60" spans="1:10" ht="15.75" customHeight="1">
      <c r="A60" s="131"/>
      <c r="B60" s="117"/>
      <c r="C60" s="117"/>
      <c r="D60" s="111" t="str">
        <f t="shared" si="9"/>
        <v>Written</v>
      </c>
      <c r="E60" s="111" t="str">
        <f t="shared" si="9"/>
        <v>Earned</v>
      </c>
      <c r="F60" s="111" t="str">
        <f t="shared" si="9"/>
        <v>on Direct</v>
      </c>
      <c r="G60" s="111" t="str">
        <f t="shared" si="9"/>
        <v>Unearned</v>
      </c>
      <c r="H60" s="501"/>
      <c r="I60" s="111" t="str">
        <f t="shared" si="10"/>
        <v>Unpaid</v>
      </c>
      <c r="J60" s="614" t="str">
        <f t="shared" si="10"/>
        <v>Unpaid</v>
      </c>
    </row>
    <row r="61" spans="1:10" ht="15.75" customHeight="1">
      <c r="A61" s="131"/>
      <c r="B61" s="117"/>
      <c r="C61" s="117"/>
      <c r="D61" s="123" t="str">
        <f t="shared" si="9"/>
        <v>Premium</v>
      </c>
      <c r="E61" s="123" t="str">
        <f t="shared" si="9"/>
        <v>Premium</v>
      </c>
      <c r="F61" s="123" t="str">
        <f t="shared" si="9"/>
        <v>Business</v>
      </c>
      <c r="G61" s="123" t="str">
        <f t="shared" si="9"/>
        <v>Premium</v>
      </c>
      <c r="H61" s="499"/>
      <c r="I61" s="123" t="str">
        <f t="shared" si="10"/>
        <v>Losses</v>
      </c>
      <c r="J61" s="615" t="str">
        <f t="shared" si="10"/>
        <v>D&amp;CCE</v>
      </c>
    </row>
    <row r="62" spans="1:10" ht="15.75" customHeight="1">
      <c r="A62" s="132" t="str">
        <f>Exh1B!$A$9</f>
        <v>Item 1</v>
      </c>
      <c r="B62" s="117" t="str">
        <f>Exh1B!$B$9</f>
        <v>Total as Reported on State Page Exhibit</v>
      </c>
      <c r="C62" s="117"/>
      <c r="D62" s="37">
        <f>InputA!$I$10</f>
        <v>0</v>
      </c>
      <c r="E62" s="37">
        <f>InputA!$I$15</f>
        <v>0</v>
      </c>
      <c r="F62" s="37">
        <f>InputA!$I$20+InputA!$I$24</f>
        <v>0</v>
      </c>
      <c r="G62" s="480">
        <f>InputA!$I$28</f>
        <v>0</v>
      </c>
      <c r="H62" s="480"/>
      <c r="I62" s="37">
        <f>InputA!$I$33</f>
        <v>0</v>
      </c>
      <c r="J62" s="616">
        <f>InputA!$I$38</f>
        <v>0</v>
      </c>
    </row>
    <row r="63" spans="1:10" ht="15.75" customHeight="1">
      <c r="A63" s="132" t="str">
        <f>Exh1B!$A$10</f>
        <v>Item 2</v>
      </c>
      <c r="B63" s="117" t="str">
        <f>Exh1B!$B$10</f>
        <v>Exclusions Reported on State Page Exhibit</v>
      </c>
      <c r="C63" s="117"/>
      <c r="D63" s="37">
        <f>SUM(InputA!$I$11:$I$11)</f>
        <v>0</v>
      </c>
      <c r="E63" s="37">
        <f>SUM(InputA!$I$16:$I$16)</f>
        <v>0</v>
      </c>
      <c r="F63" s="37">
        <f>SUM(InputA!$I$21:$I$21,InputA!$I$25:$I$25)</f>
        <v>0</v>
      </c>
      <c r="G63" s="480">
        <f>SUM(InputA!$I$29:$I$29)</f>
        <v>0</v>
      </c>
      <c r="H63" s="480"/>
      <c r="I63" s="37">
        <f>SUM(InputA!$I$34:$I$34)</f>
        <v>0</v>
      </c>
      <c r="J63" s="617">
        <f>SUM(InputA!$I$39:$I$39)</f>
        <v>0</v>
      </c>
    </row>
    <row r="64" spans="1:10" ht="15.75" customHeight="1">
      <c r="A64" s="132" t="str">
        <f>Exh1B!$A$11</f>
        <v>Item 3</v>
      </c>
      <c r="B64" s="117" t="str">
        <f>Exh1B!$B64</f>
        <v>Excess Profit Data [Item 1 -  Item 2]</v>
      </c>
      <c r="C64" s="117"/>
      <c r="D64" s="37">
        <f>D62-D63</f>
        <v>0</v>
      </c>
      <c r="E64" s="37">
        <f>E62-E63</f>
        <v>0</v>
      </c>
      <c r="F64" s="37">
        <f>F62-F63</f>
        <v>0</v>
      </c>
      <c r="G64" s="480">
        <f>G62-G63</f>
        <v>0</v>
      </c>
      <c r="H64" s="480"/>
      <c r="I64" s="37">
        <f>I62-I63</f>
        <v>0</v>
      </c>
      <c r="J64" s="618">
        <f>J62-J63</f>
        <v>0</v>
      </c>
    </row>
    <row r="65" spans="1:10" ht="15.75" customHeight="1">
      <c r="A65" s="132" t="str">
        <f>Exh1B!$A$12</f>
        <v>Item 4</v>
      </c>
      <c r="B65" s="133" t="str">
        <f>Exh1B!$B$12</f>
        <v>UCJF Assessments &amp; Excess Medical Benefits</v>
      </c>
      <c r="C65" s="117"/>
      <c r="D65" s="41">
        <f>InputA!$I$12</f>
        <v>0</v>
      </c>
      <c r="E65" s="41">
        <f>InputA!$I$17</f>
        <v>0</v>
      </c>
      <c r="F65" s="39" t="s">
        <v>0</v>
      </c>
      <c r="G65" s="500">
        <f>InputA!$I$30</f>
        <v>0</v>
      </c>
      <c r="H65" s="500"/>
      <c r="I65" s="37">
        <f>InputA!$I$35</f>
        <v>0</v>
      </c>
      <c r="J65" s="40" t="s">
        <v>0</v>
      </c>
    </row>
    <row r="66" spans="1:10" ht="15.75" customHeight="1">
      <c r="A66" s="132"/>
      <c r="B66" s="117"/>
      <c r="C66" s="117"/>
      <c r="D66" s="37"/>
      <c r="E66" s="37"/>
      <c r="F66" s="37"/>
      <c r="G66" s="480"/>
      <c r="H66" s="480"/>
      <c r="I66" s="37"/>
      <c r="J66" s="173"/>
    </row>
    <row r="67" spans="1:10" ht="15.75" customHeight="1">
      <c r="A67" s="132" t="str">
        <f>Exh1B!$A$14</f>
        <v>Item 5</v>
      </c>
      <c r="B67" s="117" t="str">
        <f>Exh1B!$B$14</f>
        <v>Refund of Excess Profit, included in Col (3)</v>
      </c>
      <c r="C67" s="117"/>
      <c r="D67" s="39" t="s">
        <v>0</v>
      </c>
      <c r="E67" s="39" t="s">
        <v>0</v>
      </c>
      <c r="F67" s="490" t="s">
        <v>0</v>
      </c>
      <c r="G67" s="479" t="s">
        <v>0</v>
      </c>
      <c r="H67" s="479"/>
      <c r="I67" s="39" t="s">
        <v>0</v>
      </c>
      <c r="J67" s="40" t="s">
        <v>0</v>
      </c>
    </row>
    <row r="68" spans="1:10" ht="15.75" customHeight="1" thickBot="1">
      <c r="A68" s="134" t="str">
        <f>Exh1B!$A$15</f>
        <v>Item 6</v>
      </c>
      <c r="B68" s="129" t="str">
        <f>Exh1B!$B$15</f>
        <v>All Other Dividends, included in Col (3)</v>
      </c>
      <c r="C68" s="129"/>
      <c r="D68" s="276" t="s">
        <v>0</v>
      </c>
      <c r="E68" s="276" t="s">
        <v>0</v>
      </c>
      <c r="F68" s="542" t="s">
        <v>0</v>
      </c>
      <c r="G68" s="572" t="s">
        <v>0</v>
      </c>
      <c r="H68" s="572"/>
      <c r="I68" s="276" t="s">
        <v>0</v>
      </c>
      <c r="J68" s="277" t="s">
        <v>0</v>
      </c>
    </row>
    <row r="69" ht="15.75" customHeight="1" thickBot="1">
      <c r="G69" s="504"/>
    </row>
    <row r="70" spans="1:10" ht="15.75" customHeight="1">
      <c r="A70" s="112" t="str">
        <f>"Calendar Year "&amp;FIXED(ReportYear-6,0,TRUE)</f>
        <v>Calendar Year 2018</v>
      </c>
      <c r="B70" s="113"/>
      <c r="C70" s="113"/>
      <c r="D70" s="611" t="str">
        <f aca="true" t="shared" si="11" ref="D70:G73">D58</f>
        <v>Col (1)</v>
      </c>
      <c r="E70" s="611" t="str">
        <f t="shared" si="11"/>
        <v>Col (2)</v>
      </c>
      <c r="F70" s="611" t="str">
        <f t="shared" si="11"/>
        <v>Col (3)</v>
      </c>
      <c r="G70" s="612" t="str">
        <f t="shared" si="11"/>
        <v>Col (4)</v>
      </c>
      <c r="H70" s="612"/>
      <c r="I70" s="611" t="str">
        <f aca="true" t="shared" si="12" ref="I70:J73">I58</f>
        <v>Col (5)</v>
      </c>
      <c r="J70" s="613" t="str">
        <f t="shared" si="12"/>
        <v>Col (6)</v>
      </c>
    </row>
    <row r="71" spans="1:10" ht="15.75" customHeight="1">
      <c r="A71" s="131"/>
      <c r="B71" s="117"/>
      <c r="C71" s="117"/>
      <c r="D71" s="111" t="str">
        <f t="shared" si="11"/>
        <v>Direct</v>
      </c>
      <c r="E71" s="111" t="str">
        <f t="shared" si="11"/>
        <v>Direct</v>
      </c>
      <c r="F71" s="111" t="str">
        <f t="shared" si="11"/>
        <v>Dividends</v>
      </c>
      <c r="G71" s="111" t="str">
        <f t="shared" si="11"/>
        <v>Direct</v>
      </c>
      <c r="H71" s="501"/>
      <c r="I71" s="111" t="str">
        <f t="shared" si="12"/>
        <v>Direct</v>
      </c>
      <c r="J71" s="614" t="str">
        <f t="shared" si="12"/>
        <v>Direct</v>
      </c>
    </row>
    <row r="72" spans="1:10" ht="15.75" customHeight="1">
      <c r="A72" s="131"/>
      <c r="B72" s="117"/>
      <c r="C72" s="117"/>
      <c r="D72" s="111" t="str">
        <f t="shared" si="11"/>
        <v>Written</v>
      </c>
      <c r="E72" s="111" t="str">
        <f t="shared" si="11"/>
        <v>Earned</v>
      </c>
      <c r="F72" s="111" t="str">
        <f t="shared" si="11"/>
        <v>on Direct</v>
      </c>
      <c r="G72" s="111" t="str">
        <f t="shared" si="11"/>
        <v>Unearned</v>
      </c>
      <c r="H72" s="501"/>
      <c r="I72" s="111" t="str">
        <f t="shared" si="12"/>
        <v>Unpaid</v>
      </c>
      <c r="J72" s="614" t="str">
        <f t="shared" si="12"/>
        <v>Unpaid</v>
      </c>
    </row>
    <row r="73" spans="1:10" ht="15.75" customHeight="1">
      <c r="A73" s="131"/>
      <c r="B73" s="117"/>
      <c r="C73" s="117"/>
      <c r="D73" s="123" t="str">
        <f t="shared" si="11"/>
        <v>Premium</v>
      </c>
      <c r="E73" s="123" t="str">
        <f t="shared" si="11"/>
        <v>Premium</v>
      </c>
      <c r="F73" s="123" t="str">
        <f t="shared" si="11"/>
        <v>Business</v>
      </c>
      <c r="G73" s="123" t="str">
        <f t="shared" si="11"/>
        <v>Premium</v>
      </c>
      <c r="H73" s="499"/>
      <c r="I73" s="123" t="str">
        <f t="shared" si="12"/>
        <v>Losses</v>
      </c>
      <c r="J73" s="615" t="str">
        <f t="shared" si="12"/>
        <v>D&amp;CCE</v>
      </c>
    </row>
    <row r="74" spans="1:10" ht="15.75" customHeight="1">
      <c r="A74" s="132" t="str">
        <f>Exh1B!$A$9</f>
        <v>Item 1</v>
      </c>
      <c r="B74" s="117" t="str">
        <f>Exh1B!$B$9</f>
        <v>Total as Reported on State Page Exhibit</v>
      </c>
      <c r="C74" s="117"/>
      <c r="D74" s="37">
        <f>InputA!$J$10</f>
        <v>0</v>
      </c>
      <c r="E74" s="37">
        <f>InputA!$J$15</f>
        <v>0</v>
      </c>
      <c r="F74" s="37">
        <f>InputA!$J$20+InputA!$J$24</f>
        <v>0</v>
      </c>
      <c r="G74" s="480">
        <f>InputA!$J$28</f>
        <v>0</v>
      </c>
      <c r="H74" s="480"/>
      <c r="I74" s="37">
        <f>InputA!$J$33</f>
        <v>0</v>
      </c>
      <c r="J74" s="616">
        <f>InputA!$J$38</f>
        <v>0</v>
      </c>
    </row>
    <row r="75" spans="1:10" ht="15.75" customHeight="1">
      <c r="A75" s="132" t="str">
        <f>Exh1B!$A$10</f>
        <v>Item 2</v>
      </c>
      <c r="B75" s="117" t="str">
        <f>Exh1B!$B$10</f>
        <v>Exclusions Reported on State Page Exhibit</v>
      </c>
      <c r="C75" s="117"/>
      <c r="D75" s="37">
        <f>SUM(InputA!$J$11:$J$11)</f>
        <v>0</v>
      </c>
      <c r="E75" s="37">
        <f>SUM(InputA!$J$16:$J$16)</f>
        <v>0</v>
      </c>
      <c r="F75" s="37">
        <f>SUM(InputA!$J$21:$J$21,InputA!$J$25:$J$25)</f>
        <v>0</v>
      </c>
      <c r="G75" s="480">
        <f>SUM(InputA!$J$29:$J$29)</f>
        <v>0</v>
      </c>
      <c r="H75" s="480"/>
      <c r="I75" s="37">
        <f>SUM(InputA!$J$34:$J$34)</f>
        <v>0</v>
      </c>
      <c r="J75" s="617">
        <f>SUM(InputA!$J$39:$J$39)</f>
        <v>0</v>
      </c>
    </row>
    <row r="76" spans="1:10" ht="15.75" customHeight="1">
      <c r="A76" s="132" t="str">
        <f>Exh1B!$A$11</f>
        <v>Item 3</v>
      </c>
      <c r="B76" s="117" t="str">
        <f>Exh1B!$B76</f>
        <v>Excess Profit Data [Item 1 -  Item 2]</v>
      </c>
      <c r="C76" s="117"/>
      <c r="D76" s="37">
        <f>D74-D75</f>
        <v>0</v>
      </c>
      <c r="E76" s="37">
        <f>E74-E75</f>
        <v>0</v>
      </c>
      <c r="F76" s="37">
        <f>F74-F75</f>
        <v>0</v>
      </c>
      <c r="G76" s="480">
        <f>G74-G75</f>
        <v>0</v>
      </c>
      <c r="H76" s="480"/>
      <c r="I76" s="37">
        <f>I74-I75</f>
        <v>0</v>
      </c>
      <c r="J76" s="618">
        <f>J74-J75</f>
        <v>0</v>
      </c>
    </row>
    <row r="77" spans="1:10" ht="15.75" customHeight="1">
      <c r="A77" s="132" t="str">
        <f>Exh1B!$A$12</f>
        <v>Item 4</v>
      </c>
      <c r="B77" s="133" t="str">
        <f>Exh1B!$B$12</f>
        <v>UCJF Assessments &amp; Excess Medical Benefits</v>
      </c>
      <c r="C77" s="117"/>
      <c r="D77" s="41">
        <f>InputA!$J$12</f>
        <v>0</v>
      </c>
      <c r="E77" s="41">
        <f>InputA!$J$17</f>
        <v>0</v>
      </c>
      <c r="F77" s="39" t="s">
        <v>0</v>
      </c>
      <c r="G77" s="500">
        <f>InputA!$J$30</f>
        <v>0</v>
      </c>
      <c r="H77" s="500"/>
      <c r="I77" s="37">
        <f>InputA!$J$35</f>
        <v>0</v>
      </c>
      <c r="J77" s="40" t="s">
        <v>0</v>
      </c>
    </row>
    <row r="78" spans="1:10" ht="15.75" customHeight="1">
      <c r="A78" s="132"/>
      <c r="B78" s="117"/>
      <c r="C78" s="117"/>
      <c r="D78" s="37"/>
      <c r="E78" s="37"/>
      <c r="F78" s="37"/>
      <c r="G78" s="480"/>
      <c r="H78" s="480"/>
      <c r="I78" s="37"/>
      <c r="J78" s="173"/>
    </row>
    <row r="79" spans="1:10" ht="15.75" customHeight="1">
      <c r="A79" s="132" t="str">
        <f>Exh1B!$A$14</f>
        <v>Item 5</v>
      </c>
      <c r="B79" s="117" t="str">
        <f>Exh1B!$B$14</f>
        <v>Refund of Excess Profit, included in Col (3)</v>
      </c>
      <c r="C79" s="117"/>
      <c r="D79" s="39" t="s">
        <v>0</v>
      </c>
      <c r="E79" s="39" t="s">
        <v>0</v>
      </c>
      <c r="F79" s="490" t="s">
        <v>0</v>
      </c>
      <c r="G79" s="479" t="s">
        <v>0</v>
      </c>
      <c r="H79" s="479"/>
      <c r="I79" s="39" t="s">
        <v>0</v>
      </c>
      <c r="J79" s="40" t="s">
        <v>0</v>
      </c>
    </row>
    <row r="80" spans="1:10" ht="15.75" customHeight="1" thickBot="1">
      <c r="A80" s="134" t="str">
        <f>Exh1B!$A$15</f>
        <v>Item 6</v>
      </c>
      <c r="B80" s="129" t="str">
        <f>Exh1B!$B$15</f>
        <v>All Other Dividends, included in Col (3)</v>
      </c>
      <c r="C80" s="129"/>
      <c r="D80" s="276" t="s">
        <v>0</v>
      </c>
      <c r="E80" s="276" t="s">
        <v>0</v>
      </c>
      <c r="F80" s="542" t="s">
        <v>0</v>
      </c>
      <c r="G80" s="572" t="s">
        <v>0</v>
      </c>
      <c r="H80" s="572"/>
      <c r="I80" s="276" t="s">
        <v>0</v>
      </c>
      <c r="J80" s="277" t="s">
        <v>0</v>
      </c>
    </row>
    <row r="81" ht="15.75" customHeight="1">
      <c r="G81" s="504"/>
    </row>
    <row r="82" ht="15.75" customHeight="1">
      <c r="G82" s="504"/>
    </row>
    <row r="83" spans="1:10" ht="15.75" customHeight="1">
      <c r="A83" s="103" t="str">
        <f>InputB!$A$1</f>
        <v>Group Name:</v>
      </c>
      <c r="C83" s="105" t="str">
        <f>InputB!$C$1</f>
        <v>enter group name here</v>
      </c>
      <c r="D83"/>
      <c r="E83"/>
      <c r="F83"/>
      <c r="G83" s="505"/>
      <c r="H83"/>
      <c r="I83"/>
      <c r="J83" s="107" t="str">
        <f>J$1</f>
        <v>Exhibit 1A</v>
      </c>
    </row>
    <row r="84" spans="1:10" ht="15.75" customHeight="1">
      <c r="A84" s="108" t="str">
        <f>InputB!$A$2</f>
        <v>Group NAIC #:</v>
      </c>
      <c r="C84" s="105" t="str">
        <f>InputB!$C$2</f>
        <v>enter group # here</v>
      </c>
      <c r="D84"/>
      <c r="E84"/>
      <c r="F84"/>
      <c r="G84" s="505"/>
      <c r="H84"/>
      <c r="I84"/>
      <c r="J84" s="107" t="s">
        <v>363</v>
      </c>
    </row>
    <row r="85" spans="1:10" ht="15.75" customHeight="1">
      <c r="A85" s="103" t="str">
        <f>InputB!$A$3</f>
        <v>Year Filed:</v>
      </c>
      <c r="C85" s="110">
        <f>InputB!$C$3</f>
        <v>2024</v>
      </c>
      <c r="D85"/>
      <c r="E85"/>
      <c r="F85"/>
      <c r="G85" s="505"/>
      <c r="H85"/>
      <c r="I85"/>
      <c r="J85" s="107" t="s">
        <v>117</v>
      </c>
    </row>
    <row r="86" ht="15.75" customHeight="1" thickBot="1">
      <c r="G86" s="504"/>
    </row>
    <row r="87" spans="1:10" ht="15.75" customHeight="1">
      <c r="A87" s="112" t="str">
        <f>"Calendar Year "&amp;FIXED(ReportYear-7,0,TRUE)</f>
        <v>Calendar Year 2017</v>
      </c>
      <c r="B87" s="113"/>
      <c r="C87" s="113"/>
      <c r="D87" s="611" t="str">
        <f aca="true" t="shared" si="13" ref="D87:G90">D70</f>
        <v>Col (1)</v>
      </c>
      <c r="E87" s="611" t="str">
        <f t="shared" si="13"/>
        <v>Col (2)</v>
      </c>
      <c r="F87" s="611" t="str">
        <f t="shared" si="13"/>
        <v>Col (3)</v>
      </c>
      <c r="G87" s="612" t="str">
        <f t="shared" si="13"/>
        <v>Col (4)</v>
      </c>
      <c r="H87" s="612"/>
      <c r="I87" s="611" t="str">
        <f aca="true" t="shared" si="14" ref="I87:J90">I70</f>
        <v>Col (5)</v>
      </c>
      <c r="J87" s="613" t="str">
        <f t="shared" si="14"/>
        <v>Col (6)</v>
      </c>
    </row>
    <row r="88" spans="1:10" ht="15.75" customHeight="1">
      <c r="A88" s="131"/>
      <c r="B88" s="117"/>
      <c r="C88" s="117"/>
      <c r="D88" s="111" t="str">
        <f t="shared" si="13"/>
        <v>Direct</v>
      </c>
      <c r="E88" s="111" t="str">
        <f t="shared" si="13"/>
        <v>Direct</v>
      </c>
      <c r="F88" s="111" t="str">
        <f t="shared" si="13"/>
        <v>Dividends</v>
      </c>
      <c r="G88" s="111" t="str">
        <f t="shared" si="13"/>
        <v>Direct</v>
      </c>
      <c r="H88" s="501"/>
      <c r="I88" s="111" t="str">
        <f t="shared" si="14"/>
        <v>Direct</v>
      </c>
      <c r="J88" s="614" t="str">
        <f t="shared" si="14"/>
        <v>Direct</v>
      </c>
    </row>
    <row r="89" spans="1:10" ht="15.75" customHeight="1">
      <c r="A89" s="131"/>
      <c r="B89" s="117"/>
      <c r="C89" s="117"/>
      <c r="D89" s="111" t="str">
        <f t="shared" si="13"/>
        <v>Written</v>
      </c>
      <c r="E89" s="111" t="str">
        <f t="shared" si="13"/>
        <v>Earned</v>
      </c>
      <c r="F89" s="111" t="str">
        <f t="shared" si="13"/>
        <v>on Direct</v>
      </c>
      <c r="G89" s="111" t="str">
        <f t="shared" si="13"/>
        <v>Unearned</v>
      </c>
      <c r="H89" s="501"/>
      <c r="I89" s="111" t="str">
        <f t="shared" si="14"/>
        <v>Unpaid</v>
      </c>
      <c r="J89" s="614" t="str">
        <f t="shared" si="14"/>
        <v>Unpaid</v>
      </c>
    </row>
    <row r="90" spans="1:10" ht="15.75" customHeight="1">
      <c r="A90" s="131"/>
      <c r="B90" s="117"/>
      <c r="C90" s="117"/>
      <c r="D90" s="123" t="str">
        <f t="shared" si="13"/>
        <v>Premium</v>
      </c>
      <c r="E90" s="123" t="str">
        <f t="shared" si="13"/>
        <v>Premium</v>
      </c>
      <c r="F90" s="123" t="str">
        <f t="shared" si="13"/>
        <v>Business</v>
      </c>
      <c r="G90" s="123" t="str">
        <f t="shared" si="13"/>
        <v>Premium</v>
      </c>
      <c r="H90" s="499"/>
      <c r="I90" s="123" t="str">
        <f t="shared" si="14"/>
        <v>Losses</v>
      </c>
      <c r="J90" s="615" t="str">
        <f t="shared" si="14"/>
        <v>D&amp;CCE</v>
      </c>
    </row>
    <row r="91" spans="1:10" ht="15.75" customHeight="1">
      <c r="A91" s="132" t="str">
        <f>Exh1B!$A$9</f>
        <v>Item 1</v>
      </c>
      <c r="B91" s="117" t="str">
        <f>Exh1B!$B$9</f>
        <v>Total as Reported on State Page Exhibit</v>
      </c>
      <c r="C91" s="117"/>
      <c r="D91" s="37">
        <f>InputA!$K$10</f>
        <v>0</v>
      </c>
      <c r="E91" s="37">
        <f>InputA!$K$15</f>
        <v>0</v>
      </c>
      <c r="F91" s="37">
        <f>InputA!$K$20+InputA!$K$24</f>
        <v>0</v>
      </c>
      <c r="G91" s="480">
        <f>InputA!$K$28</f>
        <v>0</v>
      </c>
      <c r="H91" s="480"/>
      <c r="I91" s="37">
        <f>InputA!$K$33</f>
        <v>0</v>
      </c>
      <c r="J91" s="616">
        <f>InputA!$K$38</f>
        <v>0</v>
      </c>
    </row>
    <row r="92" spans="1:10" ht="15.75" customHeight="1">
      <c r="A92" s="132" t="str">
        <f>Exh1B!$A$10</f>
        <v>Item 2</v>
      </c>
      <c r="B92" s="117" t="str">
        <f>Exh1B!$B$10</f>
        <v>Exclusions Reported on State Page Exhibit</v>
      </c>
      <c r="C92" s="117"/>
      <c r="D92" s="37">
        <f>SUM(InputA!$K$11:$K$11)</f>
        <v>0</v>
      </c>
      <c r="E92" s="37">
        <f>SUM(InputA!$K$16:$K$16)</f>
        <v>0</v>
      </c>
      <c r="F92" s="37">
        <f>SUM(InputA!$K$21:$K$21,InputA!$K$25:$K$25)</f>
        <v>0</v>
      </c>
      <c r="G92" s="480">
        <f>SUM(InputA!$K$29:$K$29)</f>
        <v>0</v>
      </c>
      <c r="H92" s="480"/>
      <c r="I92" s="37">
        <f>SUM(InputA!$K$34:$K$34)</f>
        <v>0</v>
      </c>
      <c r="J92" s="617">
        <f>SUM(InputA!$K$39:$K$39)</f>
        <v>0</v>
      </c>
    </row>
    <row r="93" spans="1:10" ht="15.75" customHeight="1">
      <c r="A93" s="132" t="str">
        <f>Exh1B!$A$11</f>
        <v>Item 3</v>
      </c>
      <c r="B93" s="117" t="str">
        <f>Exh1B!$B93</f>
        <v>Excess Profit Data [Item 1 -  Item 2]</v>
      </c>
      <c r="C93" s="117"/>
      <c r="D93" s="37">
        <f>D91-D92</f>
        <v>0</v>
      </c>
      <c r="E93" s="37">
        <f>E91-E92</f>
        <v>0</v>
      </c>
      <c r="F93" s="37">
        <f>F91-F92</f>
        <v>0</v>
      </c>
      <c r="G93" s="480">
        <f>G91-G92</f>
        <v>0</v>
      </c>
      <c r="H93" s="480"/>
      <c r="I93" s="37">
        <f>I91-I92</f>
        <v>0</v>
      </c>
      <c r="J93" s="618">
        <f>J91-J92</f>
        <v>0</v>
      </c>
    </row>
    <row r="94" spans="1:10" ht="15.75" customHeight="1">
      <c r="A94" s="132" t="str">
        <f>Exh1B!$A$12</f>
        <v>Item 4</v>
      </c>
      <c r="B94" s="133" t="str">
        <f>Exh1B!$B$12</f>
        <v>UCJF Assessments &amp; Excess Medical Benefits</v>
      </c>
      <c r="C94" s="117"/>
      <c r="D94" s="41">
        <f>InputA!$K$12</f>
        <v>0</v>
      </c>
      <c r="E94" s="41">
        <f>InputA!$K$17</f>
        <v>0</v>
      </c>
      <c r="F94" s="39" t="s">
        <v>0</v>
      </c>
      <c r="G94" s="500">
        <f>InputA!$K$30</f>
        <v>0</v>
      </c>
      <c r="H94" s="500"/>
      <c r="I94" s="37">
        <f>InputA!$K$35</f>
        <v>0</v>
      </c>
      <c r="J94" s="40" t="s">
        <v>0</v>
      </c>
    </row>
    <row r="95" spans="1:10" ht="15.75" customHeight="1">
      <c r="A95" s="132"/>
      <c r="B95" s="117"/>
      <c r="C95" s="117"/>
      <c r="D95" s="37"/>
      <c r="E95" s="37"/>
      <c r="F95" s="37"/>
      <c r="G95" s="480"/>
      <c r="H95" s="480"/>
      <c r="I95" s="37"/>
      <c r="J95" s="173"/>
    </row>
    <row r="96" spans="1:10" ht="15.75" customHeight="1">
      <c r="A96" s="132" t="str">
        <f>Exh1B!$A$14</f>
        <v>Item 5</v>
      </c>
      <c r="B96" s="117" t="str">
        <f>Exh1B!$B$14</f>
        <v>Refund of Excess Profit, included in Col (3)</v>
      </c>
      <c r="C96" s="117"/>
      <c r="D96" s="39" t="s">
        <v>0</v>
      </c>
      <c r="E96" s="39" t="s">
        <v>0</v>
      </c>
      <c r="F96" s="490" t="s">
        <v>0</v>
      </c>
      <c r="G96" s="479" t="s">
        <v>0</v>
      </c>
      <c r="H96" s="479"/>
      <c r="I96" s="39" t="s">
        <v>0</v>
      </c>
      <c r="J96" s="40" t="s">
        <v>0</v>
      </c>
    </row>
    <row r="97" spans="1:10" ht="15.75" customHeight="1" thickBot="1">
      <c r="A97" s="134" t="str">
        <f>Exh1B!$A$15</f>
        <v>Item 6</v>
      </c>
      <c r="B97" s="129" t="str">
        <f>Exh1B!$B$15</f>
        <v>All Other Dividends, included in Col (3)</v>
      </c>
      <c r="C97" s="129"/>
      <c r="D97" s="276" t="s">
        <v>0</v>
      </c>
      <c r="E97" s="276" t="s">
        <v>0</v>
      </c>
      <c r="F97" s="542" t="s">
        <v>0</v>
      </c>
      <c r="G97" s="572" t="s">
        <v>0</v>
      </c>
      <c r="H97" s="572"/>
      <c r="I97" s="276" t="s">
        <v>0</v>
      </c>
      <c r="J97" s="277" t="s">
        <v>0</v>
      </c>
    </row>
    <row r="98" ht="15.75" customHeight="1" thickBot="1">
      <c r="G98" s="504"/>
    </row>
    <row r="99" spans="1:10" ht="15.75" customHeight="1">
      <c r="A99" s="112" t="str">
        <f>"Calendar Year "&amp;FIXED(ReportYear-8,0,TRUE)</f>
        <v>Calendar Year 2016</v>
      </c>
      <c r="B99" s="113"/>
      <c r="C99" s="113"/>
      <c r="D99" s="611" t="str">
        <f aca="true" t="shared" si="15" ref="D99:G102">D87</f>
        <v>Col (1)</v>
      </c>
      <c r="E99" s="611" t="str">
        <f t="shared" si="15"/>
        <v>Col (2)</v>
      </c>
      <c r="F99" s="611" t="str">
        <f t="shared" si="15"/>
        <v>Col (3)</v>
      </c>
      <c r="G99" s="612" t="str">
        <f t="shared" si="15"/>
        <v>Col (4)</v>
      </c>
      <c r="H99" s="612"/>
      <c r="I99" s="611" t="str">
        <f aca="true" t="shared" si="16" ref="I99:J102">I87</f>
        <v>Col (5)</v>
      </c>
      <c r="J99" s="613" t="str">
        <f t="shared" si="16"/>
        <v>Col (6)</v>
      </c>
    </row>
    <row r="100" spans="1:10" ht="15.75" customHeight="1">
      <c r="A100" s="131"/>
      <c r="B100" s="117"/>
      <c r="C100" s="117"/>
      <c r="D100" s="111" t="str">
        <f t="shared" si="15"/>
        <v>Direct</v>
      </c>
      <c r="E100" s="111" t="str">
        <f t="shared" si="15"/>
        <v>Direct</v>
      </c>
      <c r="F100" s="111" t="str">
        <f t="shared" si="15"/>
        <v>Dividends</v>
      </c>
      <c r="G100" s="111" t="str">
        <f t="shared" si="15"/>
        <v>Direct</v>
      </c>
      <c r="H100" s="501"/>
      <c r="I100" s="111" t="str">
        <f t="shared" si="16"/>
        <v>Direct</v>
      </c>
      <c r="J100" s="614" t="str">
        <f t="shared" si="16"/>
        <v>Direct</v>
      </c>
    </row>
    <row r="101" spans="1:10" ht="15.75" customHeight="1">
      <c r="A101" s="131"/>
      <c r="B101" s="117"/>
      <c r="C101" s="117"/>
      <c r="D101" s="111" t="str">
        <f t="shared" si="15"/>
        <v>Written</v>
      </c>
      <c r="E101" s="111" t="str">
        <f t="shared" si="15"/>
        <v>Earned</v>
      </c>
      <c r="F101" s="111" t="str">
        <f t="shared" si="15"/>
        <v>on Direct</v>
      </c>
      <c r="G101" s="111" t="str">
        <f t="shared" si="15"/>
        <v>Unearned</v>
      </c>
      <c r="H101" s="501"/>
      <c r="I101" s="111" t="str">
        <f t="shared" si="16"/>
        <v>Unpaid</v>
      </c>
      <c r="J101" s="614" t="str">
        <f t="shared" si="16"/>
        <v>Unpaid</v>
      </c>
    </row>
    <row r="102" spans="1:10" ht="15.75" customHeight="1">
      <c r="A102" s="131"/>
      <c r="B102" s="117"/>
      <c r="C102" s="117"/>
      <c r="D102" s="123" t="str">
        <f t="shared" si="15"/>
        <v>Premium</v>
      </c>
      <c r="E102" s="123" t="str">
        <f t="shared" si="15"/>
        <v>Premium</v>
      </c>
      <c r="F102" s="123" t="str">
        <f t="shared" si="15"/>
        <v>Business</v>
      </c>
      <c r="G102" s="123" t="str">
        <f t="shared" si="15"/>
        <v>Premium</v>
      </c>
      <c r="H102" s="499"/>
      <c r="I102" s="123" t="str">
        <f t="shared" si="16"/>
        <v>Losses</v>
      </c>
      <c r="J102" s="615" t="str">
        <f t="shared" si="16"/>
        <v>D&amp;CCE</v>
      </c>
    </row>
    <row r="103" spans="1:10" ht="15.75" customHeight="1">
      <c r="A103" s="132" t="str">
        <f>Exh1B!$A$9</f>
        <v>Item 1</v>
      </c>
      <c r="B103" s="117" t="str">
        <f>Exh1B!$B$9</f>
        <v>Total as Reported on State Page Exhibit</v>
      </c>
      <c r="C103" s="117"/>
      <c r="D103" s="37">
        <f>InputA!$L$10</f>
        <v>0</v>
      </c>
      <c r="E103" s="37">
        <f>InputA!$L$15</f>
        <v>0</v>
      </c>
      <c r="F103" s="37">
        <f>InputA!$L$20+InputA!$L$24</f>
        <v>0</v>
      </c>
      <c r="G103" s="480">
        <f>InputA!$L$28</f>
        <v>0</v>
      </c>
      <c r="H103" s="480"/>
      <c r="I103" s="37">
        <f>InputA!$L$33</f>
        <v>0</v>
      </c>
      <c r="J103" s="616">
        <f>InputA!$L$38</f>
        <v>0</v>
      </c>
    </row>
    <row r="104" spans="1:10" ht="15.75" customHeight="1">
      <c r="A104" s="132" t="str">
        <f>Exh1B!$A$10</f>
        <v>Item 2</v>
      </c>
      <c r="B104" s="117" t="str">
        <f>Exh1B!$B$10</f>
        <v>Exclusions Reported on State Page Exhibit</v>
      </c>
      <c r="C104" s="117"/>
      <c r="D104" s="37">
        <f>SUM(InputA!$L$11:$L$11)</f>
        <v>0</v>
      </c>
      <c r="E104" s="37">
        <f>SUM(InputA!$L$16:$L$16)</f>
        <v>0</v>
      </c>
      <c r="F104" s="37">
        <f>SUM(InputA!$L$21:$L$21,InputA!$L$25:$L$25)</f>
        <v>0</v>
      </c>
      <c r="G104" s="480">
        <f>SUM(InputA!$L$29:$L$29)</f>
        <v>0</v>
      </c>
      <c r="H104" s="480"/>
      <c r="I104" s="37">
        <f>SUM(InputA!$L$34:$L$34)</f>
        <v>0</v>
      </c>
      <c r="J104" s="617">
        <f>SUM(InputA!$L$39:$L$39)</f>
        <v>0</v>
      </c>
    </row>
    <row r="105" spans="1:10" ht="15.75" customHeight="1">
      <c r="A105" s="132" t="str">
        <f>Exh1B!$A$11</f>
        <v>Item 3</v>
      </c>
      <c r="B105" s="117" t="str">
        <f>Exh1B!$B105</f>
        <v>Excess Profit Data [Item 1 -  Item 2]</v>
      </c>
      <c r="C105" s="117"/>
      <c r="D105" s="37">
        <f>D103-D104</f>
        <v>0</v>
      </c>
      <c r="E105" s="37">
        <f>E103-E104</f>
        <v>0</v>
      </c>
      <c r="F105" s="37">
        <f>F103-F104</f>
        <v>0</v>
      </c>
      <c r="G105" s="480">
        <f>G103-G104</f>
        <v>0</v>
      </c>
      <c r="H105" s="480"/>
      <c r="I105" s="37">
        <f>I103-I104</f>
        <v>0</v>
      </c>
      <c r="J105" s="618">
        <f>J103-J104</f>
        <v>0</v>
      </c>
    </row>
    <row r="106" spans="1:10" ht="15.75" customHeight="1">
      <c r="A106" s="132" t="str">
        <f>Exh1B!$A$12</f>
        <v>Item 4</v>
      </c>
      <c r="B106" s="133" t="str">
        <f>Exh1B!$B$12</f>
        <v>UCJF Assessments &amp; Excess Medical Benefits</v>
      </c>
      <c r="C106" s="117"/>
      <c r="D106" s="41">
        <f>InputA!$L$12</f>
        <v>0</v>
      </c>
      <c r="E106" s="41">
        <f>InputA!$L$17</f>
        <v>0</v>
      </c>
      <c r="F106" s="39" t="s">
        <v>0</v>
      </c>
      <c r="G106" s="500">
        <f>InputA!$L$30</f>
        <v>0</v>
      </c>
      <c r="H106" s="500"/>
      <c r="I106" s="37">
        <f>InputA!$L$35</f>
        <v>0</v>
      </c>
      <c r="J106" s="40" t="s">
        <v>0</v>
      </c>
    </row>
    <row r="107" spans="1:10" ht="15.75" customHeight="1">
      <c r="A107" s="132"/>
      <c r="B107" s="117"/>
      <c r="C107" s="117"/>
      <c r="D107" s="37"/>
      <c r="E107" s="37"/>
      <c r="F107" s="37"/>
      <c r="G107" s="480"/>
      <c r="H107" s="480"/>
      <c r="I107" s="37"/>
      <c r="J107" s="173"/>
    </row>
    <row r="108" spans="1:10" ht="15.75" customHeight="1">
      <c r="A108" s="132" t="str">
        <f>Exh1B!$A$14</f>
        <v>Item 5</v>
      </c>
      <c r="B108" s="117" t="str">
        <f>Exh1B!$B$14</f>
        <v>Refund of Excess Profit, included in Col (3)</v>
      </c>
      <c r="C108" s="117"/>
      <c r="D108" s="39" t="s">
        <v>0</v>
      </c>
      <c r="E108" s="39" t="s">
        <v>0</v>
      </c>
      <c r="F108" s="490" t="s">
        <v>0</v>
      </c>
      <c r="G108" s="479" t="s">
        <v>0</v>
      </c>
      <c r="H108" s="479"/>
      <c r="I108" s="39" t="s">
        <v>0</v>
      </c>
      <c r="J108" s="40" t="s">
        <v>0</v>
      </c>
    </row>
    <row r="109" spans="1:10" ht="15.75" customHeight="1" thickBot="1">
      <c r="A109" s="134" t="str">
        <f>Exh1B!$A$15</f>
        <v>Item 6</v>
      </c>
      <c r="B109" s="129" t="str">
        <f>Exh1B!$B$15</f>
        <v>All Other Dividends, included in Col (3)</v>
      </c>
      <c r="C109" s="129"/>
      <c r="D109" s="276" t="s">
        <v>0</v>
      </c>
      <c r="E109" s="276" t="s">
        <v>0</v>
      </c>
      <c r="F109" s="542" t="s">
        <v>0</v>
      </c>
      <c r="G109" s="572" t="s">
        <v>0</v>
      </c>
      <c r="H109" s="572"/>
      <c r="I109" s="276" t="s">
        <v>0</v>
      </c>
      <c r="J109" s="277" t="s">
        <v>0</v>
      </c>
    </row>
    <row r="110" ht="15.75" customHeight="1" thickBot="1">
      <c r="G110" s="504"/>
    </row>
    <row r="111" spans="1:10" ht="15.75" customHeight="1">
      <c r="A111" s="112" t="str">
        <f>"Calendar Year "&amp;FIXED(ReportYear-9,0,TRUE)</f>
        <v>Calendar Year 2015</v>
      </c>
      <c r="B111" s="113"/>
      <c r="C111" s="622"/>
      <c r="D111" s="611" t="str">
        <f>Exh1B!$D$5</f>
        <v>Col (1)</v>
      </c>
      <c r="E111" s="611" t="str">
        <f>Exh1B!$E$5</f>
        <v>Col (2)</v>
      </c>
      <c r="F111" s="611" t="str">
        <f>Exh1B!$F$5</f>
        <v>Col (3)</v>
      </c>
      <c r="G111" s="612" t="str">
        <f>Exh1B!$G$5</f>
        <v>Col (4)</v>
      </c>
      <c r="H111" s="612"/>
      <c r="I111" s="611" t="str">
        <f>Exh1B!$I$5</f>
        <v>Col (5)</v>
      </c>
      <c r="J111" s="613" t="str">
        <f>Exh1B!$J$5</f>
        <v>Col (6)</v>
      </c>
    </row>
    <row r="112" spans="1:10" ht="15.75" customHeight="1">
      <c r="A112" s="131"/>
      <c r="B112" s="117"/>
      <c r="C112" s="114"/>
      <c r="D112" s="111" t="str">
        <f>Exh1B!$D$6</f>
        <v>Direct</v>
      </c>
      <c r="E112" s="115" t="str">
        <f>Exh1B!$E$6</f>
        <v>Direct</v>
      </c>
      <c r="F112" s="111" t="str">
        <f>Exh1B!$F$6</f>
        <v>Dividends</v>
      </c>
      <c r="G112" s="501" t="str">
        <f>Exh1B!$G$6</f>
        <v>Direct</v>
      </c>
      <c r="H112" s="610"/>
      <c r="I112" s="115" t="str">
        <f>Exh1B!$I$6</f>
        <v>Direct</v>
      </c>
      <c r="J112" s="614" t="str">
        <f>Exh1B!$J112</f>
        <v>Direct</v>
      </c>
    </row>
    <row r="113" spans="1:10" ht="15.75" customHeight="1">
      <c r="A113" s="131"/>
      <c r="B113" s="117"/>
      <c r="C113" s="114"/>
      <c r="D113" s="120" t="str">
        <f>Exh1B!$D$7</f>
        <v>Written</v>
      </c>
      <c r="E113" s="118" t="str">
        <f>Exh1B!$E$7</f>
        <v>Earned</v>
      </c>
      <c r="F113" s="119" t="str">
        <f>Exh1B!$F$7</f>
        <v>on Direct</v>
      </c>
      <c r="G113" s="498" t="str">
        <f>Exh1B!$G$7</f>
        <v>Unearned</v>
      </c>
      <c r="H113" s="498"/>
      <c r="I113" s="118" t="str">
        <f>Exh1B!$I$7</f>
        <v>Unpaid</v>
      </c>
      <c r="J113" s="614" t="str">
        <f>Exh1B!$J113</f>
        <v>Unpaid</v>
      </c>
    </row>
    <row r="114" spans="1:10" ht="15.75" customHeight="1">
      <c r="A114" s="131"/>
      <c r="B114" s="117"/>
      <c r="C114" s="117"/>
      <c r="D114" s="123" t="str">
        <f>Exh1B!$D$8</f>
        <v>Premium</v>
      </c>
      <c r="E114" s="123" t="str">
        <f>Exh1B!$E$8</f>
        <v>Premium</v>
      </c>
      <c r="F114" s="124" t="str">
        <f>Exh1B!$F$8</f>
        <v>Business</v>
      </c>
      <c r="G114" s="499" t="str">
        <f>Exh1B!$G$8</f>
        <v>Premium</v>
      </c>
      <c r="H114" s="499"/>
      <c r="I114" s="123" t="str">
        <f>Exh1B!$I$8</f>
        <v>Losses</v>
      </c>
      <c r="J114" s="615" t="str">
        <f>Exh1B!$J114</f>
        <v>D&amp;CCE</v>
      </c>
    </row>
    <row r="115" spans="1:10" ht="15.75" customHeight="1">
      <c r="A115" s="132" t="str">
        <f>Exh1B!$A$9</f>
        <v>Item 1</v>
      </c>
      <c r="B115" s="117" t="str">
        <f>Exh1B!$B$9</f>
        <v>Total as Reported on State Page Exhibit</v>
      </c>
      <c r="C115" s="117"/>
      <c r="D115" s="37">
        <f>InputA!$M$10</f>
        <v>0</v>
      </c>
      <c r="E115" s="37">
        <f>InputA!$M$15</f>
        <v>0</v>
      </c>
      <c r="F115" s="37">
        <f>InputA!$M$20+InputA!$M$24</f>
        <v>0</v>
      </c>
      <c r="G115" s="480">
        <f>InputA!$M$28</f>
        <v>0</v>
      </c>
      <c r="H115" s="480"/>
      <c r="I115" s="37">
        <f>InputA!$M$33</f>
        <v>0</v>
      </c>
      <c r="J115" s="616">
        <f>InputA!$M$38</f>
        <v>0</v>
      </c>
    </row>
    <row r="116" spans="1:10" ht="15.75" customHeight="1">
      <c r="A116" s="132" t="str">
        <f>Exh1B!$A$10</f>
        <v>Item 2</v>
      </c>
      <c r="B116" s="117" t="str">
        <f>Exh1B!$B$10</f>
        <v>Exclusions Reported on State Page Exhibit</v>
      </c>
      <c r="C116" s="117"/>
      <c r="D116" s="37">
        <f>SUM(InputA!$M$11:$M$11)</f>
        <v>0</v>
      </c>
      <c r="E116" s="37">
        <f>SUM(InputA!$M$16:$M$16)</f>
        <v>0</v>
      </c>
      <c r="F116" s="37">
        <f>SUM(InputA!$M$21:$M$21,InputA!$M$25:$M$25)</f>
        <v>0</v>
      </c>
      <c r="G116" s="480">
        <f>SUM(InputA!$M$29:$M$29)</f>
        <v>0</v>
      </c>
      <c r="H116" s="480"/>
      <c r="I116" s="37">
        <f>SUM(InputA!$M$34:$M$34)</f>
        <v>0</v>
      </c>
      <c r="J116" s="617">
        <f>SUM(InputA!$M$39:$M$39)</f>
        <v>0</v>
      </c>
    </row>
    <row r="117" spans="1:10" ht="15.75" customHeight="1">
      <c r="A117" s="132" t="str">
        <f>Exh1B!$A$11</f>
        <v>Item 3</v>
      </c>
      <c r="B117" s="117" t="str">
        <f>Exh1B!$B$11</f>
        <v>Excess Profit Data [Item 1 -  Item 2]</v>
      </c>
      <c r="C117" s="117"/>
      <c r="D117" s="37">
        <f>D115-D116</f>
        <v>0</v>
      </c>
      <c r="E117" s="37">
        <f>E115-E116</f>
        <v>0</v>
      </c>
      <c r="F117" s="37">
        <f>F115-F116</f>
        <v>0</v>
      </c>
      <c r="G117" s="480">
        <f>G115-G116</f>
        <v>0</v>
      </c>
      <c r="H117" s="480"/>
      <c r="I117" s="37">
        <f>I115-I116</f>
        <v>0</v>
      </c>
      <c r="J117" s="618">
        <f>J115-J116</f>
        <v>0</v>
      </c>
    </row>
    <row r="118" spans="1:10" ht="15.75" customHeight="1">
      <c r="A118" s="132" t="str">
        <f>Exh1B!$A$12</f>
        <v>Item 4</v>
      </c>
      <c r="B118" s="133" t="str">
        <f>Exh1B!$B$12</f>
        <v>UCJF Assessments &amp; Excess Medical Benefits</v>
      </c>
      <c r="C118" s="117"/>
      <c r="D118" s="41">
        <f>InputA!$M$12</f>
        <v>0</v>
      </c>
      <c r="E118" s="41">
        <f>InputA!$M$17</f>
        <v>0</v>
      </c>
      <c r="F118" s="39" t="s">
        <v>0</v>
      </c>
      <c r="G118" s="500">
        <f>InputA!$M$30</f>
        <v>0</v>
      </c>
      <c r="H118" s="500"/>
      <c r="I118" s="41">
        <f>InputA!$M$35</f>
        <v>0</v>
      </c>
      <c r="J118" s="40" t="s">
        <v>0</v>
      </c>
    </row>
    <row r="119" spans="1:10" ht="15.75" customHeight="1">
      <c r="A119" s="132"/>
      <c r="B119" s="117"/>
      <c r="C119" s="117"/>
      <c r="D119" s="37"/>
      <c r="E119" s="37"/>
      <c r="F119" s="37"/>
      <c r="G119" s="480"/>
      <c r="H119" s="480"/>
      <c r="I119" s="37"/>
      <c r="J119" s="173"/>
    </row>
    <row r="120" spans="1:10" ht="15.75" customHeight="1">
      <c r="A120" s="132" t="str">
        <f>Exh1B!$A$14</f>
        <v>Item 5</v>
      </c>
      <c r="B120" s="117" t="str">
        <f>Exh1B!$B$14</f>
        <v>Refund of Excess Profit, included in Col (3)</v>
      </c>
      <c r="C120" s="117"/>
      <c r="D120" s="39" t="s">
        <v>0</v>
      </c>
      <c r="E120" s="39" t="s">
        <v>0</v>
      </c>
      <c r="F120" s="490" t="s">
        <v>0</v>
      </c>
      <c r="G120" s="479" t="s">
        <v>0</v>
      </c>
      <c r="H120" s="479"/>
      <c r="I120" s="39" t="s">
        <v>0</v>
      </c>
      <c r="J120" s="40" t="s">
        <v>0</v>
      </c>
    </row>
    <row r="121" spans="1:10" ht="15.75" customHeight="1" thickBot="1">
      <c r="A121" s="134" t="str">
        <f>Exh1B!$A$15</f>
        <v>Item 6</v>
      </c>
      <c r="B121" s="129" t="str">
        <f>Exh1B!$B$15</f>
        <v>All Other Dividends, included in Col (3)</v>
      </c>
      <c r="C121" s="129"/>
      <c r="D121" s="276" t="s">
        <v>0</v>
      </c>
      <c r="E121" s="276" t="s">
        <v>0</v>
      </c>
      <c r="F121" s="542" t="s">
        <v>0</v>
      </c>
      <c r="G121" s="572" t="s">
        <v>0</v>
      </c>
      <c r="H121" s="572"/>
      <c r="I121" s="276" t="s">
        <v>0</v>
      </c>
      <c r="J121" s="277" t="s">
        <v>0</v>
      </c>
    </row>
    <row r="122" ht="15.75" customHeight="1">
      <c r="G122" s="504"/>
    </row>
    <row r="123" ht="15.75" customHeight="1">
      <c r="G123" s="504"/>
    </row>
    <row r="124" ht="15.75" customHeight="1">
      <c r="G124" s="504"/>
    </row>
    <row r="125" ht="15.75" customHeight="1">
      <c r="G125" s="504"/>
    </row>
    <row r="126" ht="15.75" customHeight="1">
      <c r="G126" s="504"/>
    </row>
    <row r="127" ht="15.75" customHeight="1">
      <c r="G127" s="504"/>
    </row>
    <row r="128" ht="15.75" customHeight="1">
      <c r="G128" s="504"/>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xl/worksheets/sheet7.xml><?xml version="1.0" encoding="utf-8"?>
<worksheet xmlns="http://schemas.openxmlformats.org/spreadsheetml/2006/main" xmlns:r="http://schemas.openxmlformats.org/officeDocument/2006/relationships">
  <sheetPr codeName="Sheet2" transitionEvaluation="1"/>
  <dimension ref="A1:J121"/>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57421875" style="104" customWidth="1"/>
    <col min="2" max="2" width="12.7109375" style="104" customWidth="1"/>
    <col min="3" max="3" width="38.7109375" style="104" customWidth="1"/>
    <col min="4" max="4" width="17.140625" style="104" customWidth="1"/>
    <col min="5" max="5" width="17.00390625" style="104" customWidth="1"/>
    <col min="6" max="10" width="17.140625" style="104" customWidth="1"/>
    <col min="11" max="16384" width="11.7109375" style="104" customWidth="1"/>
  </cols>
  <sheetData>
    <row r="1" spans="1:10" ht="15.75" customHeight="1">
      <c r="A1" s="103" t="str">
        <f>InputB!$A$1</f>
        <v>Group Name:</v>
      </c>
      <c r="C1" s="105" t="str">
        <f>InputB!$C$1</f>
        <v>enter group name here</v>
      </c>
      <c r="D1"/>
      <c r="E1"/>
      <c r="F1"/>
      <c r="G1"/>
      <c r="H1"/>
      <c r="I1"/>
      <c r="J1" s="106" t="s">
        <v>153</v>
      </c>
    </row>
    <row r="2" spans="1:10" ht="15.75" customHeight="1">
      <c r="A2" s="108" t="str">
        <f>InputB!$A$2</f>
        <v>Group NAIC #:</v>
      </c>
      <c r="C2" s="105" t="str">
        <f>InputB!$C$2</f>
        <v>enter group # here</v>
      </c>
      <c r="D2"/>
      <c r="E2"/>
      <c r="F2"/>
      <c r="G2"/>
      <c r="H2"/>
      <c r="I2"/>
      <c r="J2" s="107" t="s">
        <v>362</v>
      </c>
    </row>
    <row r="3" spans="1:10" ht="15.75" customHeight="1">
      <c r="A3" s="103" t="str">
        <f>InputB!$A$3</f>
        <v>Year Filed:</v>
      </c>
      <c r="C3" s="110">
        <f>InputB!$C$3</f>
        <v>2024</v>
      </c>
      <c r="D3"/>
      <c r="E3"/>
      <c r="F3"/>
      <c r="G3"/>
      <c r="H3"/>
      <c r="I3"/>
      <c r="J3" s="106" t="s">
        <v>103</v>
      </c>
    </row>
    <row r="4" ht="15.75" customHeight="1" thickBot="1"/>
    <row r="5" spans="1:10" ht="15.75" customHeight="1">
      <c r="A5" s="112" t="str">
        <f>"Calendar Year "&amp;FIXED(ReportYear-1,0,TRUE)</f>
        <v>Calendar Year 2023</v>
      </c>
      <c r="B5" s="113"/>
      <c r="C5" s="622"/>
      <c r="D5" s="611" t="str">
        <f>Exh1A!D5</f>
        <v>Col (1)</v>
      </c>
      <c r="E5" s="611" t="str">
        <f>Exh1A!E5</f>
        <v>Col (2)</v>
      </c>
      <c r="F5" s="611" t="str">
        <f>Exh1A!F5</f>
        <v>Col (3)</v>
      </c>
      <c r="G5" s="611" t="str">
        <f>Exh1A!G5</f>
        <v>Col (4)</v>
      </c>
      <c r="H5" s="612"/>
      <c r="I5" s="611" t="str">
        <f>Exh1A!I5</f>
        <v>Col (5)</v>
      </c>
      <c r="J5" s="619" t="str">
        <f>Exh1A!J5</f>
        <v>Col (6)</v>
      </c>
    </row>
    <row r="6" spans="1:10" ht="15.75" customHeight="1">
      <c r="A6" s="131" t="s">
        <v>59</v>
      </c>
      <c r="B6" s="117" t="s">
        <v>59</v>
      </c>
      <c r="C6" s="117"/>
      <c r="D6" s="111" t="str">
        <f>Exh1A!D6</f>
        <v>Direct</v>
      </c>
      <c r="E6" s="111" t="str">
        <f>Exh1A!E6</f>
        <v>Direct</v>
      </c>
      <c r="F6" s="111" t="str">
        <f>Exh1A!F6</f>
        <v>Dividends</v>
      </c>
      <c r="G6" s="111" t="str">
        <f>Exh1A!G6</f>
        <v>Direct</v>
      </c>
      <c r="H6" s="111"/>
      <c r="I6" s="111" t="str">
        <f>Exh1A!I6</f>
        <v>Direct</v>
      </c>
      <c r="J6" s="135" t="str">
        <f>Exh1A!J6</f>
        <v>Direct</v>
      </c>
    </row>
    <row r="7" spans="1:10" ht="15.75" customHeight="1">
      <c r="A7" s="131" t="s">
        <v>59</v>
      </c>
      <c r="B7" s="117" t="s">
        <v>59</v>
      </c>
      <c r="C7" s="117"/>
      <c r="D7" s="111" t="str">
        <f>Exh1A!D7</f>
        <v>Written</v>
      </c>
      <c r="E7" s="111" t="str">
        <f>Exh1A!E7</f>
        <v>Earned</v>
      </c>
      <c r="F7" s="111" t="str">
        <f>Exh1A!F7</f>
        <v>on Direct</v>
      </c>
      <c r="G7" s="111" t="str">
        <f>Exh1A!G7</f>
        <v>Unearned</v>
      </c>
      <c r="H7" s="111"/>
      <c r="I7" s="111" t="str">
        <f>Exh1A!I7</f>
        <v>Unpaid</v>
      </c>
      <c r="J7" s="135" t="str">
        <f>Exh1A!J7</f>
        <v>Unpaid</v>
      </c>
    </row>
    <row r="8" spans="1:10" ht="15.75" customHeight="1">
      <c r="A8" s="131" t="s">
        <v>59</v>
      </c>
      <c r="B8" s="117" t="s">
        <v>59</v>
      </c>
      <c r="C8" s="117"/>
      <c r="D8" s="123" t="str">
        <f>Exh1A!D8</f>
        <v>Premium</v>
      </c>
      <c r="E8" s="123" t="str">
        <f>Exh1A!E8</f>
        <v>Premium</v>
      </c>
      <c r="F8" s="123" t="str">
        <f>Exh1A!F8</f>
        <v>Business</v>
      </c>
      <c r="G8" s="123" t="str">
        <f>Exh1A!G8</f>
        <v>Premium</v>
      </c>
      <c r="H8" s="123"/>
      <c r="I8" s="123" t="str">
        <f>Exh1A!I8</f>
        <v>Losses</v>
      </c>
      <c r="J8" s="620" t="str">
        <f>Exh1A!J8</f>
        <v>D&amp;CCE</v>
      </c>
    </row>
    <row r="9" spans="1:10" ht="15.75" customHeight="1">
      <c r="A9" s="132" t="str">
        <f>InputB!B10</f>
        <v>Item 1</v>
      </c>
      <c r="B9" s="117" t="str">
        <f>Exh1A!$B9</f>
        <v>Total as Reported on State Page Exhibit</v>
      </c>
      <c r="C9" s="117"/>
      <c r="D9" s="37">
        <f>InputB!$E$10</f>
        <v>0</v>
      </c>
      <c r="E9" s="37">
        <f>InputB!$E$15</f>
        <v>0</v>
      </c>
      <c r="F9" s="37">
        <f>InputB!$E$20+InputB!$E$24</f>
        <v>0</v>
      </c>
      <c r="G9" s="37">
        <f>InputB!$E$28</f>
        <v>0</v>
      </c>
      <c r="H9" s="480"/>
      <c r="I9" s="37">
        <f>InputB!$E$33</f>
        <v>0</v>
      </c>
      <c r="J9" s="80">
        <f>InputB!$E$38</f>
        <v>0</v>
      </c>
    </row>
    <row r="10" spans="1:10" ht="15.75" customHeight="1">
      <c r="A10" s="132" t="s">
        <v>1</v>
      </c>
      <c r="B10" s="117" t="str">
        <f>Exh1A!$B10</f>
        <v>Exclusions Reported on State Page Exhibit</v>
      </c>
      <c r="C10" s="117"/>
      <c r="D10" s="37">
        <f>SUM(InputB!$E$11:$E$11)</f>
        <v>0</v>
      </c>
      <c r="E10" s="37">
        <f>SUM(InputB!$E$16:$E$16)</f>
        <v>0</v>
      </c>
      <c r="F10" s="37">
        <f>SUM(InputB!$E$21:$E$21,InputB!$E$25:$E$25)</f>
        <v>0</v>
      </c>
      <c r="G10" s="37">
        <f>SUM(InputB!$E$29:$E$29)</f>
        <v>0</v>
      </c>
      <c r="H10" s="480"/>
      <c r="I10" s="37">
        <f>SUM(InputB!$E$34:$E$34)</f>
        <v>0</v>
      </c>
      <c r="J10" s="626">
        <f>SUM(InputB!$E$39:$E$39)</f>
        <v>0</v>
      </c>
    </row>
    <row r="11" spans="1:10" ht="15.75" customHeight="1">
      <c r="A11" s="132" t="s">
        <v>2</v>
      </c>
      <c r="B11" s="117" t="str">
        <f>Exh1A!$B11</f>
        <v>Excess Profit Data [Item 1 -  Item 2]</v>
      </c>
      <c r="C11" s="117"/>
      <c r="D11" s="37">
        <f>D9-D10</f>
        <v>0</v>
      </c>
      <c r="E11" s="37">
        <f>E9-E10</f>
        <v>0</v>
      </c>
      <c r="F11" s="37">
        <f>F9-F10</f>
        <v>0</v>
      </c>
      <c r="G11" s="37">
        <f>G9-G10</f>
        <v>0</v>
      </c>
      <c r="H11" s="480"/>
      <c r="I11" s="37">
        <f>I9-I10</f>
        <v>0</v>
      </c>
      <c r="J11" s="44">
        <f>J9-J10</f>
        <v>0</v>
      </c>
    </row>
    <row r="12" spans="1:10" ht="15.75" customHeight="1">
      <c r="A12" s="132" t="str">
        <f>InputB!B12</f>
        <v>Item 4</v>
      </c>
      <c r="B12" s="133" t="str">
        <f>Exh1A!$B12</f>
        <v>UCJF Assessments &amp; Excess Medical Benefits</v>
      </c>
      <c r="C12" s="117"/>
      <c r="D12" s="39" t="str">
        <f>InputB!$E$12</f>
        <v>XXX</v>
      </c>
      <c r="E12" s="39" t="str">
        <f>$D$12</f>
        <v>XXX</v>
      </c>
      <c r="F12" s="39" t="str">
        <f>$D$12</f>
        <v>XXX</v>
      </c>
      <c r="G12" s="39" t="str">
        <f>$D$12</f>
        <v>XXX</v>
      </c>
      <c r="H12" s="479"/>
      <c r="I12" s="39" t="str">
        <f>$D$12</f>
        <v>XXX</v>
      </c>
      <c r="J12" s="79" t="str">
        <f>$D$12</f>
        <v>XXX</v>
      </c>
    </row>
    <row r="13" spans="1:10" ht="15.75" customHeight="1">
      <c r="A13" s="473"/>
      <c r="B13" s="117"/>
      <c r="C13" s="117"/>
      <c r="D13" s="37"/>
      <c r="E13" s="37"/>
      <c r="F13" s="37"/>
      <c r="G13" s="37"/>
      <c r="H13" s="480"/>
      <c r="I13" s="37"/>
      <c r="J13" s="173"/>
    </row>
    <row r="14" spans="1:10" ht="15.75" customHeight="1">
      <c r="A14" s="132" t="s">
        <v>3</v>
      </c>
      <c r="B14" s="117" t="str">
        <f>Exh1A!$B14</f>
        <v>Refund of Excess Profit, included in Col (3)</v>
      </c>
      <c r="C14" s="117"/>
      <c r="D14" s="39" t="str">
        <f>$D$12</f>
        <v>XXX</v>
      </c>
      <c r="E14" s="39" t="str">
        <f>$D$12</f>
        <v>XXX</v>
      </c>
      <c r="F14" s="490" t="s">
        <v>0</v>
      </c>
      <c r="G14" s="39" t="str">
        <f>$D$12</f>
        <v>XXX</v>
      </c>
      <c r="H14" s="479"/>
      <c r="I14" s="39" t="str">
        <f>$D$12</f>
        <v>XXX</v>
      </c>
      <c r="J14" s="40" t="str">
        <f>$D$12</f>
        <v>XXX</v>
      </c>
    </row>
    <row r="15" spans="1:10" ht="15.75" customHeight="1" thickBot="1">
      <c r="A15" s="134" t="s">
        <v>4</v>
      </c>
      <c r="B15" s="129" t="str">
        <f>Exh1A!$B15</f>
        <v>All Other Dividends, included in Col (3)</v>
      </c>
      <c r="C15" s="129"/>
      <c r="D15" s="276" t="str">
        <f>$D$12</f>
        <v>XXX</v>
      </c>
      <c r="E15" s="276" t="str">
        <f>$D$12</f>
        <v>XXX</v>
      </c>
      <c r="F15" s="542" t="s">
        <v>0</v>
      </c>
      <c r="G15" s="276" t="str">
        <f>$D$12</f>
        <v>XXX</v>
      </c>
      <c r="H15" s="572"/>
      <c r="I15" s="276" t="str">
        <f>$D$12</f>
        <v>XXX</v>
      </c>
      <c r="J15" s="277" t="str">
        <f>$D$12</f>
        <v>XXX</v>
      </c>
    </row>
    <row r="16" ht="15.75" customHeight="1" thickBot="1"/>
    <row r="17" spans="1:10" ht="15.75" customHeight="1">
      <c r="A17" s="112" t="str">
        <f>"Calendar Year "&amp;FIXED(ReportYear-2,0,TRUE)</f>
        <v>Calendar Year 2022</v>
      </c>
      <c r="B17" s="113"/>
      <c r="C17" s="622"/>
      <c r="D17" s="611" t="str">
        <f>D5</f>
        <v>Col (1)</v>
      </c>
      <c r="E17" s="611" t="str">
        <f>$E$5</f>
        <v>Col (2)</v>
      </c>
      <c r="F17" s="611" t="str">
        <f>$F$5</f>
        <v>Col (3)</v>
      </c>
      <c r="G17" s="611" t="str">
        <f>$G$5</f>
        <v>Col (4)</v>
      </c>
      <c r="H17" s="612"/>
      <c r="I17" s="611" t="str">
        <f>$I$5</f>
        <v>Col (5)</v>
      </c>
      <c r="J17" s="619" t="str">
        <f>$J$5</f>
        <v>Col (6)</v>
      </c>
    </row>
    <row r="18" spans="1:10" ht="15.75" customHeight="1">
      <c r="A18" s="131"/>
      <c r="B18" s="117"/>
      <c r="C18" s="117"/>
      <c r="D18" s="111" t="str">
        <f>D6</f>
        <v>Direct</v>
      </c>
      <c r="E18" s="111" t="str">
        <f aca="true" t="shared" si="0" ref="E18:G20">E6</f>
        <v>Direct</v>
      </c>
      <c r="F18" s="111" t="str">
        <f t="shared" si="0"/>
        <v>Dividends</v>
      </c>
      <c r="G18" s="111" t="str">
        <f t="shared" si="0"/>
        <v>Direct</v>
      </c>
      <c r="H18" s="111"/>
      <c r="I18" s="111" t="str">
        <f aca="true" t="shared" si="1" ref="I18:J20">I6</f>
        <v>Direct</v>
      </c>
      <c r="J18" s="135" t="str">
        <f t="shared" si="1"/>
        <v>Direct</v>
      </c>
    </row>
    <row r="19" spans="1:10" ht="15.75" customHeight="1">
      <c r="A19" s="131"/>
      <c r="B19" s="117"/>
      <c r="C19" s="117"/>
      <c r="D19" s="111" t="str">
        <f>D7</f>
        <v>Written</v>
      </c>
      <c r="E19" s="111" t="str">
        <f t="shared" si="0"/>
        <v>Earned</v>
      </c>
      <c r="F19" s="111" t="str">
        <f t="shared" si="0"/>
        <v>on Direct</v>
      </c>
      <c r="G19" s="111" t="str">
        <f t="shared" si="0"/>
        <v>Unearned</v>
      </c>
      <c r="H19" s="111"/>
      <c r="I19" s="111" t="str">
        <f t="shared" si="1"/>
        <v>Unpaid</v>
      </c>
      <c r="J19" s="135" t="str">
        <f t="shared" si="1"/>
        <v>Unpaid</v>
      </c>
    </row>
    <row r="20" spans="1:10" ht="15.75" customHeight="1">
      <c r="A20" s="131"/>
      <c r="B20" s="117"/>
      <c r="C20" s="117"/>
      <c r="D20" s="123" t="str">
        <f>D8</f>
        <v>Premium</v>
      </c>
      <c r="E20" s="123" t="str">
        <f t="shared" si="0"/>
        <v>Premium</v>
      </c>
      <c r="F20" s="123" t="str">
        <f t="shared" si="0"/>
        <v>Business</v>
      </c>
      <c r="G20" s="123" t="str">
        <f t="shared" si="0"/>
        <v>Premium</v>
      </c>
      <c r="H20" s="123"/>
      <c r="I20" s="123" t="str">
        <f t="shared" si="1"/>
        <v>Losses</v>
      </c>
      <c r="J20" s="620" t="str">
        <f t="shared" si="1"/>
        <v>D&amp;CCE</v>
      </c>
    </row>
    <row r="21" spans="1:10" ht="15.75" customHeight="1">
      <c r="A21" s="132" t="str">
        <f aca="true" t="shared" si="2" ref="A21:B24">A9</f>
        <v>Item 1</v>
      </c>
      <c r="B21" s="117" t="str">
        <f t="shared" si="2"/>
        <v>Total as Reported on State Page Exhibit</v>
      </c>
      <c r="C21" s="117"/>
      <c r="D21" s="37">
        <f>InputB!$F$10</f>
        <v>0</v>
      </c>
      <c r="E21" s="37">
        <f>InputB!$F$15</f>
        <v>0</v>
      </c>
      <c r="F21" s="37">
        <f>InputB!$F$20+InputB!$F$24</f>
        <v>0</v>
      </c>
      <c r="G21" s="37">
        <f>InputB!$F$28</f>
        <v>0</v>
      </c>
      <c r="H21" s="480"/>
      <c r="I21" s="37">
        <f>InputB!$F$33</f>
        <v>0</v>
      </c>
      <c r="J21" s="80">
        <f>InputB!$F$38</f>
        <v>0</v>
      </c>
    </row>
    <row r="22" spans="1:10" ht="15.75" customHeight="1">
      <c r="A22" s="132" t="str">
        <f t="shared" si="2"/>
        <v>Item 2</v>
      </c>
      <c r="B22" s="117" t="str">
        <f t="shared" si="2"/>
        <v>Exclusions Reported on State Page Exhibit</v>
      </c>
      <c r="C22" s="117"/>
      <c r="D22" s="37">
        <f>SUM(InputB!$F$11:$F$11)</f>
        <v>0</v>
      </c>
      <c r="E22" s="37">
        <f>SUM(InputB!$F$16:$F$16)</f>
        <v>0</v>
      </c>
      <c r="F22" s="37">
        <f>SUM(InputB!$F$21:$F$21,InputB!$F$25:$F$25)</f>
        <v>0</v>
      </c>
      <c r="G22" s="37">
        <f>SUM(InputB!$F$29:$F$29)</f>
        <v>0</v>
      </c>
      <c r="H22" s="480"/>
      <c r="I22" s="37">
        <f>SUM(InputB!$F$34:$F$34)</f>
        <v>0</v>
      </c>
      <c r="J22" s="626">
        <f>SUM(InputB!$F$39:$F$39)</f>
        <v>0</v>
      </c>
    </row>
    <row r="23" spans="1:10" ht="15.75" customHeight="1">
      <c r="A23" s="132" t="str">
        <f t="shared" si="2"/>
        <v>Item 3</v>
      </c>
      <c r="B23" s="117" t="str">
        <f t="shared" si="2"/>
        <v>Excess Profit Data [Item 1 -  Item 2]</v>
      </c>
      <c r="C23" s="117"/>
      <c r="D23" s="37">
        <f>D21-D22</f>
        <v>0</v>
      </c>
      <c r="E23" s="37">
        <f>E21-E22</f>
        <v>0</v>
      </c>
      <c r="F23" s="37">
        <f>F21-F22</f>
        <v>0</v>
      </c>
      <c r="G23" s="37">
        <f>G21-G22</f>
        <v>0</v>
      </c>
      <c r="H23" s="480"/>
      <c r="I23" s="37">
        <f>I21-I22</f>
        <v>0</v>
      </c>
      <c r="J23" s="44">
        <f>J21-J22</f>
        <v>0</v>
      </c>
    </row>
    <row r="24" spans="1:10" ht="15.75" customHeight="1">
      <c r="A24" s="132" t="str">
        <f t="shared" si="2"/>
        <v>Item 4</v>
      </c>
      <c r="B24" s="133" t="str">
        <f t="shared" si="2"/>
        <v>UCJF Assessments &amp; Excess Medical Benefits</v>
      </c>
      <c r="C24" s="117"/>
      <c r="D24" s="39" t="str">
        <f>$D$12</f>
        <v>XXX</v>
      </c>
      <c r="E24" s="39" t="str">
        <f aca="true" t="shared" si="3" ref="E24:J24">$D$12</f>
        <v>XXX</v>
      </c>
      <c r="F24" s="39" t="str">
        <f t="shared" si="3"/>
        <v>XXX</v>
      </c>
      <c r="G24" s="39" t="str">
        <f t="shared" si="3"/>
        <v>XXX</v>
      </c>
      <c r="H24" s="479"/>
      <c r="I24" s="39" t="str">
        <f t="shared" si="3"/>
        <v>XXX</v>
      </c>
      <c r="J24" s="79" t="str">
        <f t="shared" si="3"/>
        <v>XXX</v>
      </c>
    </row>
    <row r="25" spans="1:10" ht="15.75" customHeight="1">
      <c r="A25" s="473"/>
      <c r="B25" s="117"/>
      <c r="C25" s="117"/>
      <c r="D25" s="37"/>
      <c r="E25" s="37"/>
      <c r="F25" s="37"/>
      <c r="G25" s="37"/>
      <c r="H25" s="480"/>
      <c r="I25" s="37"/>
      <c r="J25" s="173"/>
    </row>
    <row r="26" spans="1:10" ht="15.75" customHeight="1">
      <c r="A26" s="132" t="str">
        <f>A14</f>
        <v>Item 5</v>
      </c>
      <c r="B26" s="117" t="str">
        <f>B14</f>
        <v>Refund of Excess Profit, included in Col (3)</v>
      </c>
      <c r="C26" s="117"/>
      <c r="D26" s="39" t="str">
        <f>$D$12</f>
        <v>XXX</v>
      </c>
      <c r="E26" s="39" t="str">
        <f>$D$12</f>
        <v>XXX</v>
      </c>
      <c r="F26" s="490" t="s">
        <v>0</v>
      </c>
      <c r="G26" s="39" t="str">
        <f aca="true" t="shared" si="4" ref="G26:J27">$D$12</f>
        <v>XXX</v>
      </c>
      <c r="H26" s="479"/>
      <c r="I26" s="39" t="str">
        <f t="shared" si="4"/>
        <v>XXX</v>
      </c>
      <c r="J26" s="40" t="str">
        <f t="shared" si="4"/>
        <v>XXX</v>
      </c>
    </row>
    <row r="27" spans="1:10" ht="15.75" customHeight="1" thickBot="1">
      <c r="A27" s="134" t="str">
        <f>A15</f>
        <v>Item 6</v>
      </c>
      <c r="B27" s="129" t="str">
        <f>B15</f>
        <v>All Other Dividends, included in Col (3)</v>
      </c>
      <c r="C27" s="129"/>
      <c r="D27" s="276" t="str">
        <f>$D$12</f>
        <v>XXX</v>
      </c>
      <c r="E27" s="276" t="str">
        <f>$D$12</f>
        <v>XXX</v>
      </c>
      <c r="F27" s="542" t="s">
        <v>0</v>
      </c>
      <c r="G27" s="276" t="str">
        <f>$D$12</f>
        <v>XXX</v>
      </c>
      <c r="H27" s="572"/>
      <c r="I27" s="276" t="str">
        <f t="shared" si="4"/>
        <v>XXX</v>
      </c>
      <c r="J27" s="277" t="str">
        <f t="shared" si="4"/>
        <v>XXX</v>
      </c>
    </row>
    <row r="28" ht="15.75" customHeight="1" thickBot="1"/>
    <row r="29" spans="1:10" ht="15.75" customHeight="1">
      <c r="A29" s="112" t="str">
        <f>"Calendar Year "&amp;FIXED(ReportYear-3,0,TRUE)</f>
        <v>Calendar Year 2021</v>
      </c>
      <c r="B29" s="113"/>
      <c r="C29" s="622"/>
      <c r="D29" s="611" t="str">
        <f>D17</f>
        <v>Col (1)</v>
      </c>
      <c r="E29" s="611" t="str">
        <f>$E$5</f>
        <v>Col (2)</v>
      </c>
      <c r="F29" s="611" t="str">
        <f>$F$5</f>
        <v>Col (3)</v>
      </c>
      <c r="G29" s="611" t="str">
        <f>$G$5</f>
        <v>Col (4)</v>
      </c>
      <c r="H29" s="612"/>
      <c r="I29" s="611" t="str">
        <f>$I$5</f>
        <v>Col (5)</v>
      </c>
      <c r="J29" s="619" t="str">
        <f>$J$5</f>
        <v>Col (6)</v>
      </c>
    </row>
    <row r="30" spans="1:10" ht="15.75" customHeight="1">
      <c r="A30" s="131"/>
      <c r="B30" s="117"/>
      <c r="C30" s="117"/>
      <c r="D30" s="111" t="str">
        <f>D18</f>
        <v>Direct</v>
      </c>
      <c r="E30" s="111" t="str">
        <f aca="true" t="shared" si="5" ref="E30:G32">E18</f>
        <v>Direct</v>
      </c>
      <c r="F30" s="111" t="str">
        <f t="shared" si="5"/>
        <v>Dividends</v>
      </c>
      <c r="G30" s="111" t="str">
        <f t="shared" si="5"/>
        <v>Direct</v>
      </c>
      <c r="H30" s="111"/>
      <c r="I30" s="111" t="str">
        <f aca="true" t="shared" si="6" ref="I30:J32">I18</f>
        <v>Direct</v>
      </c>
      <c r="J30" s="135" t="str">
        <f t="shared" si="6"/>
        <v>Direct</v>
      </c>
    </row>
    <row r="31" spans="1:10" ht="15.75" customHeight="1">
      <c r="A31" s="131"/>
      <c r="B31" s="117"/>
      <c r="C31" s="117"/>
      <c r="D31" s="111" t="str">
        <f>D19</f>
        <v>Written</v>
      </c>
      <c r="E31" s="111" t="str">
        <f t="shared" si="5"/>
        <v>Earned</v>
      </c>
      <c r="F31" s="111" t="str">
        <f t="shared" si="5"/>
        <v>on Direct</v>
      </c>
      <c r="G31" s="111" t="str">
        <f t="shared" si="5"/>
        <v>Unearned</v>
      </c>
      <c r="H31" s="111"/>
      <c r="I31" s="111" t="str">
        <f t="shared" si="6"/>
        <v>Unpaid</v>
      </c>
      <c r="J31" s="135" t="str">
        <f t="shared" si="6"/>
        <v>Unpaid</v>
      </c>
    </row>
    <row r="32" spans="1:10" ht="15.75" customHeight="1">
      <c r="A32" s="131"/>
      <c r="B32" s="117"/>
      <c r="C32" s="117"/>
      <c r="D32" s="123" t="str">
        <f>D20</f>
        <v>Premium</v>
      </c>
      <c r="E32" s="123" t="str">
        <f t="shared" si="5"/>
        <v>Premium</v>
      </c>
      <c r="F32" s="123" t="str">
        <f t="shared" si="5"/>
        <v>Business</v>
      </c>
      <c r="G32" s="123" t="str">
        <f t="shared" si="5"/>
        <v>Premium</v>
      </c>
      <c r="H32" s="123"/>
      <c r="I32" s="123" t="str">
        <f t="shared" si="6"/>
        <v>Losses</v>
      </c>
      <c r="J32" s="620" t="str">
        <f t="shared" si="6"/>
        <v>D&amp;CCE</v>
      </c>
    </row>
    <row r="33" spans="1:10" ht="15.75" customHeight="1">
      <c r="A33" s="132" t="str">
        <f aca="true" t="shared" si="7" ref="A33:B36">A21</f>
        <v>Item 1</v>
      </c>
      <c r="B33" s="117" t="str">
        <f t="shared" si="7"/>
        <v>Total as Reported on State Page Exhibit</v>
      </c>
      <c r="C33" s="117"/>
      <c r="D33" s="37">
        <f>InputB!$G$10</f>
        <v>0</v>
      </c>
      <c r="E33" s="37">
        <f>InputB!$G$15</f>
        <v>0</v>
      </c>
      <c r="F33" s="37">
        <f>InputB!$G$20+InputB!$G$24</f>
        <v>0</v>
      </c>
      <c r="G33" s="37">
        <f>InputB!$G$28</f>
        <v>0</v>
      </c>
      <c r="H33" s="480"/>
      <c r="I33" s="37">
        <f>InputB!$G$33</f>
        <v>0</v>
      </c>
      <c r="J33" s="80">
        <f>InputB!$G$38</f>
        <v>0</v>
      </c>
    </row>
    <row r="34" spans="1:10" ht="15.75" customHeight="1">
      <c r="A34" s="132" t="str">
        <f t="shared" si="7"/>
        <v>Item 2</v>
      </c>
      <c r="B34" s="117" t="str">
        <f t="shared" si="7"/>
        <v>Exclusions Reported on State Page Exhibit</v>
      </c>
      <c r="C34" s="117"/>
      <c r="D34" s="37">
        <f>SUM(InputB!$G$11:$G$11)</f>
        <v>0</v>
      </c>
      <c r="E34" s="37">
        <f>SUM(InputB!$G$16:$G$16)</f>
        <v>0</v>
      </c>
      <c r="F34" s="37">
        <f>SUM(InputB!$G$21:$G$21,InputB!$G$25:$G$25)</f>
        <v>0</v>
      </c>
      <c r="G34" s="37">
        <f>SUM(InputB!$G$29:$G$29)</f>
        <v>0</v>
      </c>
      <c r="H34" s="480"/>
      <c r="I34" s="37">
        <f>SUM(InputB!$G$34:$G$34)</f>
        <v>0</v>
      </c>
      <c r="J34" s="626">
        <f>SUM(InputB!$G$39:$G$39)</f>
        <v>0</v>
      </c>
    </row>
    <row r="35" spans="1:10" ht="15.75" customHeight="1">
      <c r="A35" s="132" t="str">
        <f t="shared" si="7"/>
        <v>Item 3</v>
      </c>
      <c r="B35" s="117" t="str">
        <f t="shared" si="7"/>
        <v>Excess Profit Data [Item 1 -  Item 2]</v>
      </c>
      <c r="C35" s="117"/>
      <c r="D35" s="37">
        <f>D33-D34</f>
        <v>0</v>
      </c>
      <c r="E35" s="37">
        <f>E33-E34</f>
        <v>0</v>
      </c>
      <c r="F35" s="37">
        <f>F33-F34</f>
        <v>0</v>
      </c>
      <c r="G35" s="37">
        <f>G33-G34</f>
        <v>0</v>
      </c>
      <c r="H35" s="480"/>
      <c r="I35" s="37">
        <f>I33-I34</f>
        <v>0</v>
      </c>
      <c r="J35" s="37">
        <f>J33-J34</f>
        <v>0</v>
      </c>
    </row>
    <row r="36" spans="1:10" ht="15.75" customHeight="1">
      <c r="A36" s="132" t="str">
        <f t="shared" si="7"/>
        <v>Item 4</v>
      </c>
      <c r="B36" s="133" t="str">
        <f t="shared" si="7"/>
        <v>UCJF Assessments &amp; Excess Medical Benefits</v>
      </c>
      <c r="C36" s="117"/>
      <c r="D36" s="39" t="str">
        <f>$D$12</f>
        <v>XXX</v>
      </c>
      <c r="E36" s="39" t="str">
        <f>$D$12</f>
        <v>XXX</v>
      </c>
      <c r="F36" s="39" t="str">
        <f>$D$12</f>
        <v>XXX</v>
      </c>
      <c r="G36" s="39" t="str">
        <f>$D$12</f>
        <v>XXX</v>
      </c>
      <c r="H36" s="479"/>
      <c r="I36" s="39" t="str">
        <f>$D$12</f>
        <v>XXX</v>
      </c>
      <c r="J36" s="79" t="str">
        <f>$D$12</f>
        <v>XXX</v>
      </c>
    </row>
    <row r="37" spans="1:10" ht="15.75" customHeight="1">
      <c r="A37" s="473"/>
      <c r="B37" s="117"/>
      <c r="C37" s="117"/>
      <c r="D37" s="37"/>
      <c r="E37" s="37"/>
      <c r="F37" s="37"/>
      <c r="G37" s="37"/>
      <c r="H37" s="480"/>
      <c r="I37" s="37"/>
      <c r="J37" s="173"/>
    </row>
    <row r="38" spans="1:10" ht="15.75" customHeight="1">
      <c r="A38" s="132" t="str">
        <f>A26</f>
        <v>Item 5</v>
      </c>
      <c r="B38" s="117" t="str">
        <f>B26</f>
        <v>Refund of Excess Profit, included in Col (3)</v>
      </c>
      <c r="C38" s="117"/>
      <c r="D38" s="39" t="str">
        <f aca="true" t="shared" si="8" ref="D38:J39">$D$12</f>
        <v>XXX</v>
      </c>
      <c r="E38" s="39" t="str">
        <f t="shared" si="8"/>
        <v>XXX</v>
      </c>
      <c r="F38" s="490" t="s">
        <v>0</v>
      </c>
      <c r="G38" s="39" t="str">
        <f t="shared" si="8"/>
        <v>XXX</v>
      </c>
      <c r="H38" s="479"/>
      <c r="I38" s="39" t="str">
        <f t="shared" si="8"/>
        <v>XXX</v>
      </c>
      <c r="J38" s="40" t="str">
        <f t="shared" si="8"/>
        <v>XXX</v>
      </c>
    </row>
    <row r="39" spans="1:10" ht="15.75" customHeight="1" thickBot="1">
      <c r="A39" s="134" t="str">
        <f>A27</f>
        <v>Item 6</v>
      </c>
      <c r="B39" s="129" t="str">
        <f>B27</f>
        <v>All Other Dividends, included in Col (3)</v>
      </c>
      <c r="C39" s="129"/>
      <c r="D39" s="276" t="str">
        <f t="shared" si="8"/>
        <v>XXX</v>
      </c>
      <c r="E39" s="276" t="str">
        <f t="shared" si="8"/>
        <v>XXX</v>
      </c>
      <c r="F39" s="542" t="s">
        <v>0</v>
      </c>
      <c r="G39" s="276" t="str">
        <f t="shared" si="8"/>
        <v>XXX</v>
      </c>
      <c r="H39" s="572"/>
      <c r="I39" s="276" t="str">
        <f t="shared" si="8"/>
        <v>XXX</v>
      </c>
      <c r="J39" s="277" t="str">
        <f t="shared" si="8"/>
        <v>XXX</v>
      </c>
    </row>
    <row r="42" spans="1:10" ht="15.75" customHeight="1">
      <c r="A42" s="103" t="str">
        <f>InputB!$A$1</f>
        <v>Group Name:</v>
      </c>
      <c r="C42" s="105" t="str">
        <f>InputB!$C$1</f>
        <v>enter group name here</v>
      </c>
      <c r="D42"/>
      <c r="E42"/>
      <c r="F42"/>
      <c r="G42"/>
      <c r="H42"/>
      <c r="I42"/>
      <c r="J42" s="106" t="s">
        <v>153</v>
      </c>
    </row>
    <row r="43" spans="1:10" ht="15.75" customHeight="1">
      <c r="A43" s="108" t="str">
        <f>InputB!$A$2</f>
        <v>Group NAIC #:</v>
      </c>
      <c r="C43" s="105" t="str">
        <f>InputB!$C$2</f>
        <v>enter group # here</v>
      </c>
      <c r="D43"/>
      <c r="E43"/>
      <c r="F43"/>
      <c r="G43"/>
      <c r="H43"/>
      <c r="I43"/>
      <c r="J43" s="107" t="s">
        <v>362</v>
      </c>
    </row>
    <row r="44" spans="1:10" ht="15.75" customHeight="1">
      <c r="A44" s="103" t="str">
        <f>InputB!$A$3</f>
        <v>Year Filed:</v>
      </c>
      <c r="C44" s="110">
        <f>InputB!$C$3</f>
        <v>2024</v>
      </c>
      <c r="D44"/>
      <c r="E44"/>
      <c r="F44"/>
      <c r="G44"/>
      <c r="H44"/>
      <c r="I44"/>
      <c r="J44" s="106" t="s">
        <v>116</v>
      </c>
    </row>
    <row r="45" ht="15.75" customHeight="1" thickBot="1"/>
    <row r="46" spans="1:10" ht="15.75" customHeight="1">
      <c r="A46" s="112" t="str">
        <f>"Calendar Year "&amp;FIXED(ReportYear-4,0,TRUE)</f>
        <v>Calendar Year 2020</v>
      </c>
      <c r="B46" s="113"/>
      <c r="C46" s="622"/>
      <c r="D46" s="611" t="str">
        <f>D29</f>
        <v>Col (1)</v>
      </c>
      <c r="E46" s="611" t="str">
        <f>$E$5</f>
        <v>Col (2)</v>
      </c>
      <c r="F46" s="611" t="str">
        <f>$F$5</f>
        <v>Col (3)</v>
      </c>
      <c r="G46" s="611" t="str">
        <f>$G$5</f>
        <v>Col (4)</v>
      </c>
      <c r="H46" s="612"/>
      <c r="I46" s="611" t="str">
        <f>$I$5</f>
        <v>Col (5)</v>
      </c>
      <c r="J46" s="619" t="str">
        <f>$J$5</f>
        <v>Col (6)</v>
      </c>
    </row>
    <row r="47" spans="1:10" ht="15.75" customHeight="1">
      <c r="A47" s="131"/>
      <c r="B47" s="117"/>
      <c r="C47" s="114"/>
      <c r="D47" s="111" t="str">
        <f>D30</f>
        <v>Direct</v>
      </c>
      <c r="E47" s="111" t="str">
        <f aca="true" t="shared" si="9" ref="E47:G49">E30</f>
        <v>Direct</v>
      </c>
      <c r="F47" s="111" t="str">
        <f t="shared" si="9"/>
        <v>Dividends</v>
      </c>
      <c r="G47" s="111" t="str">
        <f t="shared" si="9"/>
        <v>Direct</v>
      </c>
      <c r="H47" s="111"/>
      <c r="I47" s="111" t="str">
        <f aca="true" t="shared" si="10" ref="I47:J49">I30</f>
        <v>Direct</v>
      </c>
      <c r="J47" s="135" t="str">
        <f t="shared" si="10"/>
        <v>Direct</v>
      </c>
    </row>
    <row r="48" spans="1:10" ht="15.75" customHeight="1">
      <c r="A48" s="131"/>
      <c r="B48" s="117"/>
      <c r="C48" s="114"/>
      <c r="D48" s="111" t="str">
        <f>D31</f>
        <v>Written</v>
      </c>
      <c r="E48" s="111" t="str">
        <f t="shared" si="9"/>
        <v>Earned</v>
      </c>
      <c r="F48" s="111" t="str">
        <f t="shared" si="9"/>
        <v>on Direct</v>
      </c>
      <c r="G48" s="111" t="str">
        <f t="shared" si="9"/>
        <v>Unearned</v>
      </c>
      <c r="H48" s="111"/>
      <c r="I48" s="111" t="str">
        <f t="shared" si="10"/>
        <v>Unpaid</v>
      </c>
      <c r="J48" s="135" t="str">
        <f t="shared" si="10"/>
        <v>Unpaid</v>
      </c>
    </row>
    <row r="49" spans="1:10" ht="15.75" customHeight="1">
      <c r="A49" s="131"/>
      <c r="B49" s="117"/>
      <c r="C49" s="117"/>
      <c r="D49" s="123" t="str">
        <f>D32</f>
        <v>Premium</v>
      </c>
      <c r="E49" s="123" t="str">
        <f t="shared" si="9"/>
        <v>Premium</v>
      </c>
      <c r="F49" s="123" t="str">
        <f t="shared" si="9"/>
        <v>Business</v>
      </c>
      <c r="G49" s="123" t="str">
        <f t="shared" si="9"/>
        <v>Premium</v>
      </c>
      <c r="H49" s="123"/>
      <c r="I49" s="123" t="str">
        <f t="shared" si="10"/>
        <v>Losses</v>
      </c>
      <c r="J49" s="620" t="str">
        <f t="shared" si="10"/>
        <v>D&amp;CCE</v>
      </c>
    </row>
    <row r="50" spans="1:10" ht="15.75" customHeight="1">
      <c r="A50" s="132" t="str">
        <f aca="true" t="shared" si="11" ref="A50:B53">A33</f>
        <v>Item 1</v>
      </c>
      <c r="B50" s="117" t="str">
        <f t="shared" si="11"/>
        <v>Total as Reported on State Page Exhibit</v>
      </c>
      <c r="C50" s="117"/>
      <c r="D50" s="37">
        <f>InputB!$H$10</f>
        <v>0</v>
      </c>
      <c r="E50" s="37">
        <f>InputB!$H$15</f>
        <v>0</v>
      </c>
      <c r="F50" s="37">
        <f>InputB!$H$20+InputB!$H$24</f>
        <v>0</v>
      </c>
      <c r="G50" s="37">
        <f>InputB!$H$28</f>
        <v>0</v>
      </c>
      <c r="H50" s="480"/>
      <c r="I50" s="37">
        <f>InputB!$H$33</f>
        <v>0</v>
      </c>
      <c r="J50" s="80">
        <f>InputB!$H$38</f>
        <v>0</v>
      </c>
    </row>
    <row r="51" spans="1:10" ht="15.75" customHeight="1">
      <c r="A51" s="132" t="str">
        <f t="shared" si="11"/>
        <v>Item 2</v>
      </c>
      <c r="B51" s="117" t="str">
        <f t="shared" si="11"/>
        <v>Exclusions Reported on State Page Exhibit</v>
      </c>
      <c r="C51" s="117"/>
      <c r="D51" s="37">
        <f>SUM(InputB!$H$11:$H$11)</f>
        <v>0</v>
      </c>
      <c r="E51" s="37">
        <f>SUM(InputB!$H$16:$H$16)</f>
        <v>0</v>
      </c>
      <c r="F51" s="37">
        <f>SUM(InputB!$H$21:$H$21,InputB!$H$25:$H$25)</f>
        <v>0</v>
      </c>
      <c r="G51" s="37">
        <f>SUM(InputB!$H$29:$H$29)</f>
        <v>0</v>
      </c>
      <c r="H51" s="480"/>
      <c r="I51" s="37">
        <f>SUM(InputB!$H$34:$H$34)</f>
        <v>0</v>
      </c>
      <c r="J51" s="621">
        <f>SUM(InputB!$H$39:$H$39)</f>
        <v>0</v>
      </c>
    </row>
    <row r="52" spans="1:10" ht="15.75" customHeight="1">
      <c r="A52" s="132" t="str">
        <f t="shared" si="11"/>
        <v>Item 3</v>
      </c>
      <c r="B52" s="117" t="str">
        <f t="shared" si="11"/>
        <v>Excess Profit Data [Item 1 -  Item 2]</v>
      </c>
      <c r="C52" s="117"/>
      <c r="D52" s="37">
        <f>D50-D51</f>
        <v>0</v>
      </c>
      <c r="E52" s="37">
        <f>E50-E51</f>
        <v>0</v>
      </c>
      <c r="F52" s="37">
        <f>F50-F51</f>
        <v>0</v>
      </c>
      <c r="G52" s="37">
        <f>G50-G51</f>
        <v>0</v>
      </c>
      <c r="H52" s="480"/>
      <c r="I52" s="37">
        <f>I50-I51</f>
        <v>0</v>
      </c>
      <c r="J52" s="44">
        <f>J50-J51</f>
        <v>0</v>
      </c>
    </row>
    <row r="53" spans="1:10" ht="15.75" customHeight="1">
      <c r="A53" s="132" t="str">
        <f t="shared" si="11"/>
        <v>Item 4</v>
      </c>
      <c r="B53" s="133" t="str">
        <f t="shared" si="11"/>
        <v>UCJF Assessments &amp; Excess Medical Benefits</v>
      </c>
      <c r="C53" s="117"/>
      <c r="D53" s="39" t="str">
        <f>$D$12</f>
        <v>XXX</v>
      </c>
      <c r="E53" s="39" t="str">
        <f>$D$12</f>
        <v>XXX</v>
      </c>
      <c r="F53" s="39" t="str">
        <f>$D$12</f>
        <v>XXX</v>
      </c>
      <c r="G53" s="39" t="str">
        <f>$D$12</f>
        <v>XXX</v>
      </c>
      <c r="H53" s="479"/>
      <c r="I53" s="39" t="str">
        <f>$D$12</f>
        <v>XXX</v>
      </c>
      <c r="J53" s="40" t="str">
        <f>$D$12</f>
        <v>XXX</v>
      </c>
    </row>
    <row r="54" spans="1:10" ht="15.75" customHeight="1">
      <c r="A54" s="473"/>
      <c r="B54" s="117"/>
      <c r="C54" s="117"/>
      <c r="D54" s="37"/>
      <c r="E54" s="37"/>
      <c r="F54" s="37"/>
      <c r="G54" s="37"/>
      <c r="H54" s="480"/>
      <c r="I54" s="37"/>
      <c r="J54" s="173"/>
    </row>
    <row r="55" spans="1:10" ht="15.75" customHeight="1">
      <c r="A55" s="132" t="str">
        <f>A38</f>
        <v>Item 5</v>
      </c>
      <c r="B55" s="117" t="str">
        <f>B38</f>
        <v>Refund of Excess Profit, included in Col (3)</v>
      </c>
      <c r="C55" s="117"/>
      <c r="D55" s="39" t="str">
        <f>$D$12</f>
        <v>XXX</v>
      </c>
      <c r="E55" s="39" t="str">
        <f>$D$12</f>
        <v>XXX</v>
      </c>
      <c r="F55" s="490" t="s">
        <v>0</v>
      </c>
      <c r="G55" s="39" t="str">
        <f>$D$12</f>
        <v>XXX</v>
      </c>
      <c r="H55" s="479"/>
      <c r="I55" s="39" t="str">
        <f>$D$12</f>
        <v>XXX</v>
      </c>
      <c r="J55" s="40" t="str">
        <f>$D$12</f>
        <v>XXX</v>
      </c>
    </row>
    <row r="56" spans="1:10" ht="15.75" customHeight="1" thickBot="1">
      <c r="A56" s="134" t="str">
        <f>A39</f>
        <v>Item 6</v>
      </c>
      <c r="B56" s="129" t="str">
        <f>B39</f>
        <v>All Other Dividends, included in Col (3)</v>
      </c>
      <c r="C56" s="129"/>
      <c r="D56" s="276" t="str">
        <f>$D$12</f>
        <v>XXX</v>
      </c>
      <c r="E56" s="276" t="str">
        <f>$D$12</f>
        <v>XXX</v>
      </c>
      <c r="F56" s="542" t="s">
        <v>0</v>
      </c>
      <c r="G56" s="276" t="str">
        <f>$D$12</f>
        <v>XXX</v>
      </c>
      <c r="H56" s="572"/>
      <c r="I56" s="276" t="str">
        <f>$D$12</f>
        <v>XXX</v>
      </c>
      <c r="J56" s="277" t="str">
        <f>$D$12</f>
        <v>XXX</v>
      </c>
    </row>
    <row r="57" ht="15.75" customHeight="1" thickBot="1"/>
    <row r="58" spans="1:10" ht="15.75" customHeight="1">
      <c r="A58" s="112" t="str">
        <f>"Calendar Year "&amp;FIXED(ReportYear-5,0,TRUE)</f>
        <v>Calendar Year 2019</v>
      </c>
      <c r="B58" s="113"/>
      <c r="C58" s="622"/>
      <c r="D58" s="611" t="str">
        <f>$D$5</f>
        <v>Col (1)</v>
      </c>
      <c r="E58" s="611" t="str">
        <f>$E$5</f>
        <v>Col (2)</v>
      </c>
      <c r="F58" s="611" t="str">
        <f>$F$5</f>
        <v>Col (3)</v>
      </c>
      <c r="G58" s="611" t="str">
        <f>$G$5</f>
        <v>Col (4)</v>
      </c>
      <c r="H58" s="612"/>
      <c r="I58" s="611" t="str">
        <f>$I$5</f>
        <v>Col (5)</v>
      </c>
      <c r="J58" s="619" t="str">
        <f>$J$5</f>
        <v>Col (6)</v>
      </c>
    </row>
    <row r="59" spans="1:10" ht="15.75" customHeight="1">
      <c r="A59" s="131"/>
      <c r="B59" s="117"/>
      <c r="C59" s="114"/>
      <c r="D59" s="111" t="str">
        <f>$D$6</f>
        <v>Direct</v>
      </c>
      <c r="E59" s="115" t="str">
        <f>$E$6</f>
        <v>Direct</v>
      </c>
      <c r="F59" s="111" t="str">
        <f>$F$6</f>
        <v>Dividends</v>
      </c>
      <c r="G59" s="111" t="str">
        <f>$G$6</f>
        <v>Direct</v>
      </c>
      <c r="H59" s="610"/>
      <c r="I59" s="115" t="str">
        <f>$I$6</f>
        <v>Direct</v>
      </c>
      <c r="J59" s="135" t="str">
        <f>$J$6</f>
        <v>Direct</v>
      </c>
    </row>
    <row r="60" spans="1:10" ht="15.75" customHeight="1">
      <c r="A60" s="131"/>
      <c r="B60" s="117"/>
      <c r="C60" s="114"/>
      <c r="D60" s="120" t="str">
        <f>$D$7</f>
        <v>Written</v>
      </c>
      <c r="E60" s="118" t="str">
        <f>$E$7</f>
        <v>Earned</v>
      </c>
      <c r="F60" s="119" t="str">
        <f>$F$7</f>
        <v>on Direct</v>
      </c>
      <c r="G60" s="120" t="str">
        <f>$G$7</f>
        <v>Unearned</v>
      </c>
      <c r="H60" s="498"/>
      <c r="I60" s="118" t="str">
        <f>$I$7</f>
        <v>Unpaid</v>
      </c>
      <c r="J60" s="135" t="str">
        <f>$J$7</f>
        <v>Unpaid</v>
      </c>
    </row>
    <row r="61" spans="1:10" ht="15.75" customHeight="1">
      <c r="A61" s="131"/>
      <c r="B61" s="117"/>
      <c r="C61" s="117"/>
      <c r="D61" s="123" t="str">
        <f>$D$8</f>
        <v>Premium</v>
      </c>
      <c r="E61" s="123" t="str">
        <f>$E$8</f>
        <v>Premium</v>
      </c>
      <c r="F61" s="124" t="str">
        <f>$F$8</f>
        <v>Business</v>
      </c>
      <c r="G61" s="123" t="str">
        <f>$G$8</f>
        <v>Premium</v>
      </c>
      <c r="H61" s="499"/>
      <c r="I61" s="123" t="str">
        <f>$I$8</f>
        <v>Losses</v>
      </c>
      <c r="J61" s="620" t="str">
        <f>$J$8</f>
        <v>D&amp;CCE</v>
      </c>
    </row>
    <row r="62" spans="1:10" ht="15.75" customHeight="1">
      <c r="A62" s="132" t="str">
        <f aca="true" t="shared" si="12" ref="A62:B65">A50</f>
        <v>Item 1</v>
      </c>
      <c r="B62" s="117" t="str">
        <f t="shared" si="12"/>
        <v>Total as Reported on State Page Exhibit</v>
      </c>
      <c r="C62" s="117"/>
      <c r="D62" s="37">
        <f>InputB!$I$10</f>
        <v>0</v>
      </c>
      <c r="E62" s="37">
        <f>InputB!$I$15</f>
        <v>0</v>
      </c>
      <c r="F62" s="37">
        <f>InputB!$I$20+InputB!$I$24</f>
        <v>0</v>
      </c>
      <c r="G62" s="37">
        <f>InputB!$I$28</f>
        <v>0</v>
      </c>
      <c r="H62" s="480"/>
      <c r="I62" s="37">
        <f>InputB!$I$33</f>
        <v>0</v>
      </c>
      <c r="J62" s="80">
        <f>InputB!$I$38</f>
        <v>0</v>
      </c>
    </row>
    <row r="63" spans="1:10" ht="15.75" customHeight="1">
      <c r="A63" s="132" t="str">
        <f t="shared" si="12"/>
        <v>Item 2</v>
      </c>
      <c r="B63" s="117" t="str">
        <f t="shared" si="12"/>
        <v>Exclusions Reported on State Page Exhibit</v>
      </c>
      <c r="C63" s="117"/>
      <c r="D63" s="37">
        <f>SUM(InputB!$I$11:$I$11)</f>
        <v>0</v>
      </c>
      <c r="E63" s="37">
        <f>SUM(InputB!$I$16:$I$16)</f>
        <v>0</v>
      </c>
      <c r="F63" s="37">
        <f>SUM(InputB!$I$21:$I$21,InputB!$I$25:$I$25)</f>
        <v>0</v>
      </c>
      <c r="G63" s="37">
        <f>SUM(InputB!$I$29:$I$29)</f>
        <v>0</v>
      </c>
      <c r="H63" s="480"/>
      <c r="I63" s="37">
        <f>SUM(InputB!$I$34:$I$34)</f>
        <v>0</v>
      </c>
      <c r="J63" s="621">
        <f>SUM(InputB!$I$39:$I$39)</f>
        <v>0</v>
      </c>
    </row>
    <row r="64" spans="1:10" ht="15.75" customHeight="1">
      <c r="A64" s="132" t="str">
        <f t="shared" si="12"/>
        <v>Item 3</v>
      </c>
      <c r="B64" s="117" t="str">
        <f t="shared" si="12"/>
        <v>Excess Profit Data [Item 1 -  Item 2]</v>
      </c>
      <c r="C64" s="117"/>
      <c r="D64" s="37">
        <f>D62-D63</f>
        <v>0</v>
      </c>
      <c r="E64" s="37">
        <f>E62-E63</f>
        <v>0</v>
      </c>
      <c r="F64" s="37">
        <f>F62-F63</f>
        <v>0</v>
      </c>
      <c r="G64" s="37">
        <f>G62-G63</f>
        <v>0</v>
      </c>
      <c r="H64" s="480"/>
      <c r="I64" s="37">
        <f>I62-I63</f>
        <v>0</v>
      </c>
      <c r="J64" s="44">
        <f>J62-J63</f>
        <v>0</v>
      </c>
    </row>
    <row r="65" spans="1:10" ht="15.75" customHeight="1">
      <c r="A65" s="132" t="str">
        <f t="shared" si="12"/>
        <v>Item 4</v>
      </c>
      <c r="B65" s="133" t="str">
        <f t="shared" si="12"/>
        <v>UCJF Assessments &amp; Excess Medical Benefits</v>
      </c>
      <c r="C65" s="117"/>
      <c r="D65" s="39" t="str">
        <f>$D$12</f>
        <v>XXX</v>
      </c>
      <c r="E65" s="39" t="str">
        <f>$D$12</f>
        <v>XXX</v>
      </c>
      <c r="F65" s="39" t="str">
        <f>$D$12</f>
        <v>XXX</v>
      </c>
      <c r="G65" s="39" t="str">
        <f>$D$12</f>
        <v>XXX</v>
      </c>
      <c r="H65" s="479"/>
      <c r="I65" s="39" t="str">
        <f>$D$12</f>
        <v>XXX</v>
      </c>
      <c r="J65" s="40" t="str">
        <f>$D$12</f>
        <v>XXX</v>
      </c>
    </row>
    <row r="66" spans="1:10" ht="15.75" customHeight="1">
      <c r="A66" s="473"/>
      <c r="B66" s="117"/>
      <c r="C66" s="117"/>
      <c r="D66" s="37"/>
      <c r="E66" s="37"/>
      <c r="F66" s="37"/>
      <c r="G66" s="37"/>
      <c r="H66" s="480"/>
      <c r="I66" s="37"/>
      <c r="J66" s="173"/>
    </row>
    <row r="67" spans="1:10" ht="15.75" customHeight="1">
      <c r="A67" s="132" t="str">
        <f>A55</f>
        <v>Item 5</v>
      </c>
      <c r="B67" s="117" t="str">
        <f>B55</f>
        <v>Refund of Excess Profit, included in Col (3)</v>
      </c>
      <c r="C67" s="117"/>
      <c r="D67" s="39" t="str">
        <f>$D$12</f>
        <v>XXX</v>
      </c>
      <c r="E67" s="39" t="str">
        <f>$D$12</f>
        <v>XXX</v>
      </c>
      <c r="F67" s="490" t="s">
        <v>0</v>
      </c>
      <c r="G67" s="39" t="str">
        <f>$D$12</f>
        <v>XXX</v>
      </c>
      <c r="H67" s="479"/>
      <c r="I67" s="39" t="str">
        <f>$D$12</f>
        <v>XXX</v>
      </c>
      <c r="J67" s="40" t="str">
        <f>$D$12</f>
        <v>XXX</v>
      </c>
    </row>
    <row r="68" spans="1:10" ht="15.75" customHeight="1" thickBot="1">
      <c r="A68" s="134" t="str">
        <f>A56</f>
        <v>Item 6</v>
      </c>
      <c r="B68" s="129" t="str">
        <f>B56</f>
        <v>All Other Dividends, included in Col (3)</v>
      </c>
      <c r="C68" s="129"/>
      <c r="D68" s="276" t="str">
        <f>$D$12</f>
        <v>XXX</v>
      </c>
      <c r="E68" s="276" t="str">
        <f>$D$12</f>
        <v>XXX</v>
      </c>
      <c r="F68" s="542" t="s">
        <v>0</v>
      </c>
      <c r="G68" s="276" t="str">
        <f>$D$12</f>
        <v>XXX</v>
      </c>
      <c r="H68" s="572"/>
      <c r="I68" s="276" t="str">
        <f>$D$12</f>
        <v>XXX</v>
      </c>
      <c r="J68" s="277" t="str">
        <f>$D$12</f>
        <v>XXX</v>
      </c>
    </row>
    <row r="69" ht="15.75" customHeight="1" thickBot="1"/>
    <row r="70" spans="1:10" ht="15.75" customHeight="1">
      <c r="A70" s="112" t="str">
        <f>"Calendar Year "&amp;FIXED(ReportYear-6,0,TRUE)</f>
        <v>Calendar Year 2018</v>
      </c>
      <c r="B70" s="113"/>
      <c r="C70" s="622"/>
      <c r="D70" s="611" t="str">
        <f>$D$5</f>
        <v>Col (1)</v>
      </c>
      <c r="E70" s="611" t="str">
        <f>$E$5</f>
        <v>Col (2)</v>
      </c>
      <c r="F70" s="611" t="str">
        <f>$F$5</f>
        <v>Col (3)</v>
      </c>
      <c r="G70" s="611" t="str">
        <f>$G$5</f>
        <v>Col (4)</v>
      </c>
      <c r="H70" s="612"/>
      <c r="I70" s="611" t="str">
        <f>$I$5</f>
        <v>Col (5)</v>
      </c>
      <c r="J70" s="619" t="str">
        <f>$J$5</f>
        <v>Col (6)</v>
      </c>
    </row>
    <row r="71" spans="1:10" ht="15.75" customHeight="1">
      <c r="A71" s="131"/>
      <c r="B71" s="117"/>
      <c r="C71" s="114"/>
      <c r="D71" s="111" t="str">
        <f>$D$6</f>
        <v>Direct</v>
      </c>
      <c r="E71" s="115" t="str">
        <f>$E$6</f>
        <v>Direct</v>
      </c>
      <c r="F71" s="111" t="str">
        <f>$F$6</f>
        <v>Dividends</v>
      </c>
      <c r="G71" s="111" t="str">
        <f>$G$6</f>
        <v>Direct</v>
      </c>
      <c r="H71" s="610"/>
      <c r="I71" s="115" t="str">
        <f>$I$6</f>
        <v>Direct</v>
      </c>
      <c r="J71" s="135" t="str">
        <f>$J$6</f>
        <v>Direct</v>
      </c>
    </row>
    <row r="72" spans="1:10" ht="15.75" customHeight="1">
      <c r="A72" s="131"/>
      <c r="B72" s="117"/>
      <c r="C72" s="114"/>
      <c r="D72" s="120" t="str">
        <f>$D$7</f>
        <v>Written</v>
      </c>
      <c r="E72" s="118" t="str">
        <f>$E$7</f>
        <v>Earned</v>
      </c>
      <c r="F72" s="119" t="str">
        <f>$F$7</f>
        <v>on Direct</v>
      </c>
      <c r="G72" s="120" t="str">
        <f>$G$7</f>
        <v>Unearned</v>
      </c>
      <c r="H72" s="498"/>
      <c r="I72" s="118" t="str">
        <f>$I$7</f>
        <v>Unpaid</v>
      </c>
      <c r="J72" s="135" t="str">
        <f>$J$7</f>
        <v>Unpaid</v>
      </c>
    </row>
    <row r="73" spans="1:10" ht="15.75" customHeight="1">
      <c r="A73" s="131"/>
      <c r="B73" s="117"/>
      <c r="C73" s="117"/>
      <c r="D73" s="123" t="str">
        <f>$D$8</f>
        <v>Premium</v>
      </c>
      <c r="E73" s="123" t="str">
        <f>$E$8</f>
        <v>Premium</v>
      </c>
      <c r="F73" s="124" t="str">
        <f>$F$8</f>
        <v>Business</v>
      </c>
      <c r="G73" s="123" t="str">
        <f>$G$8</f>
        <v>Premium</v>
      </c>
      <c r="H73" s="499"/>
      <c r="I73" s="123" t="str">
        <f>$I$8</f>
        <v>Losses</v>
      </c>
      <c r="J73" s="620" t="str">
        <f>$J$8</f>
        <v>D&amp;CCE</v>
      </c>
    </row>
    <row r="74" spans="1:10" ht="15.75" customHeight="1">
      <c r="A74" s="132" t="str">
        <f aca="true" t="shared" si="13" ref="A74:B77">A62</f>
        <v>Item 1</v>
      </c>
      <c r="B74" s="117" t="str">
        <f t="shared" si="13"/>
        <v>Total as Reported on State Page Exhibit</v>
      </c>
      <c r="C74" s="117"/>
      <c r="D74" s="37">
        <f>InputB!$J$10</f>
        <v>0</v>
      </c>
      <c r="E74" s="37">
        <f>InputB!$J$15</f>
        <v>0</v>
      </c>
      <c r="F74" s="37">
        <f>InputB!$J$20+InputB!$J$24</f>
        <v>0</v>
      </c>
      <c r="G74" s="37">
        <f>InputB!$J$28</f>
        <v>0</v>
      </c>
      <c r="H74" s="480"/>
      <c r="I74" s="37">
        <f>InputB!$J$33</f>
        <v>0</v>
      </c>
      <c r="J74" s="80">
        <f>InputB!$J$38</f>
        <v>0</v>
      </c>
    </row>
    <row r="75" spans="1:10" ht="15.75" customHeight="1">
      <c r="A75" s="132" t="str">
        <f t="shared" si="13"/>
        <v>Item 2</v>
      </c>
      <c r="B75" s="117" t="str">
        <f t="shared" si="13"/>
        <v>Exclusions Reported on State Page Exhibit</v>
      </c>
      <c r="C75" s="117"/>
      <c r="D75" s="37">
        <f>SUM(InputB!$J$11:$J$11)</f>
        <v>0</v>
      </c>
      <c r="E75" s="37">
        <f>SUM(InputB!$J$16:$J$16)</f>
        <v>0</v>
      </c>
      <c r="F75" s="37">
        <f>SUM(InputB!$J$21:$J$21,InputB!$J$25:$J$25)</f>
        <v>0</v>
      </c>
      <c r="G75" s="37">
        <f>SUM(InputB!$J$29:$J$29)</f>
        <v>0</v>
      </c>
      <c r="H75" s="480"/>
      <c r="I75" s="37">
        <f>SUM(InputB!$J$34:$J$34)</f>
        <v>0</v>
      </c>
      <c r="J75" s="621">
        <f>SUM(InputB!$J$39:$J$39)</f>
        <v>0</v>
      </c>
    </row>
    <row r="76" spans="1:10" ht="15.75" customHeight="1">
      <c r="A76" s="132" t="str">
        <f t="shared" si="13"/>
        <v>Item 3</v>
      </c>
      <c r="B76" s="117" t="str">
        <f t="shared" si="13"/>
        <v>Excess Profit Data [Item 1 -  Item 2]</v>
      </c>
      <c r="C76" s="117"/>
      <c r="D76" s="37">
        <f>D74-D75</f>
        <v>0</v>
      </c>
      <c r="E76" s="37">
        <f>E74-E75</f>
        <v>0</v>
      </c>
      <c r="F76" s="37">
        <f>F74-F75</f>
        <v>0</v>
      </c>
      <c r="G76" s="37">
        <f>G74-G75</f>
        <v>0</v>
      </c>
      <c r="H76" s="480"/>
      <c r="I76" s="37">
        <f>I74-I75</f>
        <v>0</v>
      </c>
      <c r="J76" s="44">
        <f>J74-J75</f>
        <v>0</v>
      </c>
    </row>
    <row r="77" spans="1:10" ht="15.75" customHeight="1">
      <c r="A77" s="132" t="str">
        <f t="shared" si="13"/>
        <v>Item 4</v>
      </c>
      <c r="B77" s="133" t="str">
        <f t="shared" si="13"/>
        <v>UCJF Assessments &amp; Excess Medical Benefits</v>
      </c>
      <c r="C77" s="117"/>
      <c r="D77" s="39" t="str">
        <f>$D$12</f>
        <v>XXX</v>
      </c>
      <c r="E77" s="39" t="str">
        <f>$D$12</f>
        <v>XXX</v>
      </c>
      <c r="F77" s="39" t="str">
        <f>$D$12</f>
        <v>XXX</v>
      </c>
      <c r="G77" s="39" t="str">
        <f>$D$12</f>
        <v>XXX</v>
      </c>
      <c r="H77" s="479"/>
      <c r="I77" s="39" t="str">
        <f>$D$12</f>
        <v>XXX</v>
      </c>
      <c r="J77" s="40" t="str">
        <f>$D$12</f>
        <v>XXX</v>
      </c>
    </row>
    <row r="78" spans="1:10" ht="15.75" customHeight="1">
      <c r="A78" s="473"/>
      <c r="B78" s="117"/>
      <c r="C78" s="117"/>
      <c r="D78" s="37"/>
      <c r="E78" s="37"/>
      <c r="F78" s="37"/>
      <c r="G78" s="37"/>
      <c r="H78" s="480"/>
      <c r="I78" s="37"/>
      <c r="J78" s="173"/>
    </row>
    <row r="79" spans="1:10" ht="15.75" customHeight="1">
      <c r="A79" s="132" t="str">
        <f>A67</f>
        <v>Item 5</v>
      </c>
      <c r="B79" s="117" t="str">
        <f>B67</f>
        <v>Refund of Excess Profit, included in Col (3)</v>
      </c>
      <c r="C79" s="117"/>
      <c r="D79" s="39" t="str">
        <f aca="true" t="shared" si="14" ref="D79:I80">$D$12</f>
        <v>XXX</v>
      </c>
      <c r="E79" s="39" t="str">
        <f t="shared" si="14"/>
        <v>XXX</v>
      </c>
      <c r="F79" s="490" t="s">
        <v>0</v>
      </c>
      <c r="G79" s="39" t="str">
        <f t="shared" si="14"/>
        <v>XXX</v>
      </c>
      <c r="H79" s="479"/>
      <c r="I79" s="39" t="str">
        <f t="shared" si="14"/>
        <v>XXX</v>
      </c>
      <c r="J79" s="40" t="str">
        <f>$D$12</f>
        <v>XXX</v>
      </c>
    </row>
    <row r="80" spans="1:10" ht="15.75" customHeight="1" thickBot="1">
      <c r="A80" s="134" t="str">
        <f>A68</f>
        <v>Item 6</v>
      </c>
      <c r="B80" s="129" t="str">
        <f>B68</f>
        <v>All Other Dividends, included in Col (3)</v>
      </c>
      <c r="C80" s="129"/>
      <c r="D80" s="276" t="str">
        <f t="shared" si="14"/>
        <v>XXX</v>
      </c>
      <c r="E80" s="276" t="str">
        <f t="shared" si="14"/>
        <v>XXX</v>
      </c>
      <c r="F80" s="542" t="s">
        <v>0</v>
      </c>
      <c r="G80" s="276" t="str">
        <f t="shared" si="14"/>
        <v>XXX</v>
      </c>
      <c r="H80" s="572"/>
      <c r="I80" s="276" t="str">
        <f t="shared" si="14"/>
        <v>XXX</v>
      </c>
      <c r="J80" s="277" t="str">
        <f>$D$12</f>
        <v>XXX</v>
      </c>
    </row>
    <row r="83" spans="1:10" ht="15.75" customHeight="1">
      <c r="A83" s="103" t="str">
        <f>InputB!$A$1</f>
        <v>Group Name:</v>
      </c>
      <c r="C83" s="105" t="str">
        <f>InputB!$C$1</f>
        <v>enter group name here</v>
      </c>
      <c r="D83"/>
      <c r="E83"/>
      <c r="F83"/>
      <c r="G83"/>
      <c r="H83"/>
      <c r="I83"/>
      <c r="J83" s="107" t="str">
        <f>$J$1</f>
        <v>Exhibit 1B</v>
      </c>
    </row>
    <row r="84" spans="1:10" ht="15.75" customHeight="1">
      <c r="A84" s="108" t="str">
        <f>InputB!$A$2</f>
        <v>Group NAIC #:</v>
      </c>
      <c r="C84" s="105" t="str">
        <f>InputB!$C$2</f>
        <v>enter group # here</v>
      </c>
      <c r="D84"/>
      <c r="E84"/>
      <c r="F84"/>
      <c r="G84"/>
      <c r="H84"/>
      <c r="I84"/>
      <c r="J84" s="107" t="s">
        <v>362</v>
      </c>
    </row>
    <row r="85" spans="1:10" ht="15.75" customHeight="1">
      <c r="A85" s="103" t="str">
        <f>InputB!$A$3</f>
        <v>Year Filed:</v>
      </c>
      <c r="C85" s="110">
        <f>InputB!$C$3</f>
        <v>2024</v>
      </c>
      <c r="D85"/>
      <c r="E85"/>
      <c r="F85"/>
      <c r="G85"/>
      <c r="H85"/>
      <c r="I85"/>
      <c r="J85" s="107" t="s">
        <v>117</v>
      </c>
    </row>
    <row r="86" ht="15.75" customHeight="1" thickBot="1"/>
    <row r="87" spans="1:10" ht="15.75" customHeight="1">
      <c r="A87" s="112" t="str">
        <f>"Calendar Year "&amp;FIXED(ReportYear-7,0,TRUE)</f>
        <v>Calendar Year 2017</v>
      </c>
      <c r="B87" s="113"/>
      <c r="C87" s="622"/>
      <c r="D87" s="611" t="str">
        <f>$D$5</f>
        <v>Col (1)</v>
      </c>
      <c r="E87" s="611" t="str">
        <f>$E$5</f>
        <v>Col (2)</v>
      </c>
      <c r="F87" s="611" t="str">
        <f>$F$5</f>
        <v>Col (3)</v>
      </c>
      <c r="G87" s="611" t="str">
        <f>$G$5</f>
        <v>Col (4)</v>
      </c>
      <c r="H87" s="612"/>
      <c r="I87" s="611" t="str">
        <f>$I$5</f>
        <v>Col (5)</v>
      </c>
      <c r="J87" s="619" t="str">
        <f>$J$5</f>
        <v>Col (6)</v>
      </c>
    </row>
    <row r="88" spans="1:10" ht="15.75" customHeight="1">
      <c r="A88" s="131"/>
      <c r="B88" s="117"/>
      <c r="C88" s="117"/>
      <c r="D88" s="111" t="str">
        <f>$D$6</f>
        <v>Direct</v>
      </c>
      <c r="E88" s="115" t="str">
        <f>$E$6</f>
        <v>Direct</v>
      </c>
      <c r="F88" s="111" t="str">
        <f>$F$6</f>
        <v>Dividends</v>
      </c>
      <c r="G88" s="111" t="str">
        <f>$G$6</f>
        <v>Direct</v>
      </c>
      <c r="H88" s="610"/>
      <c r="I88" s="115" t="str">
        <f>$I$6</f>
        <v>Direct</v>
      </c>
      <c r="J88" s="135" t="str">
        <f>$J$6</f>
        <v>Direct</v>
      </c>
    </row>
    <row r="89" spans="1:10" ht="15.75" customHeight="1">
      <c r="A89" s="131"/>
      <c r="B89" s="117"/>
      <c r="C89" s="117"/>
      <c r="D89" s="120" t="str">
        <f>$D$7</f>
        <v>Written</v>
      </c>
      <c r="E89" s="118" t="str">
        <f>$E$7</f>
        <v>Earned</v>
      </c>
      <c r="F89" s="119" t="str">
        <f>$F$7</f>
        <v>on Direct</v>
      </c>
      <c r="G89" s="120" t="str">
        <f>$G$7</f>
        <v>Unearned</v>
      </c>
      <c r="H89" s="498"/>
      <c r="I89" s="118" t="str">
        <f>$I$7</f>
        <v>Unpaid</v>
      </c>
      <c r="J89" s="135" t="str">
        <f>$J$7</f>
        <v>Unpaid</v>
      </c>
    </row>
    <row r="90" spans="1:10" ht="15.75" customHeight="1">
      <c r="A90" s="131"/>
      <c r="B90" s="117"/>
      <c r="C90" s="117"/>
      <c r="D90" s="123" t="str">
        <f>$D$8</f>
        <v>Premium</v>
      </c>
      <c r="E90" s="123" t="str">
        <f>$E$8</f>
        <v>Premium</v>
      </c>
      <c r="F90" s="124" t="str">
        <f>$F$8</f>
        <v>Business</v>
      </c>
      <c r="G90" s="123" t="str">
        <f>$G$8</f>
        <v>Premium</v>
      </c>
      <c r="H90" s="499"/>
      <c r="I90" s="123" t="str">
        <f>$I$8</f>
        <v>Losses</v>
      </c>
      <c r="J90" s="620" t="str">
        <f>$J$8</f>
        <v>D&amp;CCE</v>
      </c>
    </row>
    <row r="91" spans="1:10" ht="15.75" customHeight="1">
      <c r="A91" s="132" t="str">
        <f aca="true" t="shared" si="15" ref="A91:B94">A74</f>
        <v>Item 1</v>
      </c>
      <c r="B91" s="117" t="str">
        <f t="shared" si="15"/>
        <v>Total as Reported on State Page Exhibit</v>
      </c>
      <c r="C91" s="117"/>
      <c r="D91" s="37">
        <f>InputB!$K$10</f>
        <v>0</v>
      </c>
      <c r="E91" s="37">
        <f>InputB!$K$15</f>
        <v>0</v>
      </c>
      <c r="F91" s="37">
        <f>InputB!$K$20+InputB!$K$24</f>
        <v>0</v>
      </c>
      <c r="G91" s="37">
        <f>InputB!$K$28</f>
        <v>0</v>
      </c>
      <c r="H91" s="480"/>
      <c r="I91" s="37">
        <f>InputB!$K$33</f>
        <v>0</v>
      </c>
      <c r="J91" s="80">
        <f>InputB!$K$38</f>
        <v>0</v>
      </c>
    </row>
    <row r="92" spans="1:10" ht="15.75" customHeight="1">
      <c r="A92" s="132" t="str">
        <f t="shared" si="15"/>
        <v>Item 2</v>
      </c>
      <c r="B92" s="117" t="str">
        <f t="shared" si="15"/>
        <v>Exclusions Reported on State Page Exhibit</v>
      </c>
      <c r="C92" s="117"/>
      <c r="D92" s="37">
        <f>SUM(InputB!$K$11:$K$11)</f>
        <v>0</v>
      </c>
      <c r="E92" s="37">
        <f>SUM(InputB!$K$16:$K$16)</f>
        <v>0</v>
      </c>
      <c r="F92" s="37">
        <f>SUM(InputB!$K$21:$K$21,InputB!$K$25:$K$25)</f>
        <v>0</v>
      </c>
      <c r="G92" s="37">
        <f>SUM(InputB!$K$29:$K$29)</f>
        <v>0</v>
      </c>
      <c r="H92" s="480"/>
      <c r="I92" s="37">
        <f>SUM(InputB!$K$34:$K$34)</f>
        <v>0</v>
      </c>
      <c r="J92" s="621">
        <f>SUM(InputB!$K$39:$K$39)</f>
        <v>0</v>
      </c>
    </row>
    <row r="93" spans="1:10" ht="15.75" customHeight="1">
      <c r="A93" s="132" t="str">
        <f t="shared" si="15"/>
        <v>Item 3</v>
      </c>
      <c r="B93" s="117" t="str">
        <f t="shared" si="15"/>
        <v>Excess Profit Data [Item 1 -  Item 2]</v>
      </c>
      <c r="C93" s="117"/>
      <c r="D93" s="37">
        <f>D91-D92</f>
        <v>0</v>
      </c>
      <c r="E93" s="37">
        <f>E91-E92</f>
        <v>0</v>
      </c>
      <c r="F93" s="37">
        <f>F91-F92</f>
        <v>0</v>
      </c>
      <c r="G93" s="37">
        <f>G91-G92</f>
        <v>0</v>
      </c>
      <c r="H93" s="480"/>
      <c r="I93" s="37">
        <f>I91-I92</f>
        <v>0</v>
      </c>
      <c r="J93" s="44">
        <f>J91-J92</f>
        <v>0</v>
      </c>
    </row>
    <row r="94" spans="1:10" ht="15.75" customHeight="1">
      <c r="A94" s="132" t="str">
        <f t="shared" si="15"/>
        <v>Item 4</v>
      </c>
      <c r="B94" s="133" t="str">
        <f t="shared" si="15"/>
        <v>UCJF Assessments &amp; Excess Medical Benefits</v>
      </c>
      <c r="C94" s="117"/>
      <c r="D94" s="39" t="str">
        <f>$D$12</f>
        <v>XXX</v>
      </c>
      <c r="E94" s="39" t="str">
        <f>$D$12</f>
        <v>XXX</v>
      </c>
      <c r="F94" s="39" t="str">
        <f>$D$12</f>
        <v>XXX</v>
      </c>
      <c r="G94" s="39" t="str">
        <f>$D$12</f>
        <v>XXX</v>
      </c>
      <c r="H94" s="479"/>
      <c r="I94" s="39" t="str">
        <f>$D$12</f>
        <v>XXX</v>
      </c>
      <c r="J94" s="40" t="str">
        <f>$D$12</f>
        <v>XXX</v>
      </c>
    </row>
    <row r="95" spans="1:10" ht="15.75" customHeight="1">
      <c r="A95" s="473"/>
      <c r="B95" s="117"/>
      <c r="C95" s="117"/>
      <c r="D95" s="37"/>
      <c r="E95" s="37"/>
      <c r="F95" s="37"/>
      <c r="G95" s="37"/>
      <c r="H95" s="480"/>
      <c r="I95" s="37"/>
      <c r="J95" s="173"/>
    </row>
    <row r="96" spans="1:10" ht="15.75" customHeight="1">
      <c r="A96" s="132" t="str">
        <f>A79</f>
        <v>Item 5</v>
      </c>
      <c r="B96" s="117" t="str">
        <f>B79</f>
        <v>Refund of Excess Profit, included in Col (3)</v>
      </c>
      <c r="C96" s="117"/>
      <c r="D96" s="39" t="str">
        <f aca="true" t="shared" si="16" ref="D96:I97">$D$12</f>
        <v>XXX</v>
      </c>
      <c r="E96" s="39" t="str">
        <f t="shared" si="16"/>
        <v>XXX</v>
      </c>
      <c r="F96" s="490" t="s">
        <v>0</v>
      </c>
      <c r="G96" s="39" t="str">
        <f t="shared" si="16"/>
        <v>XXX</v>
      </c>
      <c r="H96" s="479"/>
      <c r="I96" s="39" t="str">
        <f t="shared" si="16"/>
        <v>XXX</v>
      </c>
      <c r="J96" s="40" t="str">
        <f>$D$12</f>
        <v>XXX</v>
      </c>
    </row>
    <row r="97" spans="1:10" ht="15.75" customHeight="1" thickBot="1">
      <c r="A97" s="134" t="str">
        <f>A80</f>
        <v>Item 6</v>
      </c>
      <c r="B97" s="129" t="str">
        <f>B80</f>
        <v>All Other Dividends, included in Col (3)</v>
      </c>
      <c r="C97" s="129"/>
      <c r="D97" s="276" t="str">
        <f t="shared" si="16"/>
        <v>XXX</v>
      </c>
      <c r="E97" s="276" t="str">
        <f t="shared" si="16"/>
        <v>XXX</v>
      </c>
      <c r="F97" s="542" t="s">
        <v>0</v>
      </c>
      <c r="G97" s="276" t="str">
        <f t="shared" si="16"/>
        <v>XXX</v>
      </c>
      <c r="H97" s="572"/>
      <c r="I97" s="276" t="str">
        <f t="shared" si="16"/>
        <v>XXX</v>
      </c>
      <c r="J97" s="277" t="str">
        <f>$D$12</f>
        <v>XXX</v>
      </c>
    </row>
    <row r="98" ht="15.75" customHeight="1" thickBot="1">
      <c r="H98" s="504"/>
    </row>
    <row r="99" spans="1:10" ht="15.75" customHeight="1">
      <c r="A99" s="112" t="str">
        <f>"Calendar Year "&amp;FIXED(ReportYear-8,0,TRUE)</f>
        <v>Calendar Year 2016</v>
      </c>
      <c r="B99" s="113"/>
      <c r="C99" s="622"/>
      <c r="D99" s="611" t="str">
        <f>$D$5</f>
        <v>Col (1)</v>
      </c>
      <c r="E99" s="611" t="str">
        <f>$E$5</f>
        <v>Col (2)</v>
      </c>
      <c r="F99" s="611" t="str">
        <f>$F$5</f>
        <v>Col (3)</v>
      </c>
      <c r="G99" s="611" t="str">
        <f>$G$5</f>
        <v>Col (4)</v>
      </c>
      <c r="H99" s="612"/>
      <c r="I99" s="611" t="str">
        <f>$I$5</f>
        <v>Col (5)</v>
      </c>
      <c r="J99" s="619" t="str">
        <f>$J$5</f>
        <v>Col (6)</v>
      </c>
    </row>
    <row r="100" spans="1:10" ht="15.75" customHeight="1">
      <c r="A100" s="131"/>
      <c r="B100" s="117"/>
      <c r="C100" s="114"/>
      <c r="D100" s="111" t="str">
        <f>$D$6</f>
        <v>Direct</v>
      </c>
      <c r="E100" s="115" t="str">
        <f>$E$6</f>
        <v>Direct</v>
      </c>
      <c r="F100" s="111" t="str">
        <f>$F$6</f>
        <v>Dividends</v>
      </c>
      <c r="G100" s="111" t="str">
        <f>$G$6</f>
        <v>Direct</v>
      </c>
      <c r="H100" s="610"/>
      <c r="I100" s="115" t="str">
        <f>$I$6</f>
        <v>Direct</v>
      </c>
      <c r="J100" s="135" t="str">
        <f>$J$6</f>
        <v>Direct</v>
      </c>
    </row>
    <row r="101" spans="1:10" ht="15.75" customHeight="1">
      <c r="A101" s="131"/>
      <c r="B101" s="117"/>
      <c r="C101" s="114"/>
      <c r="D101" s="120" t="str">
        <f>$D$7</f>
        <v>Written</v>
      </c>
      <c r="E101" s="118" t="str">
        <f>$E$7</f>
        <v>Earned</v>
      </c>
      <c r="F101" s="119" t="str">
        <f>$F$7</f>
        <v>on Direct</v>
      </c>
      <c r="G101" s="120" t="str">
        <f>$G$7</f>
        <v>Unearned</v>
      </c>
      <c r="H101" s="498"/>
      <c r="I101" s="118" t="str">
        <f>$I$7</f>
        <v>Unpaid</v>
      </c>
      <c r="J101" s="135" t="str">
        <f>$J$7</f>
        <v>Unpaid</v>
      </c>
    </row>
    <row r="102" spans="1:10" ht="15.75" customHeight="1">
      <c r="A102" s="131"/>
      <c r="B102" s="117"/>
      <c r="C102" s="117"/>
      <c r="D102" s="123" t="str">
        <f>$D$8</f>
        <v>Premium</v>
      </c>
      <c r="E102" s="123" t="str">
        <f>$E$8</f>
        <v>Premium</v>
      </c>
      <c r="F102" s="124" t="str">
        <f>$F$8</f>
        <v>Business</v>
      </c>
      <c r="G102" s="123" t="str">
        <f>$G$8</f>
        <v>Premium</v>
      </c>
      <c r="H102" s="499"/>
      <c r="I102" s="123" t="str">
        <f>$I$8</f>
        <v>Losses</v>
      </c>
      <c r="J102" s="620" t="str">
        <f>$J$8</f>
        <v>D&amp;CCE</v>
      </c>
    </row>
    <row r="103" spans="1:10" ht="15.75" customHeight="1">
      <c r="A103" s="132" t="str">
        <f aca="true" t="shared" si="17" ref="A103:B106">A91</f>
        <v>Item 1</v>
      </c>
      <c r="B103" s="117" t="str">
        <f t="shared" si="17"/>
        <v>Total as Reported on State Page Exhibit</v>
      </c>
      <c r="C103" s="117"/>
      <c r="D103" s="37">
        <f>InputB!$L$10</f>
        <v>0</v>
      </c>
      <c r="E103" s="37">
        <f>InputB!$L$15</f>
        <v>0</v>
      </c>
      <c r="F103" s="37">
        <f>InputB!$L$20+InputB!$L$24</f>
        <v>0</v>
      </c>
      <c r="G103" s="37">
        <f>InputB!$L$28</f>
        <v>0</v>
      </c>
      <c r="H103" s="480"/>
      <c r="I103" s="37">
        <f>InputB!$L$33</f>
        <v>0</v>
      </c>
      <c r="J103" s="80">
        <f>InputB!$L$38</f>
        <v>0</v>
      </c>
    </row>
    <row r="104" spans="1:10" ht="15.75" customHeight="1">
      <c r="A104" s="132" t="str">
        <f t="shared" si="17"/>
        <v>Item 2</v>
      </c>
      <c r="B104" s="117" t="str">
        <f t="shared" si="17"/>
        <v>Exclusions Reported on State Page Exhibit</v>
      </c>
      <c r="C104" s="117"/>
      <c r="D104" s="37">
        <f>SUM(InputB!$L$11:$L$11)</f>
        <v>0</v>
      </c>
      <c r="E104" s="37">
        <f>SUM(InputB!$L$16:$L$16)</f>
        <v>0</v>
      </c>
      <c r="F104" s="37">
        <f>SUM(InputB!$L$21:$L$21,InputB!$L$25:$L$25)</f>
        <v>0</v>
      </c>
      <c r="G104" s="37">
        <f>SUM(InputB!$L$29:$L$29)</f>
        <v>0</v>
      </c>
      <c r="H104" s="480"/>
      <c r="I104" s="37">
        <f>SUM(InputB!$L$34:$L$34)</f>
        <v>0</v>
      </c>
      <c r="J104" s="621">
        <f>SUM(InputB!$L$39:$L$39)</f>
        <v>0</v>
      </c>
    </row>
    <row r="105" spans="1:10" ht="15.75" customHeight="1">
      <c r="A105" s="132" t="str">
        <f t="shared" si="17"/>
        <v>Item 3</v>
      </c>
      <c r="B105" s="117" t="str">
        <f t="shared" si="17"/>
        <v>Excess Profit Data [Item 1 -  Item 2]</v>
      </c>
      <c r="C105" s="117"/>
      <c r="D105" s="37">
        <f>D103-D104</f>
        <v>0</v>
      </c>
      <c r="E105" s="37">
        <f>E103-E104</f>
        <v>0</v>
      </c>
      <c r="F105" s="37">
        <f>F103-F104</f>
        <v>0</v>
      </c>
      <c r="G105" s="37">
        <f>G103-G104</f>
        <v>0</v>
      </c>
      <c r="H105" s="480"/>
      <c r="I105" s="37">
        <f>I103-I104</f>
        <v>0</v>
      </c>
      <c r="J105" s="44">
        <f>J103-J104</f>
        <v>0</v>
      </c>
    </row>
    <row r="106" spans="1:10" ht="15.75" customHeight="1">
      <c r="A106" s="132" t="str">
        <f t="shared" si="17"/>
        <v>Item 4</v>
      </c>
      <c r="B106" s="133" t="str">
        <f t="shared" si="17"/>
        <v>UCJF Assessments &amp; Excess Medical Benefits</v>
      </c>
      <c r="C106" s="117"/>
      <c r="D106" s="39" t="str">
        <f>$D$12</f>
        <v>XXX</v>
      </c>
      <c r="E106" s="39" t="str">
        <f>$D$12</f>
        <v>XXX</v>
      </c>
      <c r="F106" s="39" t="str">
        <f>$D$12</f>
        <v>XXX</v>
      </c>
      <c r="G106" s="39" t="str">
        <f>$D$12</f>
        <v>XXX</v>
      </c>
      <c r="H106" s="479"/>
      <c r="I106" s="39" t="str">
        <f>$D$12</f>
        <v>XXX</v>
      </c>
      <c r="J106" s="40" t="str">
        <f>$D$12</f>
        <v>XXX</v>
      </c>
    </row>
    <row r="107" spans="1:10" ht="15.75" customHeight="1">
      <c r="A107" s="473"/>
      <c r="B107" s="117"/>
      <c r="C107" s="117"/>
      <c r="D107" s="37"/>
      <c r="E107" s="37"/>
      <c r="F107" s="37"/>
      <c r="G107" s="37"/>
      <c r="H107" s="480"/>
      <c r="I107" s="37"/>
      <c r="J107" s="173"/>
    </row>
    <row r="108" spans="1:10" ht="15.75" customHeight="1">
      <c r="A108" s="132" t="str">
        <f>A96</f>
        <v>Item 5</v>
      </c>
      <c r="B108" s="117" t="str">
        <f>B96</f>
        <v>Refund of Excess Profit, included in Col (3)</v>
      </c>
      <c r="C108" s="117"/>
      <c r="D108" s="39" t="str">
        <f aca="true" t="shared" si="18" ref="D108:I109">$D$12</f>
        <v>XXX</v>
      </c>
      <c r="E108" s="39" t="str">
        <f t="shared" si="18"/>
        <v>XXX</v>
      </c>
      <c r="F108" s="490" t="s">
        <v>0</v>
      </c>
      <c r="G108" s="39" t="str">
        <f t="shared" si="18"/>
        <v>XXX</v>
      </c>
      <c r="H108" s="479"/>
      <c r="I108" s="39" t="str">
        <f t="shared" si="18"/>
        <v>XXX</v>
      </c>
      <c r="J108" s="40" t="str">
        <f>$D$12</f>
        <v>XXX</v>
      </c>
    </row>
    <row r="109" spans="1:10" ht="15.75" customHeight="1" thickBot="1">
      <c r="A109" s="134" t="str">
        <f>A97</f>
        <v>Item 6</v>
      </c>
      <c r="B109" s="129" t="str">
        <f>B97</f>
        <v>All Other Dividends, included in Col (3)</v>
      </c>
      <c r="C109" s="129"/>
      <c r="D109" s="276" t="str">
        <f t="shared" si="18"/>
        <v>XXX</v>
      </c>
      <c r="E109" s="276" t="str">
        <f t="shared" si="18"/>
        <v>XXX</v>
      </c>
      <c r="F109" s="542" t="s">
        <v>0</v>
      </c>
      <c r="G109" s="276" t="str">
        <f t="shared" si="18"/>
        <v>XXX</v>
      </c>
      <c r="H109" s="572"/>
      <c r="I109" s="276" t="str">
        <f t="shared" si="18"/>
        <v>XXX</v>
      </c>
      <c r="J109" s="277" t="str">
        <f>$D$12</f>
        <v>XXX</v>
      </c>
    </row>
    <row r="110" ht="15.75" customHeight="1" thickBot="1"/>
    <row r="111" spans="1:10" ht="15.75" customHeight="1">
      <c r="A111" s="112" t="str">
        <f>"Calendar Year "&amp;FIXED(ReportYear-9,0,TRUE)</f>
        <v>Calendar Year 2015</v>
      </c>
      <c r="B111" s="113"/>
      <c r="C111" s="622"/>
      <c r="D111" s="611" t="str">
        <f>$D$5</f>
        <v>Col (1)</v>
      </c>
      <c r="E111" s="611" t="str">
        <f>$E$5</f>
        <v>Col (2)</v>
      </c>
      <c r="F111" s="611" t="str">
        <f>$F$5</f>
        <v>Col (3)</v>
      </c>
      <c r="G111" s="611" t="str">
        <f>$G$5</f>
        <v>Col (4)</v>
      </c>
      <c r="H111" s="612"/>
      <c r="I111" s="611" t="str">
        <f>$I$5</f>
        <v>Col (5)</v>
      </c>
      <c r="J111" s="619" t="str">
        <f>$J$5</f>
        <v>Col (6)</v>
      </c>
    </row>
    <row r="112" spans="1:10" ht="15.75" customHeight="1">
      <c r="A112" s="131"/>
      <c r="B112" s="117"/>
      <c r="C112" s="114"/>
      <c r="D112" s="111" t="str">
        <f>$D$6</f>
        <v>Direct</v>
      </c>
      <c r="E112" s="115" t="str">
        <f>$E$6</f>
        <v>Direct</v>
      </c>
      <c r="F112" s="111" t="str">
        <f>$F$6</f>
        <v>Dividends</v>
      </c>
      <c r="G112" s="111" t="str">
        <f>$G$6</f>
        <v>Direct</v>
      </c>
      <c r="H112" s="610"/>
      <c r="I112" s="115" t="str">
        <f>$I$6</f>
        <v>Direct</v>
      </c>
      <c r="J112" s="135" t="str">
        <f>$J$6</f>
        <v>Direct</v>
      </c>
    </row>
    <row r="113" spans="1:10" ht="15.75" customHeight="1">
      <c r="A113" s="131"/>
      <c r="B113" s="117"/>
      <c r="C113" s="114"/>
      <c r="D113" s="120" t="str">
        <f>$D$7</f>
        <v>Written</v>
      </c>
      <c r="E113" s="118" t="str">
        <f>$E$7</f>
        <v>Earned</v>
      </c>
      <c r="F113" s="119" t="str">
        <f>$F$7</f>
        <v>on Direct</v>
      </c>
      <c r="G113" s="120" t="str">
        <f>$G$7</f>
        <v>Unearned</v>
      </c>
      <c r="H113" s="498"/>
      <c r="I113" s="118" t="str">
        <f>$I$7</f>
        <v>Unpaid</v>
      </c>
      <c r="J113" s="135" t="str">
        <f>$J$7</f>
        <v>Unpaid</v>
      </c>
    </row>
    <row r="114" spans="1:10" ht="15.75" customHeight="1">
      <c r="A114" s="131"/>
      <c r="B114" s="117"/>
      <c r="C114" s="117"/>
      <c r="D114" s="123" t="str">
        <f>$D$8</f>
        <v>Premium</v>
      </c>
      <c r="E114" s="123" t="str">
        <f>$E$8</f>
        <v>Premium</v>
      </c>
      <c r="F114" s="124" t="str">
        <f>$F$8</f>
        <v>Business</v>
      </c>
      <c r="G114" s="123" t="str">
        <f>$G$8</f>
        <v>Premium</v>
      </c>
      <c r="H114" s="499"/>
      <c r="I114" s="123" t="str">
        <f>$I$8</f>
        <v>Losses</v>
      </c>
      <c r="J114" s="620" t="str">
        <f>$J$8</f>
        <v>D&amp;CCE</v>
      </c>
    </row>
    <row r="115" spans="1:10" ht="15.75" customHeight="1">
      <c r="A115" s="132" t="str">
        <f aca="true" t="shared" si="19" ref="A115:B118">A103</f>
        <v>Item 1</v>
      </c>
      <c r="B115" s="117" t="str">
        <f t="shared" si="19"/>
        <v>Total as Reported on State Page Exhibit</v>
      </c>
      <c r="C115" s="117"/>
      <c r="D115" s="37">
        <f>InputB!$M$10</f>
        <v>0</v>
      </c>
      <c r="E115" s="37">
        <f>InputB!$M$15</f>
        <v>0</v>
      </c>
      <c r="F115" s="37">
        <f>InputB!$M$20+InputB!$M$24</f>
        <v>0</v>
      </c>
      <c r="G115" s="37">
        <f>InputB!$M$28</f>
        <v>0</v>
      </c>
      <c r="H115" s="480"/>
      <c r="I115" s="37">
        <f>InputB!$M$33</f>
        <v>0</v>
      </c>
      <c r="J115" s="80">
        <f>InputB!$M$38</f>
        <v>0</v>
      </c>
    </row>
    <row r="116" spans="1:10" ht="15.75" customHeight="1">
      <c r="A116" s="132" t="str">
        <f t="shared" si="19"/>
        <v>Item 2</v>
      </c>
      <c r="B116" s="117" t="str">
        <f t="shared" si="19"/>
        <v>Exclusions Reported on State Page Exhibit</v>
      </c>
      <c r="C116" s="117"/>
      <c r="D116" s="37">
        <f>SUM(InputB!$M$11:$M$11)</f>
        <v>0</v>
      </c>
      <c r="E116" s="37">
        <f>SUM(InputB!$M$16:$M$16)</f>
        <v>0</v>
      </c>
      <c r="F116" s="37">
        <f>SUM(InputB!$M$21:$M$21,InputB!$M$25:$M$25)</f>
        <v>0</v>
      </c>
      <c r="G116" s="37">
        <f>SUM(InputB!$M$29:$M$29)</f>
        <v>0</v>
      </c>
      <c r="H116" s="480"/>
      <c r="I116" s="37">
        <f>SUM(InputB!$M$34:$M$34)</f>
        <v>0</v>
      </c>
      <c r="J116" s="621">
        <f>SUM(InputB!$M$39:$M$39)</f>
        <v>0</v>
      </c>
    </row>
    <row r="117" spans="1:10" ht="15.75" customHeight="1">
      <c r="A117" s="132" t="str">
        <f t="shared" si="19"/>
        <v>Item 3</v>
      </c>
      <c r="B117" s="117" t="str">
        <f t="shared" si="19"/>
        <v>Excess Profit Data [Item 1 -  Item 2]</v>
      </c>
      <c r="C117" s="117"/>
      <c r="D117" s="37">
        <f>D115-D116</f>
        <v>0</v>
      </c>
      <c r="E117" s="37">
        <f>E115-E116</f>
        <v>0</v>
      </c>
      <c r="F117" s="37">
        <f>F115-F116</f>
        <v>0</v>
      </c>
      <c r="G117" s="37">
        <f>G115-G116</f>
        <v>0</v>
      </c>
      <c r="H117" s="480"/>
      <c r="I117" s="37">
        <f>I115-I116</f>
        <v>0</v>
      </c>
      <c r="J117" s="44">
        <f>J115-J116</f>
        <v>0</v>
      </c>
    </row>
    <row r="118" spans="1:10" ht="15.75" customHeight="1">
      <c r="A118" s="132" t="str">
        <f t="shared" si="19"/>
        <v>Item 4</v>
      </c>
      <c r="B118" s="133" t="str">
        <f t="shared" si="19"/>
        <v>UCJF Assessments &amp; Excess Medical Benefits</v>
      </c>
      <c r="C118" s="117"/>
      <c r="D118" s="39" t="str">
        <f>$D$12</f>
        <v>XXX</v>
      </c>
      <c r="E118" s="39" t="str">
        <f>$D$12</f>
        <v>XXX</v>
      </c>
      <c r="F118" s="39" t="str">
        <f>$D$12</f>
        <v>XXX</v>
      </c>
      <c r="G118" s="39" t="str">
        <f>$D$12</f>
        <v>XXX</v>
      </c>
      <c r="H118" s="479"/>
      <c r="I118" s="39" t="str">
        <f>$D$12</f>
        <v>XXX</v>
      </c>
      <c r="J118" s="40" t="str">
        <f>$D$12</f>
        <v>XXX</v>
      </c>
    </row>
    <row r="119" spans="1:10" ht="15.75" customHeight="1">
      <c r="A119" s="473"/>
      <c r="B119" s="117"/>
      <c r="C119" s="117"/>
      <c r="D119" s="37"/>
      <c r="E119" s="37"/>
      <c r="F119" s="37"/>
      <c r="G119" s="37"/>
      <c r="H119" s="480"/>
      <c r="I119" s="37"/>
      <c r="J119" s="173"/>
    </row>
    <row r="120" spans="1:10" ht="15.75" customHeight="1">
      <c r="A120" s="132" t="str">
        <f>A108</f>
        <v>Item 5</v>
      </c>
      <c r="B120" s="117" t="str">
        <f>B108</f>
        <v>Refund of Excess Profit, included in Col (3)</v>
      </c>
      <c r="C120" s="117"/>
      <c r="D120" s="39" t="str">
        <f aca="true" t="shared" si="20" ref="D120:I121">$D$12</f>
        <v>XXX</v>
      </c>
      <c r="E120" s="39" t="str">
        <f t="shared" si="20"/>
        <v>XXX</v>
      </c>
      <c r="F120" s="490" t="s">
        <v>0</v>
      </c>
      <c r="G120" s="39" t="str">
        <f t="shared" si="20"/>
        <v>XXX</v>
      </c>
      <c r="H120" s="479"/>
      <c r="I120" s="39" t="str">
        <f t="shared" si="20"/>
        <v>XXX</v>
      </c>
      <c r="J120" s="40" t="str">
        <f>$D$12</f>
        <v>XXX</v>
      </c>
    </row>
    <row r="121" spans="1:10" ht="15.75" customHeight="1" thickBot="1">
      <c r="A121" s="134" t="str">
        <f>A109</f>
        <v>Item 6</v>
      </c>
      <c r="B121" s="129" t="str">
        <f>B109</f>
        <v>All Other Dividends, included in Col (3)</v>
      </c>
      <c r="C121" s="129"/>
      <c r="D121" s="276" t="str">
        <f t="shared" si="20"/>
        <v>XXX</v>
      </c>
      <c r="E121" s="276" t="str">
        <f t="shared" si="20"/>
        <v>XXX</v>
      </c>
      <c r="F121" s="542" t="s">
        <v>0</v>
      </c>
      <c r="G121" s="276" t="str">
        <f t="shared" si="20"/>
        <v>XXX</v>
      </c>
      <c r="H121" s="572"/>
      <c r="I121" s="276" t="str">
        <f t="shared" si="20"/>
        <v>XXX</v>
      </c>
      <c r="J121" s="277" t="str">
        <f>$D$12</f>
        <v>XXX</v>
      </c>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xl/worksheets/sheet8.xml><?xml version="1.0" encoding="utf-8"?>
<worksheet xmlns="http://schemas.openxmlformats.org/spreadsheetml/2006/main" xmlns:r="http://schemas.openxmlformats.org/officeDocument/2006/relationships">
  <sheetPr codeName="Sheet11" transitionEvaluation="1"/>
  <dimension ref="A1:J121"/>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7109375" style="104" customWidth="1"/>
    <col min="2" max="2" width="12.7109375" style="104" customWidth="1"/>
    <col min="3" max="3" width="38.7109375" style="104" customWidth="1"/>
    <col min="4" max="9" width="17.140625" style="104" customWidth="1"/>
    <col min="10" max="10" width="16.7109375" style="104" customWidth="1"/>
    <col min="11" max="16384" width="11.7109375" style="104" customWidth="1"/>
  </cols>
  <sheetData>
    <row r="1" spans="1:10" ht="15.75" customHeight="1">
      <c r="A1" s="103" t="str">
        <f>InputB!$A$1</f>
        <v>Group Name:</v>
      </c>
      <c r="C1" s="105" t="str">
        <f>InputB!$C$1</f>
        <v>enter group name here</v>
      </c>
      <c r="D1"/>
      <c r="E1"/>
      <c r="F1"/>
      <c r="G1"/>
      <c r="H1"/>
      <c r="I1"/>
      <c r="J1" s="107" t="s">
        <v>154</v>
      </c>
    </row>
    <row r="2" spans="1:10" ht="15.75" customHeight="1">
      <c r="A2" s="108" t="str">
        <f>InputB!$A$2</f>
        <v>Group NAIC #:</v>
      </c>
      <c r="C2" s="105" t="str">
        <f>InputB!$C$2</f>
        <v>enter group # here</v>
      </c>
      <c r="D2"/>
      <c r="E2"/>
      <c r="F2"/>
      <c r="G2"/>
      <c r="H2"/>
      <c r="I2"/>
      <c r="J2" s="107" t="s">
        <v>364</v>
      </c>
    </row>
    <row r="3" spans="1:10" ht="15.75" customHeight="1">
      <c r="A3" s="103" t="str">
        <f>InputB!$A$3</f>
        <v>Year Filed:</v>
      </c>
      <c r="C3" s="110">
        <f>InputB!$C$3</f>
        <v>2024</v>
      </c>
      <c r="D3"/>
      <c r="E3"/>
      <c r="F3"/>
      <c r="G3"/>
      <c r="H3"/>
      <c r="I3"/>
      <c r="J3" s="107" t="s">
        <v>103</v>
      </c>
    </row>
    <row r="4" ht="15.75" customHeight="1" thickBot="1"/>
    <row r="5" spans="1:10" ht="15.75" customHeight="1">
      <c r="A5" s="112" t="str">
        <f>"Calendar Year "&amp;FIXED(ReportYear-1,0,TRUE)</f>
        <v>Calendar Year 2023</v>
      </c>
      <c r="B5" s="113"/>
      <c r="C5" s="113"/>
      <c r="D5" s="611" t="str">
        <f>Exh1A!D5</f>
        <v>Col (1)</v>
      </c>
      <c r="E5" s="611" t="str">
        <f>Exh1A!E5</f>
        <v>Col (2)</v>
      </c>
      <c r="F5" s="611" t="str">
        <f>Exh1A!F5</f>
        <v>Col (3)</v>
      </c>
      <c r="G5" s="611" t="str">
        <f>Exh1A!G5</f>
        <v>Col (4)</v>
      </c>
      <c r="H5" s="612"/>
      <c r="I5" s="611" t="str">
        <f>Exh1A!I5</f>
        <v>Col (5)</v>
      </c>
      <c r="J5" s="619" t="str">
        <f>Exh1A!J5</f>
        <v>Col (6)</v>
      </c>
    </row>
    <row r="6" spans="1:10" ht="15.75" customHeight="1">
      <c r="A6" s="131">
        <f>Exh1A!$A6</f>
      </c>
      <c r="B6" s="117">
        <f>Exh1A!$B6</f>
      </c>
      <c r="C6" s="117"/>
      <c r="D6" s="111" t="str">
        <f>Exh1A!D6</f>
        <v>Direct</v>
      </c>
      <c r="E6" s="111" t="str">
        <f>Exh1A!E6</f>
        <v>Direct</v>
      </c>
      <c r="F6" s="111" t="str">
        <f>Exh1A!F6</f>
        <v>Dividends</v>
      </c>
      <c r="G6" s="111" t="str">
        <f>Exh1A!G6</f>
        <v>Direct</v>
      </c>
      <c r="H6" s="111"/>
      <c r="I6" s="111" t="str">
        <f>Exh1A!I6</f>
        <v>Direct</v>
      </c>
      <c r="J6" s="135" t="str">
        <f>Exh1A!J6</f>
        <v>Direct</v>
      </c>
    </row>
    <row r="7" spans="1:10" ht="15.75" customHeight="1">
      <c r="A7" s="131">
        <f>Exh1A!$A7</f>
      </c>
      <c r="B7" s="117">
        <f>Exh1A!$B7</f>
      </c>
      <c r="C7" s="117"/>
      <c r="D7" s="111" t="str">
        <f>Exh1A!D7</f>
        <v>Written</v>
      </c>
      <c r="E7" s="111" t="str">
        <f>Exh1A!E7</f>
        <v>Earned</v>
      </c>
      <c r="F7" s="111" t="str">
        <f>Exh1A!F7</f>
        <v>on Direct</v>
      </c>
      <c r="G7" s="111" t="str">
        <f>Exh1A!G7</f>
        <v>Unearned</v>
      </c>
      <c r="H7" s="111"/>
      <c r="I7" s="111" t="str">
        <f>Exh1A!I7</f>
        <v>Unpaid</v>
      </c>
      <c r="J7" s="135" t="str">
        <f>Exh1A!J7</f>
        <v>Unpaid</v>
      </c>
    </row>
    <row r="8" spans="1:10" ht="15.75" customHeight="1">
      <c r="A8" s="131">
        <f>Exh1A!$A8</f>
      </c>
      <c r="B8" s="117">
        <f>Exh1A!$B8</f>
      </c>
      <c r="C8" s="117"/>
      <c r="D8" s="123" t="str">
        <f>Exh1A!D8</f>
        <v>Premium</v>
      </c>
      <c r="E8" s="123" t="str">
        <f>Exh1A!E8</f>
        <v>Premium</v>
      </c>
      <c r="F8" s="123" t="str">
        <f>Exh1A!F8</f>
        <v>Business</v>
      </c>
      <c r="G8" s="123" t="str">
        <f>Exh1A!G8</f>
        <v>Premium</v>
      </c>
      <c r="H8" s="123"/>
      <c r="I8" s="123" t="str">
        <f>Exh1A!I8</f>
        <v>Losses</v>
      </c>
      <c r="J8" s="620" t="str">
        <f>Exh1A!J8</f>
        <v>D&amp;CCE</v>
      </c>
    </row>
    <row r="9" spans="1:10" ht="15.75" customHeight="1">
      <c r="A9" s="132" t="str">
        <f>Exh1A!$A9</f>
        <v>Item 1</v>
      </c>
      <c r="B9" s="117" t="str">
        <f>Exh1A!$B9</f>
        <v>Total as Reported on State Page Exhibit</v>
      </c>
      <c r="C9" s="117"/>
      <c r="D9" s="37">
        <f>InputC!$E$10</f>
        <v>0</v>
      </c>
      <c r="E9" s="37">
        <f>InputC!$E$15</f>
        <v>0</v>
      </c>
      <c r="F9" s="37">
        <f>InputC!$E$20+InputC!$E$24</f>
        <v>0</v>
      </c>
      <c r="G9" s="37">
        <f>InputC!$E$28</f>
        <v>0</v>
      </c>
      <c r="H9" s="480"/>
      <c r="I9" s="37">
        <f>InputC!$E$33</f>
        <v>0</v>
      </c>
      <c r="J9" s="80">
        <f>InputC!$E$38</f>
        <v>0</v>
      </c>
    </row>
    <row r="10" spans="1:10" ht="15.75" customHeight="1">
      <c r="A10" s="132" t="str">
        <f>Exh1A!$A10</f>
        <v>Item 2</v>
      </c>
      <c r="B10" s="117" t="str">
        <f>Exh1A!$B10</f>
        <v>Exclusions Reported on State Page Exhibit</v>
      </c>
      <c r="C10" s="117"/>
      <c r="D10" s="37">
        <f>SUM(InputC!$E$11:$E$11)</f>
        <v>0</v>
      </c>
      <c r="E10" s="37">
        <f>SUM(InputC!$E$16:$E$16)</f>
        <v>0</v>
      </c>
      <c r="F10" s="37">
        <f>SUM(InputC!$E$21:$E$21,InputC!$E$25:$E$25)</f>
        <v>0</v>
      </c>
      <c r="G10" s="37">
        <f>SUM(InputC!$E$29:$E$29)</f>
        <v>0</v>
      </c>
      <c r="H10" s="480"/>
      <c r="I10" s="37">
        <f>SUM(InputC!$E$34:$E$34)</f>
        <v>0</v>
      </c>
      <c r="J10" s="626">
        <f>SUM(InputC!$E$39:$E$39)</f>
        <v>0</v>
      </c>
    </row>
    <row r="11" spans="1:10" ht="15.75" customHeight="1">
      <c r="A11" s="132" t="str">
        <f>Exh1A!$A11</f>
        <v>Item 3</v>
      </c>
      <c r="B11" s="117" t="str">
        <f>Exh1A!$B11</f>
        <v>Excess Profit Data [Item 1 -  Item 2]</v>
      </c>
      <c r="C11" s="117"/>
      <c r="D11" s="37">
        <f>D9-D10</f>
        <v>0</v>
      </c>
      <c r="E11" s="37">
        <f>E9-E10</f>
        <v>0</v>
      </c>
      <c r="F11" s="37">
        <f>F9-F10</f>
        <v>0</v>
      </c>
      <c r="G11" s="37">
        <f>G9-G10</f>
        <v>0</v>
      </c>
      <c r="H11" s="480"/>
      <c r="I11" s="37">
        <f>I9-I10</f>
        <v>0</v>
      </c>
      <c r="J11" s="44">
        <f>J9-J10</f>
        <v>0</v>
      </c>
    </row>
    <row r="12" spans="1:10" ht="15.75" customHeight="1">
      <c r="A12" s="132" t="str">
        <f>Exh1A!$A12</f>
        <v>Item 4</v>
      </c>
      <c r="B12" s="133" t="str">
        <f>Exh1A!$B12</f>
        <v>UCJF Assessments &amp; Excess Medical Benefits</v>
      </c>
      <c r="C12" s="117"/>
      <c r="D12" s="39" t="str">
        <f>InputC!$E$12</f>
        <v>XXX</v>
      </c>
      <c r="E12" s="39" t="str">
        <f>InputC!$E$17</f>
        <v>XXX</v>
      </c>
      <c r="F12" s="39" t="s">
        <v>0</v>
      </c>
      <c r="G12" s="39" t="s">
        <v>0</v>
      </c>
      <c r="H12" s="479"/>
      <c r="I12" s="39" t="str">
        <f>InputC!$E$35</f>
        <v>XXX</v>
      </c>
      <c r="J12" s="40" t="s">
        <v>0</v>
      </c>
    </row>
    <row r="13" spans="1:10" ht="15.75" customHeight="1">
      <c r="A13" s="132"/>
      <c r="B13" s="117"/>
      <c r="C13" s="117"/>
      <c r="D13" s="37"/>
      <c r="E13" s="37"/>
      <c r="F13" s="37"/>
      <c r="G13" s="37"/>
      <c r="H13" s="480"/>
      <c r="I13" s="37"/>
      <c r="J13" s="173"/>
    </row>
    <row r="14" spans="1:10" ht="15.75" customHeight="1">
      <c r="A14" s="132" t="str">
        <f>Exh1A!$A14</f>
        <v>Item 5</v>
      </c>
      <c r="B14" s="117" t="str">
        <f>Exh1A!$B14</f>
        <v>Refund of Excess Profit, included in Col (3)</v>
      </c>
      <c r="C14" s="117"/>
      <c r="D14" s="39" t="s">
        <v>0</v>
      </c>
      <c r="E14" s="39" t="s">
        <v>0</v>
      </c>
      <c r="F14" s="490" t="s">
        <v>0</v>
      </c>
      <c r="G14" s="39" t="s">
        <v>0</v>
      </c>
      <c r="H14" s="479"/>
      <c r="I14" s="39" t="s">
        <v>0</v>
      </c>
      <c r="J14" s="40" t="s">
        <v>0</v>
      </c>
    </row>
    <row r="15" spans="1:10" ht="15.75" customHeight="1" thickBot="1">
      <c r="A15" s="134" t="str">
        <f>Exh1A!$A15</f>
        <v>Item 6</v>
      </c>
      <c r="B15" s="129" t="str">
        <f>Exh1A!$B15</f>
        <v>All Other Dividends, included in Col (3)</v>
      </c>
      <c r="C15" s="129"/>
      <c r="D15" s="276" t="s">
        <v>0</v>
      </c>
      <c r="E15" s="276" t="s">
        <v>0</v>
      </c>
      <c r="F15" s="542" t="s">
        <v>0</v>
      </c>
      <c r="G15" s="276" t="s">
        <v>0</v>
      </c>
      <c r="H15" s="572"/>
      <c r="I15" s="276" t="s">
        <v>0</v>
      </c>
      <c r="J15" s="277" t="s">
        <v>0</v>
      </c>
    </row>
    <row r="16" ht="15.75" customHeight="1" thickBot="1"/>
    <row r="17" spans="1:10" ht="15.75" customHeight="1">
      <c r="A17" s="112" t="str">
        <f>"Calendar Year "&amp;FIXED(ReportYear-2,0,TRUE)</f>
        <v>Calendar Year 2022</v>
      </c>
      <c r="B17" s="113"/>
      <c r="C17" s="113"/>
      <c r="D17" s="611" t="str">
        <f>D5</f>
        <v>Col (1)</v>
      </c>
      <c r="E17" s="611" t="str">
        <f>Exh1B!$E$5</f>
        <v>Col (2)</v>
      </c>
      <c r="F17" s="611" t="str">
        <f>Exh1B!$F$5</f>
        <v>Col (3)</v>
      </c>
      <c r="G17" s="611" t="str">
        <f>Exh1B!$G$5</f>
        <v>Col (4)</v>
      </c>
      <c r="H17" s="612"/>
      <c r="I17" s="611" t="str">
        <f>Exh1B!$I$5</f>
        <v>Col (5)</v>
      </c>
      <c r="J17" s="619" t="str">
        <f>Exh1B!$J$5</f>
        <v>Col (6)</v>
      </c>
    </row>
    <row r="18" spans="1:10" ht="15.75" customHeight="1">
      <c r="A18" s="131"/>
      <c r="B18" s="117"/>
      <c r="C18" s="117"/>
      <c r="D18" s="111" t="str">
        <f>D6</f>
        <v>Direct</v>
      </c>
      <c r="E18" s="111" t="str">
        <f aca="true" t="shared" si="0" ref="E18:G20">E6</f>
        <v>Direct</v>
      </c>
      <c r="F18" s="111" t="str">
        <f t="shared" si="0"/>
        <v>Dividends</v>
      </c>
      <c r="G18" s="111" t="str">
        <f t="shared" si="0"/>
        <v>Direct</v>
      </c>
      <c r="H18" s="111"/>
      <c r="I18" s="111" t="str">
        <f aca="true" t="shared" si="1" ref="I18:J20">I6</f>
        <v>Direct</v>
      </c>
      <c r="J18" s="135" t="str">
        <f t="shared" si="1"/>
        <v>Direct</v>
      </c>
    </row>
    <row r="19" spans="1:10" ht="15.75" customHeight="1">
      <c r="A19" s="131"/>
      <c r="B19" s="117"/>
      <c r="C19" s="117"/>
      <c r="D19" s="111" t="str">
        <f>D7</f>
        <v>Written</v>
      </c>
      <c r="E19" s="111" t="str">
        <f t="shared" si="0"/>
        <v>Earned</v>
      </c>
      <c r="F19" s="111" t="str">
        <f t="shared" si="0"/>
        <v>on Direct</v>
      </c>
      <c r="G19" s="111" t="str">
        <f t="shared" si="0"/>
        <v>Unearned</v>
      </c>
      <c r="H19" s="111"/>
      <c r="I19" s="111" t="str">
        <f t="shared" si="1"/>
        <v>Unpaid</v>
      </c>
      <c r="J19" s="135" t="str">
        <f t="shared" si="1"/>
        <v>Unpaid</v>
      </c>
    </row>
    <row r="20" spans="1:10" ht="15.75" customHeight="1">
      <c r="A20" s="131"/>
      <c r="B20" s="117"/>
      <c r="C20" s="117"/>
      <c r="D20" s="123" t="str">
        <f>D8</f>
        <v>Premium</v>
      </c>
      <c r="E20" s="123" t="str">
        <f t="shared" si="0"/>
        <v>Premium</v>
      </c>
      <c r="F20" s="123" t="str">
        <f t="shared" si="0"/>
        <v>Business</v>
      </c>
      <c r="G20" s="123" t="str">
        <f t="shared" si="0"/>
        <v>Premium</v>
      </c>
      <c r="H20" s="123"/>
      <c r="I20" s="123" t="str">
        <f t="shared" si="1"/>
        <v>Losses</v>
      </c>
      <c r="J20" s="620" t="str">
        <f t="shared" si="1"/>
        <v>D&amp;CCE</v>
      </c>
    </row>
    <row r="21" spans="1:10" ht="15.75" customHeight="1">
      <c r="A21" s="132" t="str">
        <f aca="true" t="shared" si="2" ref="A21:B24">A9</f>
        <v>Item 1</v>
      </c>
      <c r="B21" s="117" t="str">
        <f t="shared" si="2"/>
        <v>Total as Reported on State Page Exhibit</v>
      </c>
      <c r="C21" s="117"/>
      <c r="D21" s="37">
        <f>InputC!$F$10</f>
        <v>0</v>
      </c>
      <c r="E21" s="37">
        <f>InputC!$F$15</f>
        <v>0</v>
      </c>
      <c r="F21" s="37">
        <f>InputC!$F$20+InputC!$F$24</f>
        <v>0</v>
      </c>
      <c r="G21" s="37">
        <f>InputC!$F$28</f>
        <v>0</v>
      </c>
      <c r="H21" s="480"/>
      <c r="I21" s="37">
        <f>InputC!$F$33</f>
        <v>0</v>
      </c>
      <c r="J21" s="80">
        <f>InputC!$F$38</f>
        <v>0</v>
      </c>
    </row>
    <row r="22" spans="1:10" ht="15.75" customHeight="1">
      <c r="A22" s="132" t="str">
        <f t="shared" si="2"/>
        <v>Item 2</v>
      </c>
      <c r="B22" s="117" t="str">
        <f t="shared" si="2"/>
        <v>Exclusions Reported on State Page Exhibit</v>
      </c>
      <c r="C22" s="117"/>
      <c r="D22" s="37">
        <f>SUM(InputC!$F$11:$F$11)</f>
        <v>0</v>
      </c>
      <c r="E22" s="37">
        <f>SUM(InputC!$F$16:$F$16)</f>
        <v>0</v>
      </c>
      <c r="F22" s="37">
        <f>SUM(InputC!$F$21:$F$21,InputC!$F$25:$F$25)</f>
        <v>0</v>
      </c>
      <c r="G22" s="37">
        <f>SUM(InputC!$F$29:$F$29)</f>
        <v>0</v>
      </c>
      <c r="H22" s="480"/>
      <c r="I22" s="37">
        <f>SUM(InputC!$F$34:$F$34)</f>
        <v>0</v>
      </c>
      <c r="J22" s="626">
        <f>SUM(InputC!$F$39:$F$39)</f>
        <v>0</v>
      </c>
    </row>
    <row r="23" spans="1:10" ht="15.75" customHeight="1">
      <c r="A23" s="132" t="str">
        <f t="shared" si="2"/>
        <v>Item 3</v>
      </c>
      <c r="B23" s="117" t="str">
        <f t="shared" si="2"/>
        <v>Excess Profit Data [Item 1 -  Item 2]</v>
      </c>
      <c r="C23" s="117"/>
      <c r="D23" s="37">
        <f>D21-D22</f>
        <v>0</v>
      </c>
      <c r="E23" s="37">
        <f>E21-E22</f>
        <v>0</v>
      </c>
      <c r="F23" s="37">
        <f>F21-F22</f>
        <v>0</v>
      </c>
      <c r="G23" s="37">
        <f>G21-G22</f>
        <v>0</v>
      </c>
      <c r="H23" s="480"/>
      <c r="I23" s="37">
        <f>I21-I22</f>
        <v>0</v>
      </c>
      <c r="J23" s="44">
        <f>J21-J22</f>
        <v>0</v>
      </c>
    </row>
    <row r="24" spans="1:10" ht="15.75" customHeight="1">
      <c r="A24" s="132" t="str">
        <f t="shared" si="2"/>
        <v>Item 4</v>
      </c>
      <c r="B24" s="133" t="str">
        <f t="shared" si="2"/>
        <v>UCJF Assessments &amp; Excess Medical Benefits</v>
      </c>
      <c r="C24" s="117"/>
      <c r="D24" s="39" t="str">
        <f>InputC!$F$12</f>
        <v>XXX</v>
      </c>
      <c r="E24" s="39" t="str">
        <f>InputC!$F$17</f>
        <v>XXX</v>
      </c>
      <c r="F24" s="39" t="s">
        <v>0</v>
      </c>
      <c r="G24" s="39" t="s">
        <v>0</v>
      </c>
      <c r="H24" s="479"/>
      <c r="I24" s="39" t="str">
        <f>InputC!$F$35</f>
        <v>XXX</v>
      </c>
      <c r="J24" s="40" t="s">
        <v>0</v>
      </c>
    </row>
    <row r="25" spans="1:10" ht="15.75" customHeight="1">
      <c r="A25" s="132"/>
      <c r="B25" s="117"/>
      <c r="C25" s="117"/>
      <c r="D25" s="37"/>
      <c r="E25" s="37"/>
      <c r="F25" s="37"/>
      <c r="G25" s="37"/>
      <c r="H25" s="480"/>
      <c r="I25" s="37"/>
      <c r="J25" s="173"/>
    </row>
    <row r="26" spans="1:10" ht="15.75" customHeight="1">
      <c r="A26" s="132" t="str">
        <f>A14</f>
        <v>Item 5</v>
      </c>
      <c r="B26" s="117" t="str">
        <f>B14</f>
        <v>Refund of Excess Profit, included in Col (3)</v>
      </c>
      <c r="C26" s="117"/>
      <c r="D26" s="39" t="s">
        <v>0</v>
      </c>
      <c r="E26" s="39" t="s">
        <v>0</v>
      </c>
      <c r="F26" s="490" t="s">
        <v>0</v>
      </c>
      <c r="G26" s="39" t="s">
        <v>0</v>
      </c>
      <c r="H26" s="479"/>
      <c r="I26" s="39" t="s">
        <v>0</v>
      </c>
      <c r="J26" s="40" t="s">
        <v>0</v>
      </c>
    </row>
    <row r="27" spans="1:10" ht="15.75" customHeight="1" thickBot="1">
      <c r="A27" s="134" t="str">
        <f>A15</f>
        <v>Item 6</v>
      </c>
      <c r="B27" s="129" t="str">
        <f>B15</f>
        <v>All Other Dividends, included in Col (3)</v>
      </c>
      <c r="C27" s="129"/>
      <c r="D27" s="276" t="s">
        <v>0</v>
      </c>
      <c r="E27" s="276" t="s">
        <v>0</v>
      </c>
      <c r="F27" s="542" t="s">
        <v>0</v>
      </c>
      <c r="G27" s="276" t="s">
        <v>0</v>
      </c>
      <c r="H27" s="572"/>
      <c r="I27" s="276" t="s">
        <v>0</v>
      </c>
      <c r="J27" s="277" t="s">
        <v>0</v>
      </c>
    </row>
    <row r="28" ht="15.75" customHeight="1" thickBot="1"/>
    <row r="29" spans="1:10" ht="15.75" customHeight="1">
      <c r="A29" s="112" t="str">
        <f>"Calendar Year "&amp;FIXED(ReportYear-3,0,TRUE)</f>
        <v>Calendar Year 2021</v>
      </c>
      <c r="B29" s="113"/>
      <c r="C29" s="113"/>
      <c r="D29" s="611" t="str">
        <f>D17</f>
        <v>Col (1)</v>
      </c>
      <c r="E29" s="611" t="str">
        <f>Exh1B!$E$5</f>
        <v>Col (2)</v>
      </c>
      <c r="F29" s="611" t="str">
        <f>Exh1B!$F$5</f>
        <v>Col (3)</v>
      </c>
      <c r="G29" s="611" t="str">
        <f>Exh1B!$G$5</f>
        <v>Col (4)</v>
      </c>
      <c r="H29" s="612"/>
      <c r="I29" s="611" t="str">
        <f>Exh1B!$I$5</f>
        <v>Col (5)</v>
      </c>
      <c r="J29" s="619" t="str">
        <f>Exh1B!$J$5</f>
        <v>Col (6)</v>
      </c>
    </row>
    <row r="30" spans="1:10" ht="15.75" customHeight="1">
      <c r="A30" s="131"/>
      <c r="B30" s="117"/>
      <c r="C30" s="117"/>
      <c r="D30" s="111" t="str">
        <f>D18</f>
        <v>Direct</v>
      </c>
      <c r="E30" s="111" t="str">
        <f aca="true" t="shared" si="3" ref="E30:G32">E18</f>
        <v>Direct</v>
      </c>
      <c r="F30" s="111" t="str">
        <f t="shared" si="3"/>
        <v>Dividends</v>
      </c>
      <c r="G30" s="111" t="str">
        <f t="shared" si="3"/>
        <v>Direct</v>
      </c>
      <c r="H30" s="111"/>
      <c r="I30" s="111" t="str">
        <f aca="true" t="shared" si="4" ref="I30:J32">I18</f>
        <v>Direct</v>
      </c>
      <c r="J30" s="135" t="str">
        <f t="shared" si="4"/>
        <v>Direct</v>
      </c>
    </row>
    <row r="31" spans="1:10" ht="15.75" customHeight="1">
      <c r="A31" s="131"/>
      <c r="B31" s="117"/>
      <c r="C31" s="117"/>
      <c r="D31" s="111" t="str">
        <f>D19</f>
        <v>Written</v>
      </c>
      <c r="E31" s="111" t="str">
        <f t="shared" si="3"/>
        <v>Earned</v>
      </c>
      <c r="F31" s="111" t="str">
        <f t="shared" si="3"/>
        <v>on Direct</v>
      </c>
      <c r="G31" s="111" t="str">
        <f t="shared" si="3"/>
        <v>Unearned</v>
      </c>
      <c r="H31" s="111"/>
      <c r="I31" s="111" t="str">
        <f t="shared" si="4"/>
        <v>Unpaid</v>
      </c>
      <c r="J31" s="135" t="str">
        <f t="shared" si="4"/>
        <v>Unpaid</v>
      </c>
    </row>
    <row r="32" spans="1:10" ht="15.75" customHeight="1">
      <c r="A32" s="131"/>
      <c r="B32" s="117"/>
      <c r="C32" s="117"/>
      <c r="D32" s="123" t="str">
        <f>D20</f>
        <v>Premium</v>
      </c>
      <c r="E32" s="123" t="str">
        <f t="shared" si="3"/>
        <v>Premium</v>
      </c>
      <c r="F32" s="123" t="str">
        <f t="shared" si="3"/>
        <v>Business</v>
      </c>
      <c r="G32" s="123" t="str">
        <f t="shared" si="3"/>
        <v>Premium</v>
      </c>
      <c r="H32" s="123"/>
      <c r="I32" s="123" t="str">
        <f t="shared" si="4"/>
        <v>Losses</v>
      </c>
      <c r="J32" s="620" t="str">
        <f t="shared" si="4"/>
        <v>D&amp;CCE</v>
      </c>
    </row>
    <row r="33" spans="1:10" ht="15.75" customHeight="1">
      <c r="A33" s="132" t="str">
        <f aca="true" t="shared" si="5" ref="A33:B36">A21</f>
        <v>Item 1</v>
      </c>
      <c r="B33" s="117" t="str">
        <f t="shared" si="5"/>
        <v>Total as Reported on State Page Exhibit</v>
      </c>
      <c r="C33" s="117"/>
      <c r="D33" s="37">
        <f>InputC!$G$10</f>
        <v>0</v>
      </c>
      <c r="E33" s="37">
        <f>InputC!$G$15</f>
        <v>0</v>
      </c>
      <c r="F33" s="37">
        <f>InputC!$G$20+InputC!$G$24</f>
        <v>0</v>
      </c>
      <c r="G33" s="37">
        <f>InputC!$G$28</f>
        <v>0</v>
      </c>
      <c r="H33" s="480"/>
      <c r="I33" s="37">
        <f>InputC!$G$33</f>
        <v>0</v>
      </c>
      <c r="J33" s="80">
        <f>InputC!$G$38</f>
        <v>0</v>
      </c>
    </row>
    <row r="34" spans="1:10" ht="15.75" customHeight="1">
      <c r="A34" s="132" t="str">
        <f t="shared" si="5"/>
        <v>Item 2</v>
      </c>
      <c r="B34" s="117" t="str">
        <f t="shared" si="5"/>
        <v>Exclusions Reported on State Page Exhibit</v>
      </c>
      <c r="C34" s="117"/>
      <c r="D34" s="37">
        <f>SUM(InputC!$G$11:$G$11)</f>
        <v>0</v>
      </c>
      <c r="E34" s="37">
        <f>SUM(InputC!$G$16:$G$16)</f>
        <v>0</v>
      </c>
      <c r="F34" s="37">
        <f>SUM(InputC!$G$21:$G$21,InputC!$G$25:$G$25)</f>
        <v>0</v>
      </c>
      <c r="G34" s="37">
        <f>SUM(InputC!$G$29:$G$29)</f>
        <v>0</v>
      </c>
      <c r="H34" s="480"/>
      <c r="I34" s="37">
        <f>SUM(InputC!$G$34:$G$34)</f>
        <v>0</v>
      </c>
      <c r="J34" s="626">
        <f>SUM(InputC!$G$39:$G$39)</f>
        <v>0</v>
      </c>
    </row>
    <row r="35" spans="1:10" ht="15.75" customHeight="1">
      <c r="A35" s="132" t="str">
        <f t="shared" si="5"/>
        <v>Item 3</v>
      </c>
      <c r="B35" s="117" t="str">
        <f t="shared" si="5"/>
        <v>Excess Profit Data [Item 1 -  Item 2]</v>
      </c>
      <c r="C35" s="117"/>
      <c r="D35" s="37">
        <f>D33-D34</f>
        <v>0</v>
      </c>
      <c r="E35" s="37">
        <f>E33-E34</f>
        <v>0</v>
      </c>
      <c r="F35" s="37">
        <f>F33-F34</f>
        <v>0</v>
      </c>
      <c r="G35" s="37">
        <f>G33-G34</f>
        <v>0</v>
      </c>
      <c r="H35" s="480"/>
      <c r="I35" s="37">
        <f>I33-I34</f>
        <v>0</v>
      </c>
      <c r="J35" s="37">
        <f>J33-J34</f>
        <v>0</v>
      </c>
    </row>
    <row r="36" spans="1:10" ht="15.75" customHeight="1">
      <c r="A36" s="132" t="str">
        <f t="shared" si="5"/>
        <v>Item 4</v>
      </c>
      <c r="B36" s="133" t="str">
        <f t="shared" si="5"/>
        <v>UCJF Assessments &amp; Excess Medical Benefits</v>
      </c>
      <c r="C36" s="117"/>
      <c r="D36" s="39" t="str">
        <f>InputC!$G$12</f>
        <v>XXX</v>
      </c>
      <c r="E36" s="39" t="str">
        <f>InputC!$G$17</f>
        <v>XXX</v>
      </c>
      <c r="F36" s="39" t="s">
        <v>0</v>
      </c>
      <c r="G36" s="39" t="s">
        <v>0</v>
      </c>
      <c r="H36" s="479"/>
      <c r="I36" s="39" t="str">
        <f>InputC!$G$35</f>
        <v>XXX</v>
      </c>
      <c r="J36" s="40" t="s">
        <v>0</v>
      </c>
    </row>
    <row r="37" spans="1:10" ht="15.75" customHeight="1">
      <c r="A37" s="132"/>
      <c r="B37" s="117"/>
      <c r="C37" s="117"/>
      <c r="D37" s="37"/>
      <c r="E37" s="37"/>
      <c r="F37" s="37"/>
      <c r="G37" s="37"/>
      <c r="H37" s="480"/>
      <c r="I37" s="37"/>
      <c r="J37" s="173"/>
    </row>
    <row r="38" spans="1:10" ht="15.75" customHeight="1">
      <c r="A38" s="132" t="str">
        <f>A26</f>
        <v>Item 5</v>
      </c>
      <c r="B38" s="117" t="str">
        <f>B26</f>
        <v>Refund of Excess Profit, included in Col (3)</v>
      </c>
      <c r="C38" s="117"/>
      <c r="D38" s="39" t="s">
        <v>0</v>
      </c>
      <c r="E38" s="39" t="s">
        <v>0</v>
      </c>
      <c r="F38" s="490" t="s">
        <v>0</v>
      </c>
      <c r="G38" s="39" t="s">
        <v>0</v>
      </c>
      <c r="H38" s="479"/>
      <c r="I38" s="39" t="s">
        <v>0</v>
      </c>
      <c r="J38" s="40" t="s">
        <v>0</v>
      </c>
    </row>
    <row r="39" spans="1:10" ht="15.75" customHeight="1" thickBot="1">
      <c r="A39" s="134" t="str">
        <f>A27</f>
        <v>Item 6</v>
      </c>
      <c r="B39" s="129" t="str">
        <f>B27</f>
        <v>All Other Dividends, included in Col (3)</v>
      </c>
      <c r="C39" s="129"/>
      <c r="D39" s="276" t="s">
        <v>0</v>
      </c>
      <c r="E39" s="276" t="s">
        <v>0</v>
      </c>
      <c r="F39" s="542" t="s">
        <v>0</v>
      </c>
      <c r="G39" s="276" t="s">
        <v>0</v>
      </c>
      <c r="H39" s="572"/>
      <c r="I39" s="276" t="s">
        <v>0</v>
      </c>
      <c r="J39" s="277" t="s">
        <v>0</v>
      </c>
    </row>
    <row r="42" spans="1:10" ht="15.75" customHeight="1">
      <c r="A42" s="103" t="str">
        <f>InputB!$A$1</f>
        <v>Group Name:</v>
      </c>
      <c r="C42" s="105" t="str">
        <f>InputB!$C$1</f>
        <v>enter group name here</v>
      </c>
      <c r="D42"/>
      <c r="E42"/>
      <c r="F42"/>
      <c r="G42"/>
      <c r="H42"/>
      <c r="I42"/>
      <c r="J42" s="107" t="s">
        <v>154</v>
      </c>
    </row>
    <row r="43" spans="1:10" ht="15.75" customHeight="1">
      <c r="A43" s="108" t="str">
        <f>InputB!$A$2</f>
        <v>Group NAIC #:</v>
      </c>
      <c r="C43" s="105" t="str">
        <f>InputB!$C$2</f>
        <v>enter group # here</v>
      </c>
      <c r="D43"/>
      <c r="E43"/>
      <c r="F43"/>
      <c r="G43"/>
      <c r="H43"/>
      <c r="I43"/>
      <c r="J43" s="107" t="s">
        <v>364</v>
      </c>
    </row>
    <row r="44" spans="1:10" ht="15.75" customHeight="1">
      <c r="A44" s="103" t="str">
        <f>InputB!$A$3</f>
        <v>Year Filed:</v>
      </c>
      <c r="C44" s="110">
        <f>InputB!$C$3</f>
        <v>2024</v>
      </c>
      <c r="D44"/>
      <c r="E44"/>
      <c r="F44"/>
      <c r="G44"/>
      <c r="H44"/>
      <c r="I44"/>
      <c r="J44" s="107" t="s">
        <v>116</v>
      </c>
    </row>
    <row r="45" ht="15.75" customHeight="1" thickBot="1"/>
    <row r="46" spans="1:10" ht="15.75" customHeight="1">
      <c r="A46" s="112" t="str">
        <f>"Calendar Year "&amp;FIXED(ReportYear-4,0,TRUE)</f>
        <v>Calendar Year 2020</v>
      </c>
      <c r="B46" s="113"/>
      <c r="C46" s="113"/>
      <c r="D46" s="611" t="str">
        <f>D29</f>
        <v>Col (1)</v>
      </c>
      <c r="E46" s="611" t="str">
        <f>Exh1B!$E$5</f>
        <v>Col (2)</v>
      </c>
      <c r="F46" s="611" t="str">
        <f>Exh1B!$F$5</f>
        <v>Col (3)</v>
      </c>
      <c r="G46" s="611" t="str">
        <f>Exh1B!$G$5</f>
        <v>Col (4)</v>
      </c>
      <c r="H46" s="612"/>
      <c r="I46" s="611" t="str">
        <f>Exh1B!$I$5</f>
        <v>Col (5)</v>
      </c>
      <c r="J46" s="619" t="str">
        <f>Exh1B!$J$5</f>
        <v>Col (6)</v>
      </c>
    </row>
    <row r="47" spans="1:10" ht="15.75" customHeight="1">
      <c r="A47" s="131"/>
      <c r="B47" s="117"/>
      <c r="C47" s="117"/>
      <c r="D47" s="111" t="str">
        <f>D30</f>
        <v>Direct</v>
      </c>
      <c r="E47" s="111" t="str">
        <f aca="true" t="shared" si="6" ref="E47:G49">E30</f>
        <v>Direct</v>
      </c>
      <c r="F47" s="111" t="str">
        <f t="shared" si="6"/>
        <v>Dividends</v>
      </c>
      <c r="G47" s="111" t="str">
        <f t="shared" si="6"/>
        <v>Direct</v>
      </c>
      <c r="H47" s="111"/>
      <c r="I47" s="111" t="str">
        <f aca="true" t="shared" si="7" ref="I47:J49">I30</f>
        <v>Direct</v>
      </c>
      <c r="J47" s="135" t="str">
        <f t="shared" si="7"/>
        <v>Direct</v>
      </c>
    </row>
    <row r="48" spans="1:10" ht="15.75" customHeight="1">
      <c r="A48" s="131"/>
      <c r="B48" s="117"/>
      <c r="C48" s="117"/>
      <c r="D48" s="111" t="str">
        <f>D31</f>
        <v>Written</v>
      </c>
      <c r="E48" s="111" t="str">
        <f t="shared" si="6"/>
        <v>Earned</v>
      </c>
      <c r="F48" s="111" t="str">
        <f t="shared" si="6"/>
        <v>on Direct</v>
      </c>
      <c r="G48" s="111" t="str">
        <f t="shared" si="6"/>
        <v>Unearned</v>
      </c>
      <c r="H48" s="111"/>
      <c r="I48" s="111" t="str">
        <f t="shared" si="7"/>
        <v>Unpaid</v>
      </c>
      <c r="J48" s="135" t="str">
        <f t="shared" si="7"/>
        <v>Unpaid</v>
      </c>
    </row>
    <row r="49" spans="1:10" ht="15.75" customHeight="1">
      <c r="A49" s="131"/>
      <c r="B49" s="117"/>
      <c r="C49" s="117"/>
      <c r="D49" s="123" t="str">
        <f>D32</f>
        <v>Premium</v>
      </c>
      <c r="E49" s="123" t="str">
        <f t="shared" si="6"/>
        <v>Premium</v>
      </c>
      <c r="F49" s="123" t="str">
        <f t="shared" si="6"/>
        <v>Business</v>
      </c>
      <c r="G49" s="123" t="str">
        <f t="shared" si="6"/>
        <v>Premium</v>
      </c>
      <c r="H49" s="123"/>
      <c r="I49" s="123" t="str">
        <f t="shared" si="7"/>
        <v>Losses</v>
      </c>
      <c r="J49" s="620" t="str">
        <f t="shared" si="7"/>
        <v>D&amp;CCE</v>
      </c>
    </row>
    <row r="50" spans="1:10" ht="15.75" customHeight="1">
      <c r="A50" s="132" t="str">
        <f aca="true" t="shared" si="8" ref="A50:B53">A33</f>
        <v>Item 1</v>
      </c>
      <c r="B50" s="117" t="str">
        <f t="shared" si="8"/>
        <v>Total as Reported on State Page Exhibit</v>
      </c>
      <c r="C50" s="117"/>
      <c r="D50" s="37">
        <f>InputC!$H$10</f>
        <v>0</v>
      </c>
      <c r="E50" s="37">
        <f>InputC!$H$15</f>
        <v>0</v>
      </c>
      <c r="F50" s="37">
        <f>InputC!$H$20+InputC!$H$24</f>
        <v>0</v>
      </c>
      <c r="G50" s="37">
        <f>InputC!$H$28</f>
        <v>0</v>
      </c>
      <c r="H50" s="480"/>
      <c r="I50" s="37">
        <f>InputC!$H$33</f>
        <v>0</v>
      </c>
      <c r="J50" s="80">
        <f>InputC!$H$38</f>
        <v>0</v>
      </c>
    </row>
    <row r="51" spans="1:10" ht="15.75" customHeight="1">
      <c r="A51" s="132" t="str">
        <f t="shared" si="8"/>
        <v>Item 2</v>
      </c>
      <c r="B51" s="117" t="str">
        <f t="shared" si="8"/>
        <v>Exclusions Reported on State Page Exhibit</v>
      </c>
      <c r="C51" s="117"/>
      <c r="D51" s="37">
        <f>SUM(InputC!$H$11:$H$11)</f>
        <v>0</v>
      </c>
      <c r="E51" s="37">
        <f>SUM(InputC!$H$16:$H$16)</f>
        <v>0</v>
      </c>
      <c r="F51" s="37">
        <f>SUM(InputC!$H$21:$H$21,InputC!$H$25:$H$25)</f>
        <v>0</v>
      </c>
      <c r="G51" s="37">
        <f>SUM(InputC!$H$29:$H$29)</f>
        <v>0</v>
      </c>
      <c r="H51" s="480"/>
      <c r="I51" s="37">
        <f>SUM(InputC!$H$34:$H$34)</f>
        <v>0</v>
      </c>
      <c r="J51" s="621">
        <f>SUM(InputC!$H$39:$H$39)</f>
        <v>0</v>
      </c>
    </row>
    <row r="52" spans="1:10" ht="15.75" customHeight="1">
      <c r="A52" s="132" t="str">
        <f t="shared" si="8"/>
        <v>Item 3</v>
      </c>
      <c r="B52" s="117" t="str">
        <f t="shared" si="8"/>
        <v>Excess Profit Data [Item 1 -  Item 2]</v>
      </c>
      <c r="C52" s="117"/>
      <c r="D52" s="37">
        <f>D50-D51</f>
        <v>0</v>
      </c>
      <c r="E52" s="37">
        <f>E50-E51</f>
        <v>0</v>
      </c>
      <c r="F52" s="37">
        <f>F50-F51</f>
        <v>0</v>
      </c>
      <c r="G52" s="37">
        <f>G50-G51</f>
        <v>0</v>
      </c>
      <c r="H52" s="480"/>
      <c r="I52" s="37">
        <f>I50-I51</f>
        <v>0</v>
      </c>
      <c r="J52" s="44">
        <f>J50-J51</f>
        <v>0</v>
      </c>
    </row>
    <row r="53" spans="1:10" ht="15.75" customHeight="1">
      <c r="A53" s="132" t="str">
        <f t="shared" si="8"/>
        <v>Item 4</v>
      </c>
      <c r="B53" s="133" t="str">
        <f t="shared" si="8"/>
        <v>UCJF Assessments &amp; Excess Medical Benefits</v>
      </c>
      <c r="C53" s="117"/>
      <c r="D53" s="39" t="str">
        <f>InputC!$H$12</f>
        <v>XXX</v>
      </c>
      <c r="E53" s="39" t="str">
        <f>InputC!$H$17</f>
        <v>XXX</v>
      </c>
      <c r="F53" s="39" t="s">
        <v>0</v>
      </c>
      <c r="G53" s="39" t="s">
        <v>0</v>
      </c>
      <c r="H53" s="479"/>
      <c r="I53" s="39" t="str">
        <f>InputC!$H$35</f>
        <v>XXX</v>
      </c>
      <c r="J53" s="40" t="s">
        <v>0</v>
      </c>
    </row>
    <row r="54" spans="1:10" ht="15.75" customHeight="1">
      <c r="A54" s="132"/>
      <c r="B54" s="117"/>
      <c r="C54" s="117"/>
      <c r="D54" s="37"/>
      <c r="E54" s="37"/>
      <c r="F54" s="37"/>
      <c r="G54" s="37"/>
      <c r="H54" s="480"/>
      <c r="I54" s="37"/>
      <c r="J54" s="173"/>
    </row>
    <row r="55" spans="1:10" ht="15.75" customHeight="1">
      <c r="A55" s="132" t="str">
        <f>A38</f>
        <v>Item 5</v>
      </c>
      <c r="B55" s="117" t="str">
        <f>B38</f>
        <v>Refund of Excess Profit, included in Col (3)</v>
      </c>
      <c r="C55" s="117"/>
      <c r="D55" s="39" t="s">
        <v>0</v>
      </c>
      <c r="E55" s="39" t="s">
        <v>0</v>
      </c>
      <c r="F55" s="490" t="s">
        <v>0</v>
      </c>
      <c r="G55" s="39" t="s">
        <v>0</v>
      </c>
      <c r="H55" s="479"/>
      <c r="I55" s="39" t="s">
        <v>0</v>
      </c>
      <c r="J55" s="40" t="s">
        <v>0</v>
      </c>
    </row>
    <row r="56" spans="1:10" ht="15.75" customHeight="1" thickBot="1">
      <c r="A56" s="134" t="str">
        <f>A39</f>
        <v>Item 6</v>
      </c>
      <c r="B56" s="129" t="str">
        <f>B39</f>
        <v>All Other Dividends, included in Col (3)</v>
      </c>
      <c r="C56" s="129"/>
      <c r="D56" s="276" t="s">
        <v>0</v>
      </c>
      <c r="E56" s="276" t="s">
        <v>0</v>
      </c>
      <c r="F56" s="542" t="s">
        <v>0</v>
      </c>
      <c r="G56" s="276" t="s">
        <v>0</v>
      </c>
      <c r="H56" s="572"/>
      <c r="I56" s="276" t="s">
        <v>0</v>
      </c>
      <c r="J56" s="277" t="s">
        <v>0</v>
      </c>
    </row>
    <row r="57" ht="15.75" customHeight="1" thickBot="1"/>
    <row r="58" spans="1:10" ht="15.75" customHeight="1">
      <c r="A58" s="112" t="str">
        <f>"Calendar Year "&amp;FIXED(ReportYear-5,0,TRUE)</f>
        <v>Calendar Year 2019</v>
      </c>
      <c r="B58" s="113"/>
      <c r="C58" s="113"/>
      <c r="D58" s="611" t="str">
        <f>Exh1B!$D$5</f>
        <v>Col (1)</v>
      </c>
      <c r="E58" s="611" t="str">
        <f>Exh1B!$E$5</f>
        <v>Col (2)</v>
      </c>
      <c r="F58" s="611" t="str">
        <f>Exh1B!$F$5</f>
        <v>Col (3)</v>
      </c>
      <c r="G58" s="611" t="str">
        <f>Exh1B!$G$5</f>
        <v>Col (4)</v>
      </c>
      <c r="H58" s="612"/>
      <c r="I58" s="611" t="str">
        <f>Exh1B!$I$5</f>
        <v>Col (5)</v>
      </c>
      <c r="J58" s="619" t="str">
        <f>Exh1B!$J$5</f>
        <v>Col (6)</v>
      </c>
    </row>
    <row r="59" spans="1:10" ht="15.75" customHeight="1">
      <c r="A59" s="131"/>
      <c r="B59" s="117"/>
      <c r="C59" s="117"/>
      <c r="D59" s="111" t="str">
        <f>Exh1B!$D$6</f>
        <v>Direct</v>
      </c>
      <c r="E59" s="115" t="str">
        <f>Exh1B!$E$6</f>
        <v>Direct</v>
      </c>
      <c r="F59" s="111" t="str">
        <f>Exh1B!$F$6</f>
        <v>Dividends</v>
      </c>
      <c r="G59" s="111" t="str">
        <f>Exh1B!$G$6</f>
        <v>Direct</v>
      </c>
      <c r="H59" s="610"/>
      <c r="I59" s="115" t="str">
        <f>Exh1B!$I$6</f>
        <v>Direct</v>
      </c>
      <c r="J59" s="135" t="str">
        <f>Exh1B!$J59</f>
        <v>Direct</v>
      </c>
    </row>
    <row r="60" spans="1:10" ht="15.75" customHeight="1">
      <c r="A60" s="131"/>
      <c r="B60" s="117"/>
      <c r="C60" s="117"/>
      <c r="D60" s="120" t="str">
        <f>Exh1B!$D$7</f>
        <v>Written</v>
      </c>
      <c r="E60" s="118" t="str">
        <f>Exh1B!$E$7</f>
        <v>Earned</v>
      </c>
      <c r="F60" s="119" t="str">
        <f>Exh1B!$F$7</f>
        <v>on Direct</v>
      </c>
      <c r="G60" s="120" t="str">
        <f>Exh1B!$G$7</f>
        <v>Unearned</v>
      </c>
      <c r="H60" s="498"/>
      <c r="I60" s="118" t="str">
        <f>Exh1B!$I$7</f>
        <v>Unpaid</v>
      </c>
      <c r="J60" s="135" t="str">
        <f>Exh1B!$J60</f>
        <v>Unpaid</v>
      </c>
    </row>
    <row r="61" spans="1:10" ht="15.75" customHeight="1">
      <c r="A61" s="131"/>
      <c r="B61" s="117"/>
      <c r="C61" s="117"/>
      <c r="D61" s="123" t="str">
        <f>Exh1B!$D$8</f>
        <v>Premium</v>
      </c>
      <c r="E61" s="123" t="str">
        <f>Exh1B!$E$8</f>
        <v>Premium</v>
      </c>
      <c r="F61" s="124" t="str">
        <f>Exh1B!$F$8</f>
        <v>Business</v>
      </c>
      <c r="G61" s="123" t="str">
        <f>Exh1B!$G$8</f>
        <v>Premium</v>
      </c>
      <c r="H61" s="499"/>
      <c r="I61" s="123" t="str">
        <f>Exh1B!$I$8</f>
        <v>Losses</v>
      </c>
      <c r="J61" s="620" t="str">
        <f>Exh1B!$J61</f>
        <v>D&amp;CCE</v>
      </c>
    </row>
    <row r="62" spans="1:10" ht="15.75" customHeight="1">
      <c r="A62" s="132" t="str">
        <f aca="true" t="shared" si="9" ref="A62:B65">A50</f>
        <v>Item 1</v>
      </c>
      <c r="B62" s="117" t="str">
        <f t="shared" si="9"/>
        <v>Total as Reported on State Page Exhibit</v>
      </c>
      <c r="C62" s="117"/>
      <c r="D62" s="37">
        <f>InputC!$I$10</f>
        <v>0</v>
      </c>
      <c r="E62" s="37">
        <f>InputC!$I$15</f>
        <v>0</v>
      </c>
      <c r="F62" s="37">
        <f>InputC!$I$20+InputC!$I$24</f>
        <v>0</v>
      </c>
      <c r="G62" s="37">
        <f>InputC!$I$28</f>
        <v>0</v>
      </c>
      <c r="H62" s="480"/>
      <c r="I62" s="37">
        <f>InputC!$I$33</f>
        <v>0</v>
      </c>
      <c r="J62" s="80">
        <f>InputC!$I$38</f>
        <v>0</v>
      </c>
    </row>
    <row r="63" spans="1:10" ht="15.75" customHeight="1">
      <c r="A63" s="132" t="str">
        <f t="shared" si="9"/>
        <v>Item 2</v>
      </c>
      <c r="B63" s="117" t="str">
        <f t="shared" si="9"/>
        <v>Exclusions Reported on State Page Exhibit</v>
      </c>
      <c r="C63" s="117"/>
      <c r="D63" s="37">
        <f>SUM(InputC!$I$11:$I$11)</f>
        <v>0</v>
      </c>
      <c r="E63" s="37">
        <f>SUM(InputC!$I$16:$I$16)</f>
        <v>0</v>
      </c>
      <c r="F63" s="37">
        <f>SUM(InputC!$I$21:$I$21,InputC!$I$25:$I$25)</f>
        <v>0</v>
      </c>
      <c r="G63" s="37">
        <f>SUM(InputC!$I$29:$I$29)</f>
        <v>0</v>
      </c>
      <c r="H63" s="480"/>
      <c r="I63" s="37">
        <f>SUM(InputC!$I$34:$I$34)</f>
        <v>0</v>
      </c>
      <c r="J63" s="621">
        <f>SUM(InputC!$I$39:$I$39)</f>
        <v>0</v>
      </c>
    </row>
    <row r="64" spans="1:10" ht="15.75" customHeight="1">
      <c r="A64" s="132" t="str">
        <f t="shared" si="9"/>
        <v>Item 3</v>
      </c>
      <c r="B64" s="117" t="str">
        <f t="shared" si="9"/>
        <v>Excess Profit Data [Item 1 -  Item 2]</v>
      </c>
      <c r="C64" s="117"/>
      <c r="D64" s="37">
        <f>D62-D63</f>
        <v>0</v>
      </c>
      <c r="E64" s="37">
        <f>E62-E63</f>
        <v>0</v>
      </c>
      <c r="F64" s="37">
        <f>F62-F63</f>
        <v>0</v>
      </c>
      <c r="G64" s="37">
        <f>G62-G63</f>
        <v>0</v>
      </c>
      <c r="H64" s="480"/>
      <c r="I64" s="37">
        <f>I62-I63</f>
        <v>0</v>
      </c>
      <c r="J64" s="44">
        <f>J62-J63</f>
        <v>0</v>
      </c>
    </row>
    <row r="65" spans="1:10" ht="15.75" customHeight="1">
      <c r="A65" s="132" t="str">
        <f t="shared" si="9"/>
        <v>Item 4</v>
      </c>
      <c r="B65" s="133" t="str">
        <f t="shared" si="9"/>
        <v>UCJF Assessments &amp; Excess Medical Benefits</v>
      </c>
      <c r="C65" s="117"/>
      <c r="D65" s="39" t="str">
        <f>InputC!$I$12</f>
        <v>XXX</v>
      </c>
      <c r="E65" s="39" t="str">
        <f>InputC!$I$17</f>
        <v>XXX</v>
      </c>
      <c r="F65" s="39" t="s">
        <v>0</v>
      </c>
      <c r="G65" s="39" t="s">
        <v>0</v>
      </c>
      <c r="H65" s="479"/>
      <c r="I65" s="39" t="str">
        <f>InputC!$I$35</f>
        <v>XXX</v>
      </c>
      <c r="J65" s="40" t="s">
        <v>0</v>
      </c>
    </row>
    <row r="66" spans="1:10" ht="15.75" customHeight="1">
      <c r="A66" s="132"/>
      <c r="B66" s="117"/>
      <c r="C66" s="117"/>
      <c r="D66" s="37"/>
      <c r="E66" s="37"/>
      <c r="F66" s="37"/>
      <c r="G66" s="37"/>
      <c r="H66" s="480"/>
      <c r="I66" s="37"/>
      <c r="J66" s="173"/>
    </row>
    <row r="67" spans="1:10" ht="15.75" customHeight="1">
      <c r="A67" s="132" t="str">
        <f>A55</f>
        <v>Item 5</v>
      </c>
      <c r="B67" s="117" t="str">
        <f>B55</f>
        <v>Refund of Excess Profit, included in Col (3)</v>
      </c>
      <c r="C67" s="117"/>
      <c r="D67" s="39" t="s">
        <v>0</v>
      </c>
      <c r="E67" s="39" t="s">
        <v>0</v>
      </c>
      <c r="F67" s="490" t="s">
        <v>0</v>
      </c>
      <c r="G67" s="39" t="s">
        <v>0</v>
      </c>
      <c r="H67" s="479"/>
      <c r="I67" s="39" t="s">
        <v>0</v>
      </c>
      <c r="J67" s="40" t="s">
        <v>0</v>
      </c>
    </row>
    <row r="68" spans="1:10" ht="15.75" customHeight="1" thickBot="1">
      <c r="A68" s="134" t="str">
        <f>A56</f>
        <v>Item 6</v>
      </c>
      <c r="B68" s="129" t="str">
        <f>B56</f>
        <v>All Other Dividends, included in Col (3)</v>
      </c>
      <c r="C68" s="129"/>
      <c r="D68" s="276" t="s">
        <v>0</v>
      </c>
      <c r="E68" s="276" t="s">
        <v>0</v>
      </c>
      <c r="F68" s="542" t="s">
        <v>0</v>
      </c>
      <c r="G68" s="276" t="s">
        <v>0</v>
      </c>
      <c r="H68" s="572"/>
      <c r="I68" s="276" t="s">
        <v>0</v>
      </c>
      <c r="J68" s="277" t="s">
        <v>0</v>
      </c>
    </row>
    <row r="69" ht="15.75" customHeight="1" thickBot="1"/>
    <row r="70" spans="1:10" ht="15.75" customHeight="1">
      <c r="A70" s="112" t="str">
        <f>"Calendar Year "&amp;FIXED(ReportYear-6,0,TRUE)</f>
        <v>Calendar Year 2018</v>
      </c>
      <c r="B70" s="113"/>
      <c r="C70" s="113"/>
      <c r="D70" s="611" t="str">
        <f>Exh1B!$D$5</f>
        <v>Col (1)</v>
      </c>
      <c r="E70" s="611" t="str">
        <f>Exh1B!$E$5</f>
        <v>Col (2)</v>
      </c>
      <c r="F70" s="611" t="str">
        <f>Exh1B!$F$5</f>
        <v>Col (3)</v>
      </c>
      <c r="G70" s="611" t="str">
        <f>Exh1B!$G$5</f>
        <v>Col (4)</v>
      </c>
      <c r="H70" s="612"/>
      <c r="I70" s="611" t="str">
        <f>Exh1B!$I$5</f>
        <v>Col (5)</v>
      </c>
      <c r="J70" s="619" t="str">
        <f>Exh1B!$J$5</f>
        <v>Col (6)</v>
      </c>
    </row>
    <row r="71" spans="1:10" ht="15.75" customHeight="1">
      <c r="A71" s="131"/>
      <c r="B71" s="117"/>
      <c r="C71" s="117"/>
      <c r="D71" s="111" t="str">
        <f>Exh1B!$D$6</f>
        <v>Direct</v>
      </c>
      <c r="E71" s="115" t="str">
        <f>Exh1B!$E$6</f>
        <v>Direct</v>
      </c>
      <c r="F71" s="111" t="str">
        <f>Exh1B!$F$6</f>
        <v>Dividends</v>
      </c>
      <c r="G71" s="111" t="str">
        <f>Exh1B!$G$6</f>
        <v>Direct</v>
      </c>
      <c r="H71" s="610"/>
      <c r="I71" s="115" t="str">
        <f>Exh1B!$I$6</f>
        <v>Direct</v>
      </c>
      <c r="J71" s="135" t="str">
        <f>Exh1B!$J71</f>
        <v>Direct</v>
      </c>
    </row>
    <row r="72" spans="1:10" ht="15.75" customHeight="1">
      <c r="A72" s="131"/>
      <c r="B72" s="117"/>
      <c r="C72" s="117"/>
      <c r="D72" s="120" t="str">
        <f>Exh1B!$D$7</f>
        <v>Written</v>
      </c>
      <c r="E72" s="118" t="str">
        <f>Exh1B!$E$7</f>
        <v>Earned</v>
      </c>
      <c r="F72" s="119" t="str">
        <f>Exh1B!$F$7</f>
        <v>on Direct</v>
      </c>
      <c r="G72" s="120" t="str">
        <f>Exh1B!$G$7</f>
        <v>Unearned</v>
      </c>
      <c r="H72" s="498"/>
      <c r="I72" s="118" t="str">
        <f>Exh1B!$I$7</f>
        <v>Unpaid</v>
      </c>
      <c r="J72" s="135" t="str">
        <f>Exh1B!$J72</f>
        <v>Unpaid</v>
      </c>
    </row>
    <row r="73" spans="1:10" ht="15.75" customHeight="1">
      <c r="A73" s="131"/>
      <c r="B73" s="117"/>
      <c r="C73" s="117"/>
      <c r="D73" s="123" t="str">
        <f>Exh1B!$D$8</f>
        <v>Premium</v>
      </c>
      <c r="E73" s="123" t="str">
        <f>Exh1B!$E$8</f>
        <v>Premium</v>
      </c>
      <c r="F73" s="124" t="str">
        <f>Exh1B!$F$8</f>
        <v>Business</v>
      </c>
      <c r="G73" s="123" t="str">
        <f>Exh1B!$G$8</f>
        <v>Premium</v>
      </c>
      <c r="H73" s="499"/>
      <c r="I73" s="123" t="str">
        <f>Exh1B!$I$8</f>
        <v>Losses</v>
      </c>
      <c r="J73" s="620" t="str">
        <f>Exh1B!$J73</f>
        <v>D&amp;CCE</v>
      </c>
    </row>
    <row r="74" spans="1:10" ht="15.75" customHeight="1">
      <c r="A74" s="132" t="str">
        <f aca="true" t="shared" si="10" ref="A74:B77">A62</f>
        <v>Item 1</v>
      </c>
      <c r="B74" s="117" t="str">
        <f t="shared" si="10"/>
        <v>Total as Reported on State Page Exhibit</v>
      </c>
      <c r="C74" s="117"/>
      <c r="D74" s="37">
        <f>InputC!$J$10</f>
        <v>0</v>
      </c>
      <c r="E74" s="37">
        <f>InputC!$J$15</f>
        <v>0</v>
      </c>
      <c r="F74" s="37">
        <f>InputC!$J$20+InputC!$J$24</f>
        <v>0</v>
      </c>
      <c r="G74" s="37">
        <f>InputC!$J$28</f>
        <v>0</v>
      </c>
      <c r="H74" s="480"/>
      <c r="I74" s="37">
        <f>InputC!$J$33</f>
        <v>0</v>
      </c>
      <c r="J74" s="80">
        <f>InputC!$J$38</f>
        <v>0</v>
      </c>
    </row>
    <row r="75" spans="1:10" ht="15.75" customHeight="1">
      <c r="A75" s="132" t="str">
        <f t="shared" si="10"/>
        <v>Item 2</v>
      </c>
      <c r="B75" s="117" t="str">
        <f t="shared" si="10"/>
        <v>Exclusions Reported on State Page Exhibit</v>
      </c>
      <c r="C75" s="117"/>
      <c r="D75" s="37">
        <f>SUM(InputC!$J$11:$J$11)</f>
        <v>0</v>
      </c>
      <c r="E75" s="37">
        <f>SUM(InputC!$J$16:$J$16)</f>
        <v>0</v>
      </c>
      <c r="F75" s="37">
        <f>SUM(InputC!$J$21:$J$21,InputC!$J$25:$J$25)</f>
        <v>0</v>
      </c>
      <c r="G75" s="37">
        <f>SUM(InputC!$J$29:$J$29)</f>
        <v>0</v>
      </c>
      <c r="H75" s="480"/>
      <c r="I75" s="37">
        <f>SUM(InputC!$J$34:$J$34)</f>
        <v>0</v>
      </c>
      <c r="J75" s="621">
        <f>SUM(InputC!$J$39:$J$39)</f>
        <v>0</v>
      </c>
    </row>
    <row r="76" spans="1:10" ht="15.75" customHeight="1">
      <c r="A76" s="132" t="str">
        <f t="shared" si="10"/>
        <v>Item 3</v>
      </c>
      <c r="B76" s="117" t="str">
        <f t="shared" si="10"/>
        <v>Excess Profit Data [Item 1 -  Item 2]</v>
      </c>
      <c r="C76" s="117"/>
      <c r="D76" s="37">
        <f>D74-D75</f>
        <v>0</v>
      </c>
      <c r="E76" s="37">
        <f>E74-E75</f>
        <v>0</v>
      </c>
      <c r="F76" s="37">
        <f>F74-F75</f>
        <v>0</v>
      </c>
      <c r="G76" s="37">
        <f>G74-G75</f>
        <v>0</v>
      </c>
      <c r="H76" s="480"/>
      <c r="I76" s="37">
        <f>I74-I75</f>
        <v>0</v>
      </c>
      <c r="J76" s="44">
        <f>J74-J75</f>
        <v>0</v>
      </c>
    </row>
    <row r="77" spans="1:10" ht="15.75" customHeight="1">
      <c r="A77" s="132" t="str">
        <f t="shared" si="10"/>
        <v>Item 4</v>
      </c>
      <c r="B77" s="133" t="str">
        <f t="shared" si="10"/>
        <v>UCJF Assessments &amp; Excess Medical Benefits</v>
      </c>
      <c r="C77" s="117"/>
      <c r="D77" s="39" t="str">
        <f>InputC!$J$12</f>
        <v>XXX</v>
      </c>
      <c r="E77" s="39" t="str">
        <f>InputC!$J$17</f>
        <v>XXX</v>
      </c>
      <c r="F77" s="39" t="s">
        <v>0</v>
      </c>
      <c r="G77" s="39" t="s">
        <v>0</v>
      </c>
      <c r="H77" s="479"/>
      <c r="I77" s="39" t="str">
        <f>InputC!$J$35</f>
        <v>XXX</v>
      </c>
      <c r="J77" s="40" t="str">
        <f>InputC!$J$35</f>
        <v>XXX</v>
      </c>
    </row>
    <row r="78" spans="1:10" ht="15.75" customHeight="1">
      <c r="A78" s="132"/>
      <c r="B78" s="117"/>
      <c r="C78" s="117"/>
      <c r="D78" s="37"/>
      <c r="E78" s="37"/>
      <c r="F78" s="37"/>
      <c r="G78" s="37"/>
      <c r="H78" s="480"/>
      <c r="I78" s="37"/>
      <c r="J78" s="173"/>
    </row>
    <row r="79" spans="1:10" ht="15.75" customHeight="1">
      <c r="A79" s="132" t="str">
        <f>A67</f>
        <v>Item 5</v>
      </c>
      <c r="B79" s="117" t="str">
        <f>B67</f>
        <v>Refund of Excess Profit, included in Col (3)</v>
      </c>
      <c r="C79" s="117"/>
      <c r="D79" s="39" t="s">
        <v>0</v>
      </c>
      <c r="E79" s="39" t="s">
        <v>0</v>
      </c>
      <c r="F79" s="490" t="s">
        <v>0</v>
      </c>
      <c r="G79" s="39" t="s">
        <v>0</v>
      </c>
      <c r="H79" s="479"/>
      <c r="I79" s="39" t="s">
        <v>0</v>
      </c>
      <c r="J79" s="40" t="str">
        <f>InputC!$J$35</f>
        <v>XXX</v>
      </c>
    </row>
    <row r="80" spans="1:10" ht="15.75" customHeight="1" thickBot="1">
      <c r="A80" s="134" t="str">
        <f>A68</f>
        <v>Item 6</v>
      </c>
      <c r="B80" s="129" t="str">
        <f>B68</f>
        <v>All Other Dividends, included in Col (3)</v>
      </c>
      <c r="C80" s="129"/>
      <c r="D80" s="276" t="s">
        <v>0</v>
      </c>
      <c r="E80" s="276" t="s">
        <v>0</v>
      </c>
      <c r="F80" s="542" t="s">
        <v>0</v>
      </c>
      <c r="G80" s="276" t="s">
        <v>0</v>
      </c>
      <c r="H80" s="572"/>
      <c r="I80" s="276" t="s">
        <v>0</v>
      </c>
      <c r="J80" s="277" t="str">
        <f>InputC!$J$35</f>
        <v>XXX</v>
      </c>
    </row>
    <row r="83" spans="1:10" ht="15.75" customHeight="1">
      <c r="A83" s="103" t="str">
        <f>InputB!$A$1</f>
        <v>Group Name:</v>
      </c>
      <c r="C83" s="105" t="str">
        <f>InputB!$C$1</f>
        <v>enter group name here</v>
      </c>
      <c r="D83"/>
      <c r="E83"/>
      <c r="F83"/>
      <c r="G83"/>
      <c r="H83"/>
      <c r="I83"/>
      <c r="J83" s="107" t="str">
        <f>J$1</f>
        <v>Exhibit 1C</v>
      </c>
    </row>
    <row r="84" spans="1:10" ht="15.75" customHeight="1">
      <c r="A84" s="108" t="str">
        <f>InputB!$A$2</f>
        <v>Group NAIC #:</v>
      </c>
      <c r="C84" s="105" t="str">
        <f>InputB!$C$2</f>
        <v>enter group # here</v>
      </c>
      <c r="D84"/>
      <c r="E84"/>
      <c r="F84"/>
      <c r="G84"/>
      <c r="H84"/>
      <c r="I84"/>
      <c r="J84" s="107" t="str">
        <f>J$2</f>
        <v>Phys Damage</v>
      </c>
    </row>
    <row r="85" spans="1:10" ht="15.75" customHeight="1">
      <c r="A85" s="103" t="str">
        <f>InputB!$A$3</f>
        <v>Year Filed:</v>
      </c>
      <c r="C85" s="110">
        <f>InputB!$C$3</f>
        <v>2024</v>
      </c>
      <c r="D85"/>
      <c r="E85"/>
      <c r="F85"/>
      <c r="G85"/>
      <c r="H85"/>
      <c r="I85"/>
      <c r="J85" s="107" t="s">
        <v>117</v>
      </c>
    </row>
    <row r="86" ht="15.75" customHeight="1" thickBot="1"/>
    <row r="87" spans="1:10" ht="15.75" customHeight="1">
      <c r="A87" s="112" t="str">
        <f>"Calendar Year "&amp;FIXED(ReportYear-7,0,TRUE)</f>
        <v>Calendar Year 2017</v>
      </c>
      <c r="B87" s="113"/>
      <c r="C87" s="113"/>
      <c r="D87" s="611" t="str">
        <f>Exh1B!$D$5</f>
        <v>Col (1)</v>
      </c>
      <c r="E87" s="611" t="str">
        <f>Exh1B!$E$5</f>
        <v>Col (2)</v>
      </c>
      <c r="F87" s="611" t="str">
        <f>Exh1B!$F$5</f>
        <v>Col (3)</v>
      </c>
      <c r="G87" s="611" t="str">
        <f>Exh1B!$G$5</f>
        <v>Col (4)</v>
      </c>
      <c r="H87" s="612"/>
      <c r="I87" s="611" t="str">
        <f>Exh1B!$I$5</f>
        <v>Col (5)</v>
      </c>
      <c r="J87" s="619" t="str">
        <f>Exh1B!$J$5</f>
        <v>Col (6)</v>
      </c>
    </row>
    <row r="88" spans="1:10" ht="15.75" customHeight="1">
      <c r="A88" s="131"/>
      <c r="B88" s="117"/>
      <c r="C88" s="117"/>
      <c r="D88" s="111" t="str">
        <f>Exh1B!$D$6</f>
        <v>Direct</v>
      </c>
      <c r="E88" s="115" t="str">
        <f>Exh1B!$E$6</f>
        <v>Direct</v>
      </c>
      <c r="F88" s="111" t="str">
        <f>Exh1B!$F$6</f>
        <v>Dividends</v>
      </c>
      <c r="G88" s="111" t="str">
        <f>Exh1B!$G$6</f>
        <v>Direct</v>
      </c>
      <c r="H88" s="610"/>
      <c r="I88" s="115" t="str">
        <f>Exh1B!$I$6</f>
        <v>Direct</v>
      </c>
      <c r="J88" s="135" t="str">
        <f>Exh1B!$J88</f>
        <v>Direct</v>
      </c>
    </row>
    <row r="89" spans="1:10" ht="15.75" customHeight="1">
      <c r="A89" s="131"/>
      <c r="B89" s="117"/>
      <c r="C89" s="117"/>
      <c r="D89" s="120" t="str">
        <f>Exh1B!$D$7</f>
        <v>Written</v>
      </c>
      <c r="E89" s="118" t="str">
        <f>Exh1B!$E$7</f>
        <v>Earned</v>
      </c>
      <c r="F89" s="119" t="str">
        <f>Exh1B!$F$7</f>
        <v>on Direct</v>
      </c>
      <c r="G89" s="120" t="str">
        <f>Exh1B!$G$7</f>
        <v>Unearned</v>
      </c>
      <c r="H89" s="498"/>
      <c r="I89" s="118" t="str">
        <f>Exh1B!$I$7</f>
        <v>Unpaid</v>
      </c>
      <c r="J89" s="135" t="str">
        <f>Exh1B!$J89</f>
        <v>Unpaid</v>
      </c>
    </row>
    <row r="90" spans="1:10" ht="15.75" customHeight="1">
      <c r="A90" s="131"/>
      <c r="B90" s="117"/>
      <c r="C90" s="117"/>
      <c r="D90" s="123" t="str">
        <f>Exh1B!$D$8</f>
        <v>Premium</v>
      </c>
      <c r="E90" s="123" t="str">
        <f>Exh1B!$E$8</f>
        <v>Premium</v>
      </c>
      <c r="F90" s="124" t="str">
        <f>Exh1B!$F$8</f>
        <v>Business</v>
      </c>
      <c r="G90" s="123" t="str">
        <f>Exh1B!$G$8</f>
        <v>Premium</v>
      </c>
      <c r="H90" s="499"/>
      <c r="I90" s="123" t="str">
        <f>Exh1B!$I$8</f>
        <v>Losses</v>
      </c>
      <c r="J90" s="620" t="str">
        <f>Exh1B!$J90</f>
        <v>D&amp;CCE</v>
      </c>
    </row>
    <row r="91" spans="1:10" ht="15.75" customHeight="1">
      <c r="A91" s="132" t="str">
        <f aca="true" t="shared" si="11" ref="A91:B94">A74</f>
        <v>Item 1</v>
      </c>
      <c r="B91" s="117" t="str">
        <f t="shared" si="11"/>
        <v>Total as Reported on State Page Exhibit</v>
      </c>
      <c r="C91" s="117"/>
      <c r="D91" s="37">
        <f>InputC!$K$10</f>
        <v>0</v>
      </c>
      <c r="E91" s="37">
        <f>InputC!$K$15</f>
        <v>0</v>
      </c>
      <c r="F91" s="37">
        <f>InputC!$K$20+InputC!$K$24</f>
        <v>0</v>
      </c>
      <c r="G91" s="37">
        <f>InputC!$K$28</f>
        <v>0</v>
      </c>
      <c r="H91" s="480"/>
      <c r="I91" s="37">
        <f>InputC!$K$33</f>
        <v>0</v>
      </c>
      <c r="J91" s="80">
        <f>InputC!$K$38</f>
        <v>0</v>
      </c>
    </row>
    <row r="92" spans="1:10" ht="15.75" customHeight="1">
      <c r="A92" s="132" t="str">
        <f t="shared" si="11"/>
        <v>Item 2</v>
      </c>
      <c r="B92" s="117" t="str">
        <f t="shared" si="11"/>
        <v>Exclusions Reported on State Page Exhibit</v>
      </c>
      <c r="C92" s="117"/>
      <c r="D92" s="37">
        <f>SUM(InputC!$K$11:$K$11)</f>
        <v>0</v>
      </c>
      <c r="E92" s="37">
        <f>SUM(InputC!$K$16:$K$16)</f>
        <v>0</v>
      </c>
      <c r="F92" s="37">
        <f>SUM(InputC!$K$21:$K$21,InputC!$K$25:$K$25)</f>
        <v>0</v>
      </c>
      <c r="G92" s="37">
        <f>SUM(InputC!$K$29:$K$29)</f>
        <v>0</v>
      </c>
      <c r="H92" s="480"/>
      <c r="I92" s="37">
        <f>SUM(InputC!$K$34:$K$34)</f>
        <v>0</v>
      </c>
      <c r="J92" s="621">
        <f>SUM(InputC!$K$39:$K$39)</f>
        <v>0</v>
      </c>
    </row>
    <row r="93" spans="1:10" ht="15.75" customHeight="1">
      <c r="A93" s="132" t="str">
        <f t="shared" si="11"/>
        <v>Item 3</v>
      </c>
      <c r="B93" s="117" t="str">
        <f t="shared" si="11"/>
        <v>Excess Profit Data [Item 1 -  Item 2]</v>
      </c>
      <c r="C93" s="117"/>
      <c r="D93" s="37">
        <f>D91-D92</f>
        <v>0</v>
      </c>
      <c r="E93" s="37">
        <f>E91-E92</f>
        <v>0</v>
      </c>
      <c r="F93" s="37">
        <f>F91-F92</f>
        <v>0</v>
      </c>
      <c r="G93" s="37">
        <f>G91-G92</f>
        <v>0</v>
      </c>
      <c r="H93" s="480"/>
      <c r="I93" s="37">
        <f>I91-I92</f>
        <v>0</v>
      </c>
      <c r="J93" s="44">
        <f>J91-J92</f>
        <v>0</v>
      </c>
    </row>
    <row r="94" spans="1:10" ht="15.75" customHeight="1">
      <c r="A94" s="132" t="str">
        <f t="shared" si="11"/>
        <v>Item 4</v>
      </c>
      <c r="B94" s="133" t="str">
        <f t="shared" si="11"/>
        <v>UCJF Assessments &amp; Excess Medical Benefits</v>
      </c>
      <c r="C94" s="117"/>
      <c r="D94" s="39" t="str">
        <f>InputC!$K$12</f>
        <v>XXX</v>
      </c>
      <c r="E94" s="39" t="str">
        <f>InputC!$K$17</f>
        <v>XXX</v>
      </c>
      <c r="F94" s="39" t="s">
        <v>0</v>
      </c>
      <c r="G94" s="39" t="s">
        <v>0</v>
      </c>
      <c r="H94" s="479"/>
      <c r="I94" s="39" t="str">
        <f>InputC!$K$35</f>
        <v>XXX</v>
      </c>
      <c r="J94" s="40" t="str">
        <f>InputC!$K$35</f>
        <v>XXX</v>
      </c>
    </row>
    <row r="95" spans="1:10" ht="15.75" customHeight="1">
      <c r="A95" s="132"/>
      <c r="B95" s="117"/>
      <c r="C95" s="117"/>
      <c r="D95" s="37"/>
      <c r="E95" s="37"/>
      <c r="F95" s="37"/>
      <c r="G95" s="37"/>
      <c r="H95" s="480"/>
      <c r="I95" s="37"/>
      <c r="J95" s="173"/>
    </row>
    <row r="96" spans="1:10" ht="15.75" customHeight="1">
      <c r="A96" s="132" t="str">
        <f>A79</f>
        <v>Item 5</v>
      </c>
      <c r="B96" s="117" t="str">
        <f>B79</f>
        <v>Refund of Excess Profit, included in Col (3)</v>
      </c>
      <c r="C96" s="117"/>
      <c r="D96" s="39" t="s">
        <v>0</v>
      </c>
      <c r="E96" s="39" t="s">
        <v>0</v>
      </c>
      <c r="F96" s="490" t="s">
        <v>0</v>
      </c>
      <c r="G96" s="39" t="s">
        <v>0</v>
      </c>
      <c r="H96" s="479"/>
      <c r="I96" s="39" t="s">
        <v>0</v>
      </c>
      <c r="J96" s="40" t="str">
        <f>InputC!$K$35</f>
        <v>XXX</v>
      </c>
    </row>
    <row r="97" spans="1:10" ht="15.75" customHeight="1" thickBot="1">
      <c r="A97" s="134" t="str">
        <f>A80</f>
        <v>Item 6</v>
      </c>
      <c r="B97" s="129" t="str">
        <f>B80</f>
        <v>All Other Dividends, included in Col (3)</v>
      </c>
      <c r="C97" s="129"/>
      <c r="D97" s="276" t="s">
        <v>0</v>
      </c>
      <c r="E97" s="276" t="s">
        <v>0</v>
      </c>
      <c r="F97" s="542" t="s">
        <v>0</v>
      </c>
      <c r="G97" s="276" t="s">
        <v>0</v>
      </c>
      <c r="H97" s="572"/>
      <c r="I97" s="276" t="s">
        <v>0</v>
      </c>
      <c r="J97" s="277" t="str">
        <f>InputC!$K$35</f>
        <v>XXX</v>
      </c>
    </row>
    <row r="98" ht="15.75" customHeight="1" thickBot="1">
      <c r="H98" s="504"/>
    </row>
    <row r="99" spans="1:10" ht="15.75" customHeight="1">
      <c r="A99" s="112" t="str">
        <f>"Calendar Year "&amp;FIXED(ReportYear-8,0,TRUE)</f>
        <v>Calendar Year 2016</v>
      </c>
      <c r="B99" s="113"/>
      <c r="C99" s="113"/>
      <c r="D99" s="611" t="str">
        <f>Exh1B!$D$5</f>
        <v>Col (1)</v>
      </c>
      <c r="E99" s="611" t="str">
        <f>Exh1B!$E$5</f>
        <v>Col (2)</v>
      </c>
      <c r="F99" s="611" t="str">
        <f>Exh1B!$F$5</f>
        <v>Col (3)</v>
      </c>
      <c r="G99" s="611" t="str">
        <f>Exh1B!$G$5</f>
        <v>Col (4)</v>
      </c>
      <c r="H99" s="612"/>
      <c r="I99" s="611" t="str">
        <f>Exh1B!$I$5</f>
        <v>Col (5)</v>
      </c>
      <c r="J99" s="619" t="str">
        <f>Exh1B!$J$5</f>
        <v>Col (6)</v>
      </c>
    </row>
    <row r="100" spans="1:10" ht="15.75" customHeight="1">
      <c r="A100" s="131"/>
      <c r="B100" s="117"/>
      <c r="C100" s="117"/>
      <c r="D100" s="111" t="str">
        <f>Exh1B!$D$6</f>
        <v>Direct</v>
      </c>
      <c r="E100" s="115" t="str">
        <f>Exh1B!$E$6</f>
        <v>Direct</v>
      </c>
      <c r="F100" s="111" t="str">
        <f>Exh1B!$F$6</f>
        <v>Dividends</v>
      </c>
      <c r="G100" s="111" t="str">
        <f>Exh1B!$G$6</f>
        <v>Direct</v>
      </c>
      <c r="H100" s="610"/>
      <c r="I100" s="115" t="str">
        <f>Exh1B!$I$6</f>
        <v>Direct</v>
      </c>
      <c r="J100" s="135" t="str">
        <f>Exh1B!$J100</f>
        <v>Direct</v>
      </c>
    </row>
    <row r="101" spans="1:10" ht="15.75" customHeight="1">
      <c r="A101" s="131"/>
      <c r="B101" s="117"/>
      <c r="C101" s="117"/>
      <c r="D101" s="120" t="str">
        <f>Exh1B!$D$7</f>
        <v>Written</v>
      </c>
      <c r="E101" s="118" t="str">
        <f>Exh1B!$E$7</f>
        <v>Earned</v>
      </c>
      <c r="F101" s="119" t="str">
        <f>Exh1B!$F$7</f>
        <v>on Direct</v>
      </c>
      <c r="G101" s="120" t="str">
        <f>Exh1B!$G$7</f>
        <v>Unearned</v>
      </c>
      <c r="H101" s="498"/>
      <c r="I101" s="118" t="str">
        <f>Exh1B!$I$7</f>
        <v>Unpaid</v>
      </c>
      <c r="J101" s="135" t="str">
        <f>Exh1B!$J101</f>
        <v>Unpaid</v>
      </c>
    </row>
    <row r="102" spans="1:10" ht="15.75" customHeight="1">
      <c r="A102" s="131"/>
      <c r="B102" s="117"/>
      <c r="C102" s="117"/>
      <c r="D102" s="123" t="str">
        <f>Exh1B!$D$8</f>
        <v>Premium</v>
      </c>
      <c r="E102" s="123" t="str">
        <f>Exh1B!$E$8</f>
        <v>Premium</v>
      </c>
      <c r="F102" s="124" t="str">
        <f>Exh1B!$F$8</f>
        <v>Business</v>
      </c>
      <c r="G102" s="123" t="str">
        <f>Exh1B!$G$8</f>
        <v>Premium</v>
      </c>
      <c r="H102" s="499"/>
      <c r="I102" s="123" t="str">
        <f>Exh1B!$I$8</f>
        <v>Losses</v>
      </c>
      <c r="J102" s="620" t="str">
        <f>Exh1B!$J102</f>
        <v>D&amp;CCE</v>
      </c>
    </row>
    <row r="103" spans="1:10" ht="15.75" customHeight="1">
      <c r="A103" s="132" t="str">
        <f aca="true" t="shared" si="12" ref="A103:B106">A91</f>
        <v>Item 1</v>
      </c>
      <c r="B103" s="117" t="str">
        <f t="shared" si="12"/>
        <v>Total as Reported on State Page Exhibit</v>
      </c>
      <c r="C103" s="117"/>
      <c r="D103" s="37">
        <f>InputC!$L$10</f>
        <v>0</v>
      </c>
      <c r="E103" s="37">
        <f>InputC!$L$15</f>
        <v>0</v>
      </c>
      <c r="F103" s="37">
        <f>InputC!$L$20+InputC!$L$24</f>
        <v>0</v>
      </c>
      <c r="G103" s="37">
        <f>InputC!$L$28</f>
        <v>0</v>
      </c>
      <c r="H103" s="480"/>
      <c r="I103" s="37">
        <f>InputC!$L$33</f>
        <v>0</v>
      </c>
      <c r="J103" s="80">
        <f>InputC!$L$38</f>
        <v>0</v>
      </c>
    </row>
    <row r="104" spans="1:10" ht="15.75" customHeight="1">
      <c r="A104" s="132" t="str">
        <f t="shared" si="12"/>
        <v>Item 2</v>
      </c>
      <c r="B104" s="117" t="str">
        <f t="shared" si="12"/>
        <v>Exclusions Reported on State Page Exhibit</v>
      </c>
      <c r="C104" s="117"/>
      <c r="D104" s="37">
        <f>SUM(InputC!$L$11:$L$11)</f>
        <v>0</v>
      </c>
      <c r="E104" s="37">
        <f>SUM(InputC!$L$16:$L$16)</f>
        <v>0</v>
      </c>
      <c r="F104" s="37">
        <f>SUM(InputC!$L$21:$L$21,InputC!$L$25:$L$25)</f>
        <v>0</v>
      </c>
      <c r="G104" s="37">
        <f>SUM(InputC!$L$29:$L$29)</f>
        <v>0</v>
      </c>
      <c r="H104" s="480"/>
      <c r="I104" s="37">
        <f>SUM(InputC!$L$34:$L$34)</f>
        <v>0</v>
      </c>
      <c r="J104" s="621">
        <f>SUM(InputC!$L$39:$L$39)</f>
        <v>0</v>
      </c>
    </row>
    <row r="105" spans="1:10" ht="15.75" customHeight="1">
      <c r="A105" s="132" t="str">
        <f t="shared" si="12"/>
        <v>Item 3</v>
      </c>
      <c r="B105" s="117" t="str">
        <f t="shared" si="12"/>
        <v>Excess Profit Data [Item 1 -  Item 2]</v>
      </c>
      <c r="C105" s="117"/>
      <c r="D105" s="37">
        <f>D103-D104</f>
        <v>0</v>
      </c>
      <c r="E105" s="37">
        <f>E103-E104</f>
        <v>0</v>
      </c>
      <c r="F105" s="37">
        <f>F103-F104</f>
        <v>0</v>
      </c>
      <c r="G105" s="37">
        <f>G103-G104</f>
        <v>0</v>
      </c>
      <c r="H105" s="480"/>
      <c r="I105" s="37">
        <f>I103-I104</f>
        <v>0</v>
      </c>
      <c r="J105" s="44">
        <f>J103-J104</f>
        <v>0</v>
      </c>
    </row>
    <row r="106" spans="1:10" ht="15.75" customHeight="1">
      <c r="A106" s="132" t="str">
        <f t="shared" si="12"/>
        <v>Item 4</v>
      </c>
      <c r="B106" s="133" t="str">
        <f t="shared" si="12"/>
        <v>UCJF Assessments &amp; Excess Medical Benefits</v>
      </c>
      <c r="C106" s="117"/>
      <c r="D106" s="39" t="str">
        <f>InputC!$L$12</f>
        <v>XXX</v>
      </c>
      <c r="E106" s="39" t="str">
        <f>InputC!$L$17</f>
        <v>XXX</v>
      </c>
      <c r="F106" s="39" t="s">
        <v>0</v>
      </c>
      <c r="G106" s="39" t="s">
        <v>0</v>
      </c>
      <c r="H106" s="479"/>
      <c r="I106" s="39" t="str">
        <f>InputC!$L$35</f>
        <v>XXX</v>
      </c>
      <c r="J106" s="40" t="str">
        <f>InputC!$L$35</f>
        <v>XXX</v>
      </c>
    </row>
    <row r="107" spans="1:10" ht="15.75" customHeight="1">
      <c r="A107" s="132"/>
      <c r="B107" s="117"/>
      <c r="C107" s="117"/>
      <c r="D107" s="37"/>
      <c r="E107" s="37"/>
      <c r="F107" s="37"/>
      <c r="G107" s="37"/>
      <c r="H107" s="480"/>
      <c r="I107" s="37"/>
      <c r="J107" s="173"/>
    </row>
    <row r="108" spans="1:10" ht="15.75" customHeight="1">
      <c r="A108" s="132" t="str">
        <f>A96</f>
        <v>Item 5</v>
      </c>
      <c r="B108" s="117" t="str">
        <f>B96</f>
        <v>Refund of Excess Profit, included in Col (3)</v>
      </c>
      <c r="C108" s="117"/>
      <c r="D108" s="39" t="s">
        <v>0</v>
      </c>
      <c r="E108" s="39" t="s">
        <v>0</v>
      </c>
      <c r="F108" s="490" t="s">
        <v>0</v>
      </c>
      <c r="G108" s="39" t="s">
        <v>0</v>
      </c>
      <c r="H108" s="479"/>
      <c r="I108" s="39" t="s">
        <v>0</v>
      </c>
      <c r="J108" s="40" t="str">
        <f>InputC!$L$35</f>
        <v>XXX</v>
      </c>
    </row>
    <row r="109" spans="1:10" ht="15.75" customHeight="1" thickBot="1">
      <c r="A109" s="134" t="str">
        <f>A97</f>
        <v>Item 6</v>
      </c>
      <c r="B109" s="129" t="str">
        <f>B97</f>
        <v>All Other Dividends, included in Col (3)</v>
      </c>
      <c r="C109" s="129"/>
      <c r="D109" s="276" t="s">
        <v>0</v>
      </c>
      <c r="E109" s="276" t="s">
        <v>0</v>
      </c>
      <c r="F109" s="542" t="s">
        <v>0</v>
      </c>
      <c r="G109" s="276" t="s">
        <v>0</v>
      </c>
      <c r="H109" s="572"/>
      <c r="I109" s="276" t="s">
        <v>0</v>
      </c>
      <c r="J109" s="277" t="str">
        <f>InputC!$L$35</f>
        <v>XXX</v>
      </c>
    </row>
    <row r="110" ht="15.75" customHeight="1" thickBot="1"/>
    <row r="111" spans="1:10" ht="15.75" customHeight="1">
      <c r="A111" s="112" t="str">
        <f>"Calendar Year "&amp;FIXED(ReportYear-9,0,TRUE)</f>
        <v>Calendar Year 2015</v>
      </c>
      <c r="B111" s="113"/>
      <c r="C111" s="622"/>
      <c r="D111" s="611" t="str">
        <f>Exh1B!$D$5</f>
        <v>Col (1)</v>
      </c>
      <c r="E111" s="611" t="str">
        <f>Exh1B!$E$5</f>
        <v>Col (2)</v>
      </c>
      <c r="F111" s="611" t="str">
        <f>Exh1B!$F$5</f>
        <v>Col (3)</v>
      </c>
      <c r="G111" s="611" t="str">
        <f>Exh1B!$G$5</f>
        <v>Col (4)</v>
      </c>
      <c r="H111" s="612"/>
      <c r="I111" s="611" t="str">
        <f>Exh1B!$I$5</f>
        <v>Col (5)</v>
      </c>
      <c r="J111" s="619" t="str">
        <f>Exh1B!$J$5</f>
        <v>Col (6)</v>
      </c>
    </row>
    <row r="112" spans="1:10" ht="15.75" customHeight="1">
      <c r="A112" s="131"/>
      <c r="B112" s="117"/>
      <c r="C112" s="114"/>
      <c r="D112" s="111" t="str">
        <f>Exh1B!$D$6</f>
        <v>Direct</v>
      </c>
      <c r="E112" s="115" t="str">
        <f>Exh1B!$E$6</f>
        <v>Direct</v>
      </c>
      <c r="F112" s="111" t="str">
        <f>Exh1B!$F$6</f>
        <v>Dividends</v>
      </c>
      <c r="G112" s="111" t="str">
        <f>Exh1B!$G$6</f>
        <v>Direct</v>
      </c>
      <c r="H112" s="610"/>
      <c r="I112" s="115" t="str">
        <f>Exh1B!$I$6</f>
        <v>Direct</v>
      </c>
      <c r="J112" s="135" t="str">
        <f>Exh1B!$J112</f>
        <v>Direct</v>
      </c>
    </row>
    <row r="113" spans="1:10" ht="15.75" customHeight="1">
      <c r="A113" s="131"/>
      <c r="B113" s="117"/>
      <c r="C113" s="114"/>
      <c r="D113" s="120" t="str">
        <f>Exh1B!$D$7</f>
        <v>Written</v>
      </c>
      <c r="E113" s="118" t="str">
        <f>Exh1B!$E$7</f>
        <v>Earned</v>
      </c>
      <c r="F113" s="119" t="str">
        <f>Exh1B!$F$7</f>
        <v>on Direct</v>
      </c>
      <c r="G113" s="120" t="str">
        <f>Exh1B!$G$7</f>
        <v>Unearned</v>
      </c>
      <c r="H113" s="498"/>
      <c r="I113" s="118" t="str">
        <f>Exh1B!$I$7</f>
        <v>Unpaid</v>
      </c>
      <c r="J113" s="135" t="str">
        <f>Exh1B!$J113</f>
        <v>Unpaid</v>
      </c>
    </row>
    <row r="114" spans="1:10" ht="15.75" customHeight="1">
      <c r="A114" s="131"/>
      <c r="B114" s="117"/>
      <c r="C114" s="117"/>
      <c r="D114" s="123" t="str">
        <f>Exh1B!$D$8</f>
        <v>Premium</v>
      </c>
      <c r="E114" s="123" t="str">
        <f>Exh1B!$E$8</f>
        <v>Premium</v>
      </c>
      <c r="F114" s="124" t="str">
        <f>Exh1B!$F$8</f>
        <v>Business</v>
      </c>
      <c r="G114" s="123" t="str">
        <f>Exh1B!$G$8</f>
        <v>Premium</v>
      </c>
      <c r="H114" s="499"/>
      <c r="I114" s="123" t="str">
        <f>Exh1B!$I$8</f>
        <v>Losses</v>
      </c>
      <c r="J114" s="620" t="str">
        <f>Exh1B!$J114</f>
        <v>D&amp;CCE</v>
      </c>
    </row>
    <row r="115" spans="1:10" ht="15.75" customHeight="1">
      <c r="A115" s="132" t="str">
        <f aca="true" t="shared" si="13" ref="A115:B118">A103</f>
        <v>Item 1</v>
      </c>
      <c r="B115" s="117" t="str">
        <f t="shared" si="13"/>
        <v>Total as Reported on State Page Exhibit</v>
      </c>
      <c r="C115" s="117"/>
      <c r="D115" s="37">
        <f>InputC!$M$10</f>
        <v>0</v>
      </c>
      <c r="E115" s="37">
        <f>InputC!$M$15</f>
        <v>0</v>
      </c>
      <c r="F115" s="37">
        <f>InputC!$M$20+InputC!$M$24</f>
        <v>0</v>
      </c>
      <c r="G115" s="37">
        <f>InputC!$M$28</f>
        <v>0</v>
      </c>
      <c r="H115" s="480"/>
      <c r="I115" s="37">
        <f>InputC!$M$33</f>
        <v>0</v>
      </c>
      <c r="J115" s="80">
        <f>InputC!$M$38</f>
        <v>0</v>
      </c>
    </row>
    <row r="116" spans="1:10" ht="15.75" customHeight="1">
      <c r="A116" s="132" t="str">
        <f t="shared" si="13"/>
        <v>Item 2</v>
      </c>
      <c r="B116" s="117" t="str">
        <f t="shared" si="13"/>
        <v>Exclusions Reported on State Page Exhibit</v>
      </c>
      <c r="C116" s="117"/>
      <c r="D116" s="37">
        <f>SUM(InputC!$M$11:$M$11)</f>
        <v>0</v>
      </c>
      <c r="E116" s="37">
        <f>SUM(InputC!$M$16:$M$16)</f>
        <v>0</v>
      </c>
      <c r="F116" s="37">
        <f>SUM(InputC!$M$21:$M$21,InputC!$M$25:$M$25)</f>
        <v>0</v>
      </c>
      <c r="G116" s="37">
        <f>SUM(InputC!$M$29:$M$29)</f>
        <v>0</v>
      </c>
      <c r="H116" s="480"/>
      <c r="I116" s="37">
        <f>SUM(InputC!$M$34:$M$34)</f>
        <v>0</v>
      </c>
      <c r="J116" s="621">
        <f>SUM(InputC!$M$39:$M$39)</f>
        <v>0</v>
      </c>
    </row>
    <row r="117" spans="1:10" ht="15.75" customHeight="1">
      <c r="A117" s="132" t="str">
        <f t="shared" si="13"/>
        <v>Item 3</v>
      </c>
      <c r="B117" s="117" t="str">
        <f t="shared" si="13"/>
        <v>Excess Profit Data [Item 1 -  Item 2]</v>
      </c>
      <c r="C117" s="117"/>
      <c r="D117" s="37">
        <f>D115-D116</f>
        <v>0</v>
      </c>
      <c r="E117" s="37">
        <f>E115-E116</f>
        <v>0</v>
      </c>
      <c r="F117" s="37">
        <f>F115-F116</f>
        <v>0</v>
      </c>
      <c r="G117" s="37">
        <f>G115-G116</f>
        <v>0</v>
      </c>
      <c r="H117" s="480"/>
      <c r="I117" s="37">
        <f>I115-I116</f>
        <v>0</v>
      </c>
      <c r="J117" s="44">
        <f>J115-J116</f>
        <v>0</v>
      </c>
    </row>
    <row r="118" spans="1:10" ht="15.75" customHeight="1">
      <c r="A118" s="132" t="str">
        <f t="shared" si="13"/>
        <v>Item 4</v>
      </c>
      <c r="B118" s="133" t="str">
        <f t="shared" si="13"/>
        <v>UCJF Assessments &amp; Excess Medical Benefits</v>
      </c>
      <c r="C118" s="117"/>
      <c r="D118" s="39" t="str">
        <f>InputC!$M$12</f>
        <v>XXX</v>
      </c>
      <c r="E118" s="39" t="str">
        <f>InputC!$M$17</f>
        <v>XXX</v>
      </c>
      <c r="F118" s="39" t="s">
        <v>0</v>
      </c>
      <c r="G118" s="39" t="s">
        <v>0</v>
      </c>
      <c r="H118" s="479"/>
      <c r="I118" s="39" t="str">
        <f>InputC!$M$35</f>
        <v>XXX</v>
      </c>
      <c r="J118" s="40" t="str">
        <f>InputC!$M$35</f>
        <v>XXX</v>
      </c>
    </row>
    <row r="119" spans="1:10" ht="15.75" customHeight="1">
      <c r="A119" s="132"/>
      <c r="B119" s="117"/>
      <c r="C119" s="117"/>
      <c r="D119" s="37"/>
      <c r="E119" s="37"/>
      <c r="F119" s="37"/>
      <c r="G119" s="37"/>
      <c r="H119" s="480"/>
      <c r="I119" s="37"/>
      <c r="J119" s="173"/>
    </row>
    <row r="120" spans="1:10" ht="15.75" customHeight="1">
      <c r="A120" s="132" t="str">
        <f>A108</f>
        <v>Item 5</v>
      </c>
      <c r="B120" s="117" t="str">
        <f>B108</f>
        <v>Refund of Excess Profit, included in Col (3)</v>
      </c>
      <c r="C120" s="117"/>
      <c r="D120" s="39" t="s">
        <v>0</v>
      </c>
      <c r="E120" s="39" t="s">
        <v>0</v>
      </c>
      <c r="F120" s="490" t="s">
        <v>0</v>
      </c>
      <c r="G120" s="39" t="s">
        <v>0</v>
      </c>
      <c r="H120" s="479"/>
      <c r="I120" s="39" t="s">
        <v>0</v>
      </c>
      <c r="J120" s="40" t="str">
        <f>InputC!$M$35</f>
        <v>XXX</v>
      </c>
    </row>
    <row r="121" spans="1:10" ht="15.75" customHeight="1" thickBot="1">
      <c r="A121" s="134" t="str">
        <f>A109</f>
        <v>Item 6</v>
      </c>
      <c r="B121" s="129" t="str">
        <f>B109</f>
        <v>All Other Dividends, included in Col (3)</v>
      </c>
      <c r="C121" s="129"/>
      <c r="D121" s="276" t="s">
        <v>0</v>
      </c>
      <c r="E121" s="276" t="s">
        <v>0</v>
      </c>
      <c r="F121" s="542" t="s">
        <v>0</v>
      </c>
      <c r="G121" s="276" t="s">
        <v>0</v>
      </c>
      <c r="H121" s="572"/>
      <c r="I121" s="276" t="s">
        <v>0</v>
      </c>
      <c r="J121" s="277" t="str">
        <f>InputC!$M$35</f>
        <v>XXX</v>
      </c>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xl/worksheets/sheet9.xml><?xml version="1.0" encoding="utf-8"?>
<worksheet xmlns="http://schemas.openxmlformats.org/spreadsheetml/2006/main" xmlns:r="http://schemas.openxmlformats.org/officeDocument/2006/relationships">
  <sheetPr codeName="Sheet16" transitionEvaluation="1"/>
  <dimension ref="A1:J128"/>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7109375" style="104" customWidth="1"/>
    <col min="2" max="2" width="12.7109375" style="104" customWidth="1"/>
    <col min="3" max="3" width="38.57421875" style="104" customWidth="1"/>
    <col min="4" max="10" width="17.140625" style="104" customWidth="1"/>
    <col min="11" max="16384" width="11.7109375" style="104" customWidth="1"/>
  </cols>
  <sheetData>
    <row r="1" spans="1:10" ht="15.75" customHeight="1">
      <c r="A1" s="103" t="str">
        <f>InputB!$A$1</f>
        <v>Group Name:</v>
      </c>
      <c r="C1" s="105" t="str">
        <f>InputB!$C$1</f>
        <v>enter group name here</v>
      </c>
      <c r="D1"/>
      <c r="E1"/>
      <c r="F1"/>
      <c r="G1"/>
      <c r="H1"/>
      <c r="I1"/>
      <c r="J1" s="107" t="s">
        <v>48</v>
      </c>
    </row>
    <row r="2" spans="1:10" ht="15.75" customHeight="1">
      <c r="A2" s="108" t="str">
        <f>InputB!$A$2</f>
        <v>Group NAIC #:</v>
      </c>
      <c r="C2" s="105" t="str">
        <f>InputB!$C$2</f>
        <v>enter group # here</v>
      </c>
      <c r="D2"/>
      <c r="E2"/>
      <c r="F2"/>
      <c r="G2"/>
      <c r="H2"/>
      <c r="I2"/>
      <c r="J2" s="107" t="s">
        <v>384</v>
      </c>
    </row>
    <row r="3" spans="1:10" ht="15.75" customHeight="1">
      <c r="A3" s="103" t="str">
        <f>InputB!$A$3</f>
        <v>Year Filed:</v>
      </c>
      <c r="C3" s="110">
        <f>InputB!$C$3</f>
        <v>2024</v>
      </c>
      <c r="D3"/>
      <c r="E3"/>
      <c r="F3"/>
      <c r="G3"/>
      <c r="H3"/>
      <c r="I3"/>
      <c r="J3" s="107" t="s">
        <v>103</v>
      </c>
    </row>
    <row r="4" ht="15.75" customHeight="1" thickBot="1"/>
    <row r="5" spans="1:10" ht="15.75" customHeight="1">
      <c r="A5" s="112" t="str">
        <f>"Calendar Year "&amp;FIXED(ReportYear-1,0,TRUE)</f>
        <v>Calendar Year 2023</v>
      </c>
      <c r="B5" s="113"/>
      <c r="C5" s="113"/>
      <c r="D5" s="611" t="str">
        <f>Exh1A!D5</f>
        <v>Col (1)</v>
      </c>
      <c r="E5" s="611" t="str">
        <f>Exh1A!E5</f>
        <v>Col (2)</v>
      </c>
      <c r="F5" s="611" t="str">
        <f>Exh1A!F5</f>
        <v>Col (3)</v>
      </c>
      <c r="G5" s="612" t="str">
        <f>Exh1A!G5</f>
        <v>Col (4)</v>
      </c>
      <c r="H5" s="612"/>
      <c r="I5" s="611" t="str">
        <f>Exh1A!I5</f>
        <v>Col (5)</v>
      </c>
      <c r="J5" s="613" t="str">
        <f>Exh1A!J5</f>
        <v>Col (6)</v>
      </c>
    </row>
    <row r="6" spans="1:10" ht="15.75" customHeight="1">
      <c r="A6" s="131">
        <f>Exh1A!$A6</f>
      </c>
      <c r="B6" s="117">
        <f>Exh1A!$B6</f>
      </c>
      <c r="C6" s="117"/>
      <c r="D6" s="111" t="str">
        <f>Exh1A!D6</f>
        <v>Direct</v>
      </c>
      <c r="E6" s="111" t="str">
        <f>Exh1A!E6</f>
        <v>Direct</v>
      </c>
      <c r="F6" s="111" t="str">
        <f>Exh1A!F6</f>
        <v>Dividends</v>
      </c>
      <c r="G6" s="111" t="str">
        <f>Exh1A!G6</f>
        <v>Direct</v>
      </c>
      <c r="H6"/>
      <c r="I6" s="111" t="str">
        <f>Exh1A!I6</f>
        <v>Direct</v>
      </c>
      <c r="J6" s="614" t="str">
        <f>Exh1A!J6</f>
        <v>Direct</v>
      </c>
    </row>
    <row r="7" spans="1:10" ht="15.75" customHeight="1">
      <c r="A7" s="131">
        <f>Exh1A!$A7</f>
      </c>
      <c r="B7" s="117">
        <f>Exh1A!$B7</f>
      </c>
      <c r="C7" s="117"/>
      <c r="D7" s="111" t="str">
        <f>Exh1A!D7</f>
        <v>Written</v>
      </c>
      <c r="E7" s="111" t="str">
        <f>Exh1A!E7</f>
        <v>Earned</v>
      </c>
      <c r="F7" s="111" t="str">
        <f>Exh1A!F7</f>
        <v>on Direct</v>
      </c>
      <c r="G7" s="111" t="str">
        <f>Exh1A!G7</f>
        <v>Unearned</v>
      </c>
      <c r="H7"/>
      <c r="I7" s="111" t="str">
        <f>Exh1A!I7</f>
        <v>Unpaid</v>
      </c>
      <c r="J7" s="614" t="str">
        <f>Exh1A!J7</f>
        <v>Unpaid</v>
      </c>
    </row>
    <row r="8" spans="1:10" ht="15.75" customHeight="1">
      <c r="A8" s="131">
        <f>Exh1A!$A8</f>
      </c>
      <c r="B8" s="117">
        <f>Exh1A!$B8</f>
      </c>
      <c r="C8" s="117"/>
      <c r="D8" s="123" t="str">
        <f>Exh1A!D8</f>
        <v>Premium</v>
      </c>
      <c r="E8" s="123" t="str">
        <f>Exh1A!E8</f>
        <v>Premium</v>
      </c>
      <c r="F8" s="123" t="str">
        <f>Exh1A!F8</f>
        <v>Business</v>
      </c>
      <c r="G8" s="123" t="str">
        <f>Exh1A!G8</f>
        <v>Premium</v>
      </c>
      <c r="H8"/>
      <c r="I8" s="123" t="str">
        <f>Exh1A!I8</f>
        <v>Losses</v>
      </c>
      <c r="J8" s="615" t="str">
        <f>Exh1A!J8</f>
        <v>D&amp;CCE</v>
      </c>
    </row>
    <row r="9" spans="1:10" ht="15.75" customHeight="1">
      <c r="A9" s="132" t="str">
        <f>Exh1A!$A9</f>
        <v>Item 1</v>
      </c>
      <c r="B9" s="117" t="str">
        <f>Exh1A!$B9</f>
        <v>Total as Reported on State Page Exhibit</v>
      </c>
      <c r="C9" s="117"/>
      <c r="D9" s="37">
        <f>SUM(Exh1A!D9,Exh1B!D9,Exh1C!D9)</f>
        <v>0</v>
      </c>
      <c r="E9" s="37">
        <f>SUM(Exh1A!E9,Exh1B!E9,Exh1C!E9)</f>
        <v>0</v>
      </c>
      <c r="F9" s="37">
        <f>SUM(Exh1A!F9,Exh1B!F9,Exh1C!F9)</f>
        <v>0</v>
      </c>
      <c r="G9" s="480">
        <f>SUM(Exh1A!G9,Exh1B!G9,Exh1C!G9)</f>
        <v>0</v>
      </c>
      <c r="H9"/>
      <c r="I9" s="37">
        <f>SUM(Exh1A!I9,Exh1B!I9,Exh1C!I9)</f>
        <v>0</v>
      </c>
      <c r="J9" s="80">
        <f>SUM(Exh1A!J9,Exh1B!J9,Exh1C!J9)</f>
        <v>0</v>
      </c>
    </row>
    <row r="10" spans="1:10" ht="15.75" customHeight="1">
      <c r="A10" s="132" t="str">
        <f>Exh1A!$A10</f>
        <v>Item 2</v>
      </c>
      <c r="B10" s="117" t="str">
        <f>Exh1A!$B10</f>
        <v>Exclusions Reported on State Page Exhibit</v>
      </c>
      <c r="C10" s="117"/>
      <c r="D10" s="37">
        <f>SUM(Exh1A!D10,Exh1B!D10,Exh1C!D10)</f>
        <v>0</v>
      </c>
      <c r="E10" s="37">
        <f>SUM(Exh1A!E10,Exh1B!E10,Exh1C!E10)</f>
        <v>0</v>
      </c>
      <c r="F10" s="37">
        <f>SUM(Exh1A!F10,Exh1B!F10,Exh1C!F10)</f>
        <v>0</v>
      </c>
      <c r="G10" s="480">
        <f>SUM(Exh1A!G10,Exh1B!G10,Exh1C!G10)</f>
        <v>0</v>
      </c>
      <c r="H10"/>
      <c r="I10" s="37">
        <f>SUM(Exh1A!I10,Exh1B!I10,Exh1C!I10)</f>
        <v>0</v>
      </c>
      <c r="J10" s="625">
        <f>SUM(Exh1A!J10,Exh1B!J10,Exh1C!J10)</f>
        <v>0</v>
      </c>
    </row>
    <row r="11" spans="1:10" ht="15.75" customHeight="1">
      <c r="A11" s="132" t="str">
        <f>Exh1A!$A11</f>
        <v>Item 3</v>
      </c>
      <c r="B11" s="117" t="str">
        <f>Exh1A!$B11</f>
        <v>Excess Profit Data [Item 1 -  Item 2]</v>
      </c>
      <c r="C11" s="117"/>
      <c r="D11" s="37">
        <f>SUM(Exh1A!D11,Exh1B!D11,Exh1C!D11)</f>
        <v>0</v>
      </c>
      <c r="E11" s="37">
        <f>SUM(Exh1A!E11,Exh1B!E11,Exh1C!E11)</f>
        <v>0</v>
      </c>
      <c r="F11" s="37">
        <f>SUM(Exh1A!F11,Exh1B!F11,Exh1C!F11)</f>
        <v>0</v>
      </c>
      <c r="G11" s="480">
        <f>SUM(Exh1A!G11,Exh1B!G11,Exh1C!G11)</f>
        <v>0</v>
      </c>
      <c r="H11"/>
      <c r="I11" s="37">
        <f>SUM(Exh1A!I11,Exh1B!I11,Exh1C!I11)</f>
        <v>0</v>
      </c>
      <c r="J11" s="618">
        <f>SUM(Exh1A!J11,Exh1B!J11,Exh1C!J11)</f>
        <v>0</v>
      </c>
    </row>
    <row r="12" spans="1:10" ht="15.75" customHeight="1">
      <c r="A12" s="132" t="str">
        <f>Exh1A!$A12</f>
        <v>Item 4</v>
      </c>
      <c r="B12" s="133" t="str">
        <f>Exh1A!$B12</f>
        <v>UCJF Assessments &amp; Excess Medical Benefits</v>
      </c>
      <c r="C12" s="117"/>
      <c r="D12" s="37">
        <f>SUM(Exh1A!D12,Exh1B!D12,Exh1C!D12)</f>
        <v>0</v>
      </c>
      <c r="E12" s="41">
        <f>SUM(Exh1A!E12,Exh1B!E12,Exh1C!E12)</f>
        <v>0</v>
      </c>
      <c r="F12" s="41">
        <f>SUM(Exh1A!F12,Exh1B!F12,Exh1C!F12)</f>
        <v>0</v>
      </c>
      <c r="G12" s="500">
        <f>SUM(Exh1A!G12,Exh1B!G12,Exh1C!G12)</f>
        <v>0</v>
      </c>
      <c r="H12"/>
      <c r="I12" s="37">
        <f>SUM(Exh1A!I12,Exh1B!I12,Exh1C!I12)</f>
        <v>0</v>
      </c>
      <c r="J12" s="40" t="s">
        <v>0</v>
      </c>
    </row>
    <row r="13" spans="1:10" ht="15.75" customHeight="1">
      <c r="A13" s="629" t="s">
        <v>372</v>
      </c>
      <c r="B13" s="630"/>
      <c r="C13" s="630"/>
      <c r="D13" s="631">
        <f>D11-D12</f>
        <v>0</v>
      </c>
      <c r="E13" s="631">
        <f aca="true" t="shared" si="0" ref="E13:J13">E11-E12</f>
        <v>0</v>
      </c>
      <c r="F13" s="631">
        <f t="shared" si="0"/>
        <v>0</v>
      </c>
      <c r="G13" s="632">
        <f t="shared" si="0"/>
        <v>0</v>
      </c>
      <c r="H13"/>
      <c r="I13" s="631">
        <f t="shared" si="0"/>
        <v>0</v>
      </c>
      <c r="J13" s="633">
        <f t="shared" si="0"/>
        <v>0</v>
      </c>
    </row>
    <row r="14" spans="1:10" ht="15.75" customHeight="1">
      <c r="A14" s="132" t="str">
        <f>Exh1A!$A14</f>
        <v>Item 5</v>
      </c>
      <c r="B14" s="117" t="str">
        <f>Exh1A!$B14</f>
        <v>Refund of Excess Profit, included in Col (3)</v>
      </c>
      <c r="C14" s="117"/>
      <c r="D14" s="39" t="s">
        <v>0</v>
      </c>
      <c r="E14" s="39" t="s">
        <v>0</v>
      </c>
      <c r="F14" s="41">
        <f>InputTOTAL!$E$47</f>
        <v>0</v>
      </c>
      <c r="G14" s="479" t="s">
        <v>0</v>
      </c>
      <c r="H14"/>
      <c r="I14" s="39" t="s">
        <v>0</v>
      </c>
      <c r="J14" s="40" t="s">
        <v>0</v>
      </c>
    </row>
    <row r="15" spans="1:10" ht="15.75" customHeight="1" thickBot="1">
      <c r="A15" s="134" t="str">
        <f>Exh1A!$A15</f>
        <v>Item 6</v>
      </c>
      <c r="B15" s="129" t="str">
        <f>Exh1A!$B15</f>
        <v>All Other Dividends, included in Col (3)</v>
      </c>
      <c r="C15" s="129"/>
      <c r="D15" s="276" t="s">
        <v>0</v>
      </c>
      <c r="E15" s="276" t="s">
        <v>0</v>
      </c>
      <c r="F15" s="84">
        <f>F13-F14</f>
        <v>0</v>
      </c>
      <c r="G15" s="572" t="s">
        <v>0</v>
      </c>
      <c r="H15" s="572"/>
      <c r="I15" s="276" t="s">
        <v>0</v>
      </c>
      <c r="J15" s="277" t="s">
        <v>0</v>
      </c>
    </row>
    <row r="16" ht="15.75" customHeight="1" thickBot="1">
      <c r="G16" s="504"/>
    </row>
    <row r="17" spans="1:10" ht="15.75" customHeight="1">
      <c r="A17" s="112" t="str">
        <f>"Calendar Year "&amp;FIXED(ReportYear-2,0,TRUE)</f>
        <v>Calendar Year 2022</v>
      </c>
      <c r="B17" s="113"/>
      <c r="C17" s="113"/>
      <c r="D17" s="611" t="str">
        <f>D5</f>
        <v>Col (1)</v>
      </c>
      <c r="E17" s="611" t="str">
        <f>Exh1B!$E$5</f>
        <v>Col (2)</v>
      </c>
      <c r="F17" s="611" t="str">
        <f>Exh1B!$F$5</f>
        <v>Col (3)</v>
      </c>
      <c r="G17" s="612" t="str">
        <f>Exh1B!$G$5</f>
        <v>Col (4)</v>
      </c>
      <c r="H17" s="612"/>
      <c r="I17" s="611" t="str">
        <f>Exh1B!$I$5</f>
        <v>Col (5)</v>
      </c>
      <c r="J17" s="613" t="str">
        <f>Exh1B!$J$5</f>
        <v>Col (6)</v>
      </c>
    </row>
    <row r="18" spans="1:10" ht="15.75" customHeight="1">
      <c r="A18" s="131"/>
      <c r="B18" s="117"/>
      <c r="C18" s="117"/>
      <c r="D18" s="111" t="str">
        <f>D6</f>
        <v>Direct</v>
      </c>
      <c r="E18" s="111" t="str">
        <f aca="true" t="shared" si="1" ref="E18:G20">E6</f>
        <v>Direct</v>
      </c>
      <c r="F18" s="111" t="str">
        <f t="shared" si="1"/>
        <v>Dividends</v>
      </c>
      <c r="G18" s="111" t="str">
        <f t="shared" si="1"/>
        <v>Direct</v>
      </c>
      <c r="H18" s="111"/>
      <c r="I18" s="111" t="str">
        <f aca="true" t="shared" si="2" ref="I18:J20">I6</f>
        <v>Direct</v>
      </c>
      <c r="J18" s="614" t="str">
        <f t="shared" si="2"/>
        <v>Direct</v>
      </c>
    </row>
    <row r="19" spans="1:10" ht="15.75" customHeight="1">
      <c r="A19" s="131"/>
      <c r="B19" s="117"/>
      <c r="C19" s="117"/>
      <c r="D19" s="111" t="str">
        <f>D7</f>
        <v>Written</v>
      </c>
      <c r="E19" s="111" t="str">
        <f t="shared" si="1"/>
        <v>Earned</v>
      </c>
      <c r="F19" s="111" t="str">
        <f t="shared" si="1"/>
        <v>on Direct</v>
      </c>
      <c r="G19" s="111" t="str">
        <f t="shared" si="1"/>
        <v>Unearned</v>
      </c>
      <c r="H19" s="111"/>
      <c r="I19" s="111" t="str">
        <f t="shared" si="2"/>
        <v>Unpaid</v>
      </c>
      <c r="J19" s="614" t="str">
        <f t="shared" si="2"/>
        <v>Unpaid</v>
      </c>
    </row>
    <row r="20" spans="1:10" ht="15.75" customHeight="1">
      <c r="A20" s="131"/>
      <c r="B20" s="117"/>
      <c r="C20" s="117"/>
      <c r="D20" s="123" t="str">
        <f>D8</f>
        <v>Premium</v>
      </c>
      <c r="E20" s="123" t="str">
        <f t="shared" si="1"/>
        <v>Premium</v>
      </c>
      <c r="F20" s="123" t="str">
        <f t="shared" si="1"/>
        <v>Business</v>
      </c>
      <c r="G20" s="123" t="str">
        <f t="shared" si="1"/>
        <v>Premium</v>
      </c>
      <c r="H20" s="123"/>
      <c r="I20" s="123" t="str">
        <f t="shared" si="2"/>
        <v>Losses</v>
      </c>
      <c r="J20" s="615" t="str">
        <f t="shared" si="2"/>
        <v>D&amp;CCE</v>
      </c>
    </row>
    <row r="21" spans="1:10" ht="15.75" customHeight="1">
      <c r="A21" s="132" t="str">
        <f aca="true" t="shared" si="3" ref="A21:B24">A9</f>
        <v>Item 1</v>
      </c>
      <c r="B21" s="117" t="str">
        <f t="shared" si="3"/>
        <v>Total as Reported on State Page Exhibit</v>
      </c>
      <c r="C21" s="117"/>
      <c r="D21" s="37">
        <f>SUM(Exh1A!D21,Exh1B!D21,Exh1C!D21)</f>
        <v>0</v>
      </c>
      <c r="E21" s="37">
        <f>SUM(Exh1A!E21,Exh1B!E21,Exh1C!E21)</f>
        <v>0</v>
      </c>
      <c r="F21" s="37">
        <f>SUM(Exh1A!F21,Exh1B!F21,Exh1C!F21)</f>
        <v>0</v>
      </c>
      <c r="G21" s="480">
        <f>SUM(Exh1A!G21,Exh1B!G21,Exh1C!G21)</f>
        <v>0</v>
      </c>
      <c r="H21" s="480"/>
      <c r="I21" s="37">
        <f>SUM(Exh1A!I21,Exh1B!I21,Exh1C!I21)</f>
        <v>0</v>
      </c>
      <c r="J21" s="80">
        <f>SUM(Exh1A!J21,Exh1B!J21,Exh1C!J21)</f>
        <v>0</v>
      </c>
    </row>
    <row r="22" spans="1:10" ht="15.75" customHeight="1">
      <c r="A22" s="132" t="str">
        <f t="shared" si="3"/>
        <v>Item 2</v>
      </c>
      <c r="B22" s="117" t="str">
        <f t="shared" si="3"/>
        <v>Exclusions Reported on State Page Exhibit</v>
      </c>
      <c r="C22" s="117"/>
      <c r="D22" s="37">
        <f>SUM(Exh1A!D22,Exh1B!D22,Exh1C!D22)</f>
        <v>0</v>
      </c>
      <c r="E22" s="37">
        <f>SUM(Exh1A!E22,Exh1B!E22,Exh1C!E22)</f>
        <v>0</v>
      </c>
      <c r="F22" s="37">
        <f>SUM(Exh1A!F22,Exh1B!F22,Exh1C!F22)</f>
        <v>0</v>
      </c>
      <c r="G22" s="480">
        <f>SUM(Exh1A!G22,Exh1B!G22,Exh1C!G22)</f>
        <v>0</v>
      </c>
      <c r="H22" s="480"/>
      <c r="I22" s="37">
        <f>SUM(Exh1A!I22,Exh1B!I22,Exh1C!I22)</f>
        <v>0</v>
      </c>
      <c r="J22" s="625">
        <f>SUM(Exh1A!J22,Exh1B!J22,Exh1C!J22)</f>
        <v>0</v>
      </c>
    </row>
    <row r="23" spans="1:10" ht="15.75" customHeight="1">
      <c r="A23" s="132" t="str">
        <f t="shared" si="3"/>
        <v>Item 3</v>
      </c>
      <c r="B23" s="117" t="str">
        <f t="shared" si="3"/>
        <v>Excess Profit Data [Item 1 -  Item 2]</v>
      </c>
      <c r="C23" s="117"/>
      <c r="D23" s="37">
        <f>SUM(Exh1A!D23,Exh1B!D23,Exh1C!D23)</f>
        <v>0</v>
      </c>
      <c r="E23" s="37">
        <f>SUM(Exh1A!E23,Exh1B!E23,Exh1C!E23)</f>
        <v>0</v>
      </c>
      <c r="F23" s="37">
        <f>SUM(Exh1A!F23,Exh1B!F23,Exh1C!F23)</f>
        <v>0</v>
      </c>
      <c r="G23" s="480">
        <f>SUM(Exh1A!G23,Exh1B!G23,Exh1C!G23)</f>
        <v>0</v>
      </c>
      <c r="H23" s="480"/>
      <c r="I23" s="37">
        <f>SUM(Exh1A!I23,Exh1B!I23,Exh1C!I23)</f>
        <v>0</v>
      </c>
      <c r="J23" s="618">
        <f>SUM(Exh1A!J23,Exh1B!J23,Exh1C!J23)</f>
        <v>0</v>
      </c>
    </row>
    <row r="24" spans="1:10" ht="15.75" customHeight="1">
      <c r="A24" s="132" t="str">
        <f t="shared" si="3"/>
        <v>Item 4</v>
      </c>
      <c r="B24" s="133" t="str">
        <f t="shared" si="3"/>
        <v>UCJF Assessments &amp; Excess Medical Benefits</v>
      </c>
      <c r="C24" s="117"/>
      <c r="D24" s="37">
        <f>SUM(Exh1A!D24,Exh1B!D24,Exh1C!D24)</f>
        <v>0</v>
      </c>
      <c r="E24" s="41">
        <f>SUM(Exh1A!E24,Exh1B!E24,Exh1C!E24)</f>
        <v>0</v>
      </c>
      <c r="F24" s="41">
        <f>SUM(Exh1A!F24,Exh1B!F24,Exh1C!F24)</f>
        <v>0</v>
      </c>
      <c r="G24" s="500">
        <f>SUM(Exh1A!G24,Exh1B!G24,Exh1C!G24)</f>
        <v>0</v>
      </c>
      <c r="H24" s="500"/>
      <c r="I24" s="37">
        <f>SUM(Exh1A!I24,Exh1B!I24,Exh1C!I24)</f>
        <v>0</v>
      </c>
      <c r="J24" s="40" t="s">
        <v>0</v>
      </c>
    </row>
    <row r="25" spans="1:10" ht="15.75" customHeight="1">
      <c r="A25" s="629" t="s">
        <v>372</v>
      </c>
      <c r="B25" s="630"/>
      <c r="C25" s="630"/>
      <c r="D25" s="631">
        <f>D23-D24</f>
        <v>0</v>
      </c>
      <c r="E25" s="631">
        <f>E23-E24</f>
        <v>0</v>
      </c>
      <c r="F25" s="631">
        <f>F23-F24</f>
        <v>0</v>
      </c>
      <c r="G25" s="632">
        <f>G23-G24</f>
        <v>0</v>
      </c>
      <c r="H25" s="632"/>
      <c r="I25" s="631">
        <f>I23-I24</f>
        <v>0</v>
      </c>
      <c r="J25" s="633">
        <f>J23-J24</f>
        <v>0</v>
      </c>
    </row>
    <row r="26" spans="1:10" ht="15.75" customHeight="1">
      <c r="A26" s="132" t="str">
        <f>A14</f>
        <v>Item 5</v>
      </c>
      <c r="B26" s="117" t="str">
        <f>B14</f>
        <v>Refund of Excess Profit, included in Col (3)</v>
      </c>
      <c r="C26" s="117"/>
      <c r="D26" s="39" t="s">
        <v>0</v>
      </c>
      <c r="E26" s="39" t="s">
        <v>0</v>
      </c>
      <c r="F26" s="41">
        <f>InputTOTAL!$F$47</f>
        <v>0</v>
      </c>
      <c r="G26" s="479" t="s">
        <v>0</v>
      </c>
      <c r="H26" s="479"/>
      <c r="I26" s="39" t="s">
        <v>0</v>
      </c>
      <c r="J26" s="40" t="s">
        <v>0</v>
      </c>
    </row>
    <row r="27" spans="1:10" ht="15.75" customHeight="1" thickBot="1">
      <c r="A27" s="134" t="str">
        <f>A15</f>
        <v>Item 6</v>
      </c>
      <c r="B27" s="129" t="str">
        <f>B15</f>
        <v>All Other Dividends, included in Col (3)</v>
      </c>
      <c r="C27" s="129"/>
      <c r="D27" s="276" t="s">
        <v>0</v>
      </c>
      <c r="E27" s="276" t="s">
        <v>0</v>
      </c>
      <c r="F27" s="84">
        <f>F25-F26</f>
        <v>0</v>
      </c>
      <c r="G27" s="572" t="s">
        <v>0</v>
      </c>
      <c r="H27" s="572"/>
      <c r="I27" s="276" t="s">
        <v>0</v>
      </c>
      <c r="J27" s="277" t="s">
        <v>0</v>
      </c>
    </row>
    <row r="28" ht="15.75" customHeight="1" thickBot="1">
      <c r="G28" s="504"/>
    </row>
    <row r="29" spans="1:10" ht="15.75" customHeight="1">
      <c r="A29" s="112" t="str">
        <f>"Calendar Year "&amp;FIXED(ReportYear-3,0,TRUE)</f>
        <v>Calendar Year 2021</v>
      </c>
      <c r="B29" s="113"/>
      <c r="C29" s="113"/>
      <c r="D29" s="611" t="str">
        <f>D17</f>
        <v>Col (1)</v>
      </c>
      <c r="E29" s="611" t="str">
        <f>Exh1B!$E$5</f>
        <v>Col (2)</v>
      </c>
      <c r="F29" s="611" t="str">
        <f>Exh1B!$F$5</f>
        <v>Col (3)</v>
      </c>
      <c r="G29" s="612" t="str">
        <f>Exh1B!$G$5</f>
        <v>Col (4)</v>
      </c>
      <c r="H29" s="612"/>
      <c r="I29" s="611" t="str">
        <f>Exh1B!$I$5</f>
        <v>Col (5)</v>
      </c>
      <c r="J29" s="613" t="str">
        <f>Exh1B!$J$5</f>
        <v>Col (6)</v>
      </c>
    </row>
    <row r="30" spans="1:10" ht="15.75" customHeight="1">
      <c r="A30" s="131"/>
      <c r="B30" s="117"/>
      <c r="C30" s="117"/>
      <c r="D30" s="111" t="str">
        <f>D18</f>
        <v>Direct</v>
      </c>
      <c r="E30" s="111" t="str">
        <f aca="true" t="shared" si="4" ref="E30:G32">E18</f>
        <v>Direct</v>
      </c>
      <c r="F30" s="111" t="str">
        <f t="shared" si="4"/>
        <v>Dividends</v>
      </c>
      <c r="G30" s="111" t="str">
        <f t="shared" si="4"/>
        <v>Direct</v>
      </c>
      <c r="H30" s="111"/>
      <c r="I30" s="111" t="str">
        <f aca="true" t="shared" si="5" ref="I30:J32">I18</f>
        <v>Direct</v>
      </c>
      <c r="J30" s="614" t="str">
        <f t="shared" si="5"/>
        <v>Direct</v>
      </c>
    </row>
    <row r="31" spans="1:10" ht="15.75" customHeight="1">
      <c r="A31" s="131"/>
      <c r="B31" s="117"/>
      <c r="C31" s="117"/>
      <c r="D31" s="111" t="str">
        <f>D19</f>
        <v>Written</v>
      </c>
      <c r="E31" s="111" t="str">
        <f t="shared" si="4"/>
        <v>Earned</v>
      </c>
      <c r="F31" s="111" t="str">
        <f t="shared" si="4"/>
        <v>on Direct</v>
      </c>
      <c r="G31" s="111" t="str">
        <f t="shared" si="4"/>
        <v>Unearned</v>
      </c>
      <c r="H31" s="111"/>
      <c r="I31" s="111" t="str">
        <f t="shared" si="5"/>
        <v>Unpaid</v>
      </c>
      <c r="J31" s="614" t="str">
        <f t="shared" si="5"/>
        <v>Unpaid</v>
      </c>
    </row>
    <row r="32" spans="1:10" ht="15.75" customHeight="1">
      <c r="A32" s="131"/>
      <c r="B32" s="117"/>
      <c r="C32" s="117"/>
      <c r="D32" s="123" t="str">
        <f>D20</f>
        <v>Premium</v>
      </c>
      <c r="E32" s="123" t="str">
        <f t="shared" si="4"/>
        <v>Premium</v>
      </c>
      <c r="F32" s="123" t="str">
        <f t="shared" si="4"/>
        <v>Business</v>
      </c>
      <c r="G32" s="123" t="str">
        <f t="shared" si="4"/>
        <v>Premium</v>
      </c>
      <c r="H32" s="123"/>
      <c r="I32" s="123" t="str">
        <f t="shared" si="5"/>
        <v>Losses</v>
      </c>
      <c r="J32" s="615" t="str">
        <f t="shared" si="5"/>
        <v>D&amp;CCE</v>
      </c>
    </row>
    <row r="33" spans="1:10" ht="15.75" customHeight="1">
      <c r="A33" s="132" t="str">
        <f aca="true" t="shared" si="6" ref="A33:B36">A21</f>
        <v>Item 1</v>
      </c>
      <c r="B33" s="117" t="str">
        <f t="shared" si="6"/>
        <v>Total as Reported on State Page Exhibit</v>
      </c>
      <c r="C33" s="117"/>
      <c r="D33" s="37">
        <f>SUM(Exh1A!D33,Exh1B!D33,Exh1C!D33)</f>
        <v>0</v>
      </c>
      <c r="E33" s="37">
        <f>SUM(Exh1A!E33,Exh1B!E33,Exh1C!E33)</f>
        <v>0</v>
      </c>
      <c r="F33" s="37">
        <f>SUM(Exh1A!F33,Exh1B!F33,Exh1C!F33)</f>
        <v>0</v>
      </c>
      <c r="G33" s="480">
        <f>SUM(Exh1A!G33,Exh1B!G33,Exh1C!G33)</f>
        <v>0</v>
      </c>
      <c r="H33" s="480"/>
      <c r="I33" s="37">
        <f>SUM(Exh1A!I33,Exh1B!I33,Exh1C!I33)</f>
        <v>0</v>
      </c>
      <c r="J33" s="80">
        <f>SUM(Exh1A!J33,Exh1B!J33,Exh1C!J33)</f>
        <v>0</v>
      </c>
    </row>
    <row r="34" spans="1:10" ht="15.75" customHeight="1">
      <c r="A34" s="132" t="str">
        <f t="shared" si="6"/>
        <v>Item 2</v>
      </c>
      <c r="B34" s="117" t="str">
        <f t="shared" si="6"/>
        <v>Exclusions Reported on State Page Exhibit</v>
      </c>
      <c r="C34" s="117"/>
      <c r="D34" s="37">
        <f>SUM(Exh1A!D34,Exh1B!D34,Exh1C!D34)</f>
        <v>0</v>
      </c>
      <c r="E34" s="37">
        <f>SUM(Exh1A!E34,Exh1B!E34,Exh1C!E34)</f>
        <v>0</v>
      </c>
      <c r="F34" s="37">
        <f>SUM(Exh1A!F34,Exh1B!F34,Exh1C!F34)</f>
        <v>0</v>
      </c>
      <c r="G34" s="480">
        <f>SUM(Exh1A!G34,Exh1B!G34,Exh1C!G34)</f>
        <v>0</v>
      </c>
      <c r="H34" s="480"/>
      <c r="I34" s="37">
        <f>SUM(Exh1A!I34,Exh1B!I34,Exh1C!I34)</f>
        <v>0</v>
      </c>
      <c r="J34" s="625">
        <f>SUM(Exh1A!J34,Exh1B!J34,Exh1C!J34)</f>
        <v>0</v>
      </c>
    </row>
    <row r="35" spans="1:10" ht="15.75" customHeight="1">
      <c r="A35" s="132" t="str">
        <f t="shared" si="6"/>
        <v>Item 3</v>
      </c>
      <c r="B35" s="117" t="str">
        <f t="shared" si="6"/>
        <v>Excess Profit Data [Item 1 -  Item 2]</v>
      </c>
      <c r="C35" s="117"/>
      <c r="D35" s="37">
        <f>SUM(Exh1A!D35,Exh1B!D35,Exh1C!D35)</f>
        <v>0</v>
      </c>
      <c r="E35" s="37">
        <f>SUM(Exh1A!E35,Exh1B!E35,Exh1C!E35)</f>
        <v>0</v>
      </c>
      <c r="F35" s="37">
        <f>SUM(Exh1A!F35,Exh1B!F35,Exh1C!F35)</f>
        <v>0</v>
      </c>
      <c r="G35" s="480">
        <f>SUM(Exh1A!G35,Exh1B!G35,Exh1C!G35)</f>
        <v>0</v>
      </c>
      <c r="H35" s="480"/>
      <c r="I35" s="37">
        <f>SUM(Exh1A!I35,Exh1B!I35,Exh1C!I35)</f>
        <v>0</v>
      </c>
      <c r="J35" s="625">
        <f>SUM(Exh1A!J35,Exh1B!J35,Exh1C!J35)</f>
        <v>0</v>
      </c>
    </row>
    <row r="36" spans="1:10" ht="15.75" customHeight="1">
      <c r="A36" s="132" t="str">
        <f t="shared" si="6"/>
        <v>Item 4</v>
      </c>
      <c r="B36" s="133" t="str">
        <f t="shared" si="6"/>
        <v>UCJF Assessments &amp; Excess Medical Benefits</v>
      </c>
      <c r="C36" s="117"/>
      <c r="D36" s="37">
        <f>SUM(Exh1A!D36,Exh1B!D36,Exh1C!D36)</f>
        <v>0</v>
      </c>
      <c r="E36" s="41">
        <f>SUM(Exh1A!E36,Exh1B!E36,Exh1C!E36)</f>
        <v>0</v>
      </c>
      <c r="F36" s="41">
        <f>SUM(Exh1A!F36,Exh1B!F36,Exh1C!F36)</f>
        <v>0</v>
      </c>
      <c r="G36" s="500">
        <f>SUM(Exh1A!G36,Exh1B!G36,Exh1C!G36)</f>
        <v>0</v>
      </c>
      <c r="H36" s="500"/>
      <c r="I36" s="37">
        <f>SUM(Exh1A!I36,Exh1B!I36,Exh1C!I36)</f>
        <v>0</v>
      </c>
      <c r="J36" s="40" t="s">
        <v>0</v>
      </c>
    </row>
    <row r="37" spans="1:10" ht="15.75" customHeight="1">
      <c r="A37" s="629" t="s">
        <v>372</v>
      </c>
      <c r="B37" s="630"/>
      <c r="C37" s="630"/>
      <c r="D37" s="631">
        <f>D35-D36</f>
        <v>0</v>
      </c>
      <c r="E37" s="631">
        <f>E35-E36</f>
        <v>0</v>
      </c>
      <c r="F37" s="631">
        <f>F35-F36</f>
        <v>0</v>
      </c>
      <c r="G37" s="632">
        <f>G35-G36</f>
        <v>0</v>
      </c>
      <c r="H37" s="632"/>
      <c r="I37" s="631">
        <f>I35-I36</f>
        <v>0</v>
      </c>
      <c r="J37" s="633">
        <f>J35-J36</f>
        <v>0</v>
      </c>
    </row>
    <row r="38" spans="1:10" ht="15.75" customHeight="1">
      <c r="A38" s="132" t="str">
        <f>A26</f>
        <v>Item 5</v>
      </c>
      <c r="B38" s="117" t="str">
        <f>B26</f>
        <v>Refund of Excess Profit, included in Col (3)</v>
      </c>
      <c r="C38" s="117"/>
      <c r="D38" s="39" t="s">
        <v>0</v>
      </c>
      <c r="E38" s="39" t="s">
        <v>0</v>
      </c>
      <c r="F38" s="41">
        <f>InputTOTAL!$G$47</f>
        <v>0</v>
      </c>
      <c r="G38" s="479" t="s">
        <v>0</v>
      </c>
      <c r="H38" s="479"/>
      <c r="I38" s="39" t="s">
        <v>0</v>
      </c>
      <c r="J38" s="40" t="s">
        <v>0</v>
      </c>
    </row>
    <row r="39" spans="1:10" ht="15.75" customHeight="1" thickBot="1">
      <c r="A39" s="134" t="str">
        <f>A27</f>
        <v>Item 6</v>
      </c>
      <c r="B39" s="129" t="str">
        <f>B27</f>
        <v>All Other Dividends, included in Col (3)</v>
      </c>
      <c r="C39" s="129"/>
      <c r="D39" s="276" t="s">
        <v>0</v>
      </c>
      <c r="E39" s="276" t="s">
        <v>0</v>
      </c>
      <c r="F39" s="84">
        <f>F37-F38</f>
        <v>0</v>
      </c>
      <c r="G39" s="572" t="s">
        <v>0</v>
      </c>
      <c r="H39" s="572"/>
      <c r="I39" s="276" t="s">
        <v>0</v>
      </c>
      <c r="J39" s="277" t="s">
        <v>0</v>
      </c>
    </row>
    <row r="40" ht="15.75" customHeight="1">
      <c r="G40" s="504"/>
    </row>
    <row r="41" ht="15.75" customHeight="1">
      <c r="G41" s="504"/>
    </row>
    <row r="42" spans="1:10" ht="15.75" customHeight="1">
      <c r="A42" s="103" t="str">
        <f>InputB!$A$1</f>
        <v>Group Name:</v>
      </c>
      <c r="C42" s="105" t="str">
        <f>InputB!$C$1</f>
        <v>enter group name here</v>
      </c>
      <c r="D42"/>
      <c r="E42"/>
      <c r="F42"/>
      <c r="G42" s="505"/>
      <c r="H42"/>
      <c r="I42"/>
      <c r="J42" s="107" t="str">
        <f>J1</f>
        <v>Exhibit 1</v>
      </c>
    </row>
    <row r="43" spans="1:10" ht="15.75" customHeight="1">
      <c r="A43" s="108" t="str">
        <f>InputB!$A$2</f>
        <v>Group NAIC #:</v>
      </c>
      <c r="C43" s="105" t="str">
        <f>InputB!$C$2</f>
        <v>enter group # here</v>
      </c>
      <c r="D43"/>
      <c r="E43"/>
      <c r="F43"/>
      <c r="G43" s="505"/>
      <c r="H43"/>
      <c r="I43"/>
      <c r="J43" s="107" t="str">
        <f>J2</f>
        <v>All Coverages</v>
      </c>
    </row>
    <row r="44" spans="1:10" ht="15.75" customHeight="1">
      <c r="A44" s="103" t="str">
        <f>InputB!$A$3</f>
        <v>Year Filed:</v>
      </c>
      <c r="C44" s="110">
        <f>InputB!$C$3</f>
        <v>2024</v>
      </c>
      <c r="D44"/>
      <c r="E44"/>
      <c r="F44"/>
      <c r="G44" s="505"/>
      <c r="H44"/>
      <c r="I44"/>
      <c r="J44" s="107" t="s">
        <v>116</v>
      </c>
    </row>
    <row r="45" ht="15.75" customHeight="1" thickBot="1">
      <c r="G45" s="504"/>
    </row>
    <row r="46" spans="1:10" ht="15.75" customHeight="1">
      <c r="A46" s="112" t="str">
        <f>"Calendar Year "&amp;FIXED(ReportYear-4,0,TRUE)</f>
        <v>Calendar Year 2020</v>
      </c>
      <c r="B46" s="113"/>
      <c r="C46" s="113"/>
      <c r="D46" s="611" t="str">
        <f>D29</f>
        <v>Col (1)</v>
      </c>
      <c r="E46" s="611" t="str">
        <f>Exh1B!$E$5</f>
        <v>Col (2)</v>
      </c>
      <c r="F46" s="611" t="str">
        <f>Exh1B!$F$5</f>
        <v>Col (3)</v>
      </c>
      <c r="G46" s="612" t="str">
        <f>Exh1B!$G$5</f>
        <v>Col (4)</v>
      </c>
      <c r="H46" s="612"/>
      <c r="I46" s="611" t="str">
        <f>Exh1B!$I$5</f>
        <v>Col (5)</v>
      </c>
      <c r="J46" s="613" t="str">
        <f>Exh1B!$J$5</f>
        <v>Col (6)</v>
      </c>
    </row>
    <row r="47" spans="1:10" ht="15.75" customHeight="1">
      <c r="A47" s="131"/>
      <c r="B47" s="117"/>
      <c r="C47" s="117"/>
      <c r="D47" s="111" t="str">
        <f>D30</f>
        <v>Direct</v>
      </c>
      <c r="E47" s="111" t="str">
        <f aca="true" t="shared" si="7" ref="E47:G49">E30</f>
        <v>Direct</v>
      </c>
      <c r="F47" s="111" t="str">
        <f t="shared" si="7"/>
        <v>Dividends</v>
      </c>
      <c r="G47" s="111" t="str">
        <f t="shared" si="7"/>
        <v>Direct</v>
      </c>
      <c r="H47" s="111"/>
      <c r="I47" s="111" t="str">
        <f aca="true" t="shared" si="8" ref="I47:J49">I30</f>
        <v>Direct</v>
      </c>
      <c r="J47" s="614" t="str">
        <f t="shared" si="8"/>
        <v>Direct</v>
      </c>
    </row>
    <row r="48" spans="1:10" ht="15.75" customHeight="1">
      <c r="A48" s="131"/>
      <c r="B48" s="117"/>
      <c r="C48" s="117"/>
      <c r="D48" s="111" t="str">
        <f>D31</f>
        <v>Written</v>
      </c>
      <c r="E48" s="111" t="str">
        <f t="shared" si="7"/>
        <v>Earned</v>
      </c>
      <c r="F48" s="111" t="str">
        <f t="shared" si="7"/>
        <v>on Direct</v>
      </c>
      <c r="G48" s="111" t="str">
        <f t="shared" si="7"/>
        <v>Unearned</v>
      </c>
      <c r="H48" s="111"/>
      <c r="I48" s="111" t="str">
        <f t="shared" si="8"/>
        <v>Unpaid</v>
      </c>
      <c r="J48" s="614" t="str">
        <f t="shared" si="8"/>
        <v>Unpaid</v>
      </c>
    </row>
    <row r="49" spans="1:10" ht="15.75" customHeight="1">
      <c r="A49" s="131"/>
      <c r="B49" s="117"/>
      <c r="C49" s="117"/>
      <c r="D49" s="123" t="str">
        <f>D32</f>
        <v>Premium</v>
      </c>
      <c r="E49" s="123" t="str">
        <f t="shared" si="7"/>
        <v>Premium</v>
      </c>
      <c r="F49" s="123" t="str">
        <f t="shared" si="7"/>
        <v>Business</v>
      </c>
      <c r="G49" s="123" t="str">
        <f t="shared" si="7"/>
        <v>Premium</v>
      </c>
      <c r="H49" s="123"/>
      <c r="I49" s="123" t="str">
        <f t="shared" si="8"/>
        <v>Losses</v>
      </c>
      <c r="J49" s="615" t="str">
        <f t="shared" si="8"/>
        <v>D&amp;CCE</v>
      </c>
    </row>
    <row r="50" spans="1:10" ht="15.75" customHeight="1">
      <c r="A50" s="132" t="str">
        <f aca="true" t="shared" si="9" ref="A50:B53">A33</f>
        <v>Item 1</v>
      </c>
      <c r="B50" s="117" t="str">
        <f t="shared" si="9"/>
        <v>Total as Reported on State Page Exhibit</v>
      </c>
      <c r="C50" s="117"/>
      <c r="D50" s="37">
        <f>SUM(Exh1A!D50,Exh1B!D50,Exh1C!D50)</f>
        <v>0</v>
      </c>
      <c r="E50" s="37">
        <f>SUM(Exh1A!E50,Exh1B!E50,Exh1C!E50)</f>
        <v>0</v>
      </c>
      <c r="F50" s="37">
        <f>SUM(Exh1A!F50,Exh1B!F50,Exh1C!F50)</f>
        <v>0</v>
      </c>
      <c r="G50" s="480">
        <f>SUM(Exh1A!G50,Exh1B!G50,Exh1C!G50)</f>
        <v>0</v>
      </c>
      <c r="H50" s="480"/>
      <c r="I50" s="37">
        <f>SUM(Exh1A!I50,Exh1B!I50,Exh1C!I50)</f>
        <v>0</v>
      </c>
      <c r="J50" s="80">
        <f>SUM(Exh1A!J50,Exh1B!J50,Exh1C!J50)</f>
        <v>0</v>
      </c>
    </row>
    <row r="51" spans="1:10" ht="15.75" customHeight="1">
      <c r="A51" s="132" t="str">
        <f t="shared" si="9"/>
        <v>Item 2</v>
      </c>
      <c r="B51" s="117" t="str">
        <f t="shared" si="9"/>
        <v>Exclusions Reported on State Page Exhibit</v>
      </c>
      <c r="C51" s="117"/>
      <c r="D51" s="37">
        <f>SUM(Exh1A!D51,Exh1B!D51,Exh1C!D51)</f>
        <v>0</v>
      </c>
      <c r="E51" s="37">
        <f>SUM(Exh1A!E51,Exh1B!E51,Exh1C!E51)</f>
        <v>0</v>
      </c>
      <c r="F51" s="37">
        <f>SUM(Exh1A!F51,Exh1B!F51,Exh1C!F51)</f>
        <v>0</v>
      </c>
      <c r="G51" s="480">
        <f>SUM(Exh1A!G51,Exh1B!G51,Exh1C!G51)</f>
        <v>0</v>
      </c>
      <c r="H51" s="480"/>
      <c r="I51" s="37">
        <f>SUM(Exh1A!I51,Exh1B!I51,Exh1C!I51)</f>
        <v>0</v>
      </c>
      <c r="J51" s="617">
        <f>SUM(Exh1A!J51,Exh1B!J51,Exh1C!J51)</f>
        <v>0</v>
      </c>
    </row>
    <row r="52" spans="1:10" ht="15.75" customHeight="1">
      <c r="A52" s="132" t="str">
        <f t="shared" si="9"/>
        <v>Item 3</v>
      </c>
      <c r="B52" s="117" t="str">
        <f t="shared" si="9"/>
        <v>Excess Profit Data [Item 1 -  Item 2]</v>
      </c>
      <c r="C52" s="117"/>
      <c r="D52" s="37">
        <f>SUM(Exh1A!D52,Exh1B!D52,Exh1C!D52)</f>
        <v>0</v>
      </c>
      <c r="E52" s="37">
        <f>SUM(Exh1A!E52,Exh1B!E52,Exh1C!E52)</f>
        <v>0</v>
      </c>
      <c r="F52" s="37">
        <f>SUM(Exh1A!F52,Exh1B!F52,Exh1C!F52)</f>
        <v>0</v>
      </c>
      <c r="G52" s="480">
        <f>SUM(Exh1A!G52,Exh1B!G52,Exh1C!G52)</f>
        <v>0</v>
      </c>
      <c r="H52" s="480"/>
      <c r="I52" s="37">
        <f>SUM(Exh1A!I52,Exh1B!I52,Exh1C!I52)</f>
        <v>0</v>
      </c>
      <c r="J52" s="618">
        <f>SUM(Exh1A!J52,Exh1B!J52,Exh1C!J52)</f>
        <v>0</v>
      </c>
    </row>
    <row r="53" spans="1:10" ht="15.75" customHeight="1">
      <c r="A53" s="132" t="str">
        <f t="shared" si="9"/>
        <v>Item 4</v>
      </c>
      <c r="B53" s="133" t="str">
        <f t="shared" si="9"/>
        <v>UCJF Assessments &amp; Excess Medical Benefits</v>
      </c>
      <c r="C53" s="117"/>
      <c r="D53" s="37">
        <f>SUM(Exh1A!D53,Exh1B!D53,Exh1C!D53)</f>
        <v>0</v>
      </c>
      <c r="E53" s="41">
        <f>SUM(Exh1A!E53,Exh1B!E53,Exh1C!E53)</f>
        <v>0</v>
      </c>
      <c r="F53" s="41">
        <f>SUM(Exh1A!F53,Exh1B!F53,Exh1C!F53)</f>
        <v>0</v>
      </c>
      <c r="G53" s="500">
        <f>SUM(Exh1A!G53,Exh1B!G53,Exh1C!G53)</f>
        <v>0</v>
      </c>
      <c r="H53" s="500"/>
      <c r="I53" s="37">
        <f>SUM(Exh1A!I53,Exh1B!I53,Exh1C!I53)</f>
        <v>0</v>
      </c>
      <c r="J53" s="40" t="s">
        <v>0</v>
      </c>
    </row>
    <row r="54" spans="1:10" ht="15.75" customHeight="1">
      <c r="A54" s="629" t="s">
        <v>372</v>
      </c>
      <c r="B54" s="630"/>
      <c r="C54" s="630"/>
      <c r="D54" s="631">
        <f>D52-D53</f>
        <v>0</v>
      </c>
      <c r="E54" s="631">
        <f>E52-E53</f>
        <v>0</v>
      </c>
      <c r="F54" s="631">
        <f>F52-F53</f>
        <v>0</v>
      </c>
      <c r="G54" s="632">
        <f>G52-G53</f>
        <v>0</v>
      </c>
      <c r="H54" s="632"/>
      <c r="I54" s="631">
        <f>I52-I53</f>
        <v>0</v>
      </c>
      <c r="J54" s="633">
        <f>J52-J53</f>
        <v>0</v>
      </c>
    </row>
    <row r="55" spans="1:10" ht="15.75" customHeight="1">
      <c r="A55" s="132" t="str">
        <f>A38</f>
        <v>Item 5</v>
      </c>
      <c r="B55" s="117" t="str">
        <f>B38</f>
        <v>Refund of Excess Profit, included in Col (3)</v>
      </c>
      <c r="C55" s="117"/>
      <c r="D55" s="39" t="s">
        <v>0</v>
      </c>
      <c r="E55" s="39" t="s">
        <v>0</v>
      </c>
      <c r="F55" s="41">
        <f>InputTOTAL!$H$47</f>
        <v>0</v>
      </c>
      <c r="G55" s="479" t="s">
        <v>0</v>
      </c>
      <c r="H55" s="479"/>
      <c r="I55" s="39" t="s">
        <v>0</v>
      </c>
      <c r="J55" s="40" t="s">
        <v>0</v>
      </c>
    </row>
    <row r="56" spans="1:10" ht="15.75" customHeight="1" thickBot="1">
      <c r="A56" s="134" t="str">
        <f>A39</f>
        <v>Item 6</v>
      </c>
      <c r="B56" s="129" t="str">
        <f>B39</f>
        <v>All Other Dividends, included in Col (3)</v>
      </c>
      <c r="C56" s="129"/>
      <c r="D56" s="276" t="s">
        <v>0</v>
      </c>
      <c r="E56" s="276" t="s">
        <v>0</v>
      </c>
      <c r="F56" s="84">
        <f>F54-F55</f>
        <v>0</v>
      </c>
      <c r="G56" s="572" t="s">
        <v>0</v>
      </c>
      <c r="H56" s="572"/>
      <c r="I56" s="276" t="s">
        <v>0</v>
      </c>
      <c r="J56" s="277" t="s">
        <v>0</v>
      </c>
    </row>
    <row r="57" ht="15.75" customHeight="1" thickBot="1">
      <c r="G57" s="504"/>
    </row>
    <row r="58" spans="1:10" ht="15.75" customHeight="1">
      <c r="A58" s="112" t="str">
        <f>"Calendar Year "&amp;FIXED(ReportYear-5,0,TRUE)</f>
        <v>Calendar Year 2019</v>
      </c>
      <c r="B58" s="113"/>
      <c r="C58" s="113"/>
      <c r="D58" s="611" t="str">
        <f>Exh1B!$D$5</f>
        <v>Col (1)</v>
      </c>
      <c r="E58" s="611" t="str">
        <f>Exh1B!$E$5</f>
        <v>Col (2)</v>
      </c>
      <c r="F58" s="611" t="str">
        <f>Exh1B!$F$5</f>
        <v>Col (3)</v>
      </c>
      <c r="G58" s="612" t="str">
        <f>Exh1B!$G$5</f>
        <v>Col (4)</v>
      </c>
      <c r="H58" s="612"/>
      <c r="I58" s="611" t="str">
        <f>Exh1B!$I$5</f>
        <v>Col (5)</v>
      </c>
      <c r="J58" s="613" t="str">
        <f>Exh1B!$J$5</f>
        <v>Col (6)</v>
      </c>
    </row>
    <row r="59" spans="1:10" ht="15.75" customHeight="1">
      <c r="A59" s="131"/>
      <c r="B59" s="117"/>
      <c r="C59" s="117"/>
      <c r="D59" s="111" t="str">
        <f>Exh1B!$D$6</f>
        <v>Direct</v>
      </c>
      <c r="E59" s="115" t="str">
        <f>Exh1B!$E$6</f>
        <v>Direct</v>
      </c>
      <c r="F59" s="111" t="str">
        <f>Exh1B!$F$6</f>
        <v>Dividends</v>
      </c>
      <c r="G59" s="501" t="str">
        <f>Exh1B!$G$6</f>
        <v>Direct</v>
      </c>
      <c r="H59" s="610"/>
      <c r="I59" s="115" t="str">
        <f>Exh1B!$I$6</f>
        <v>Direct</v>
      </c>
      <c r="J59" s="614" t="str">
        <f>Exh1B!$J59</f>
        <v>Direct</v>
      </c>
    </row>
    <row r="60" spans="1:10" ht="15.75" customHeight="1">
      <c r="A60" s="131"/>
      <c r="B60" s="117"/>
      <c r="C60" s="117"/>
      <c r="D60" s="120" t="str">
        <f>Exh1B!$D$7</f>
        <v>Written</v>
      </c>
      <c r="E60" s="118" t="str">
        <f>Exh1B!$E$7</f>
        <v>Earned</v>
      </c>
      <c r="F60" s="119" t="str">
        <f>Exh1B!$F$7</f>
        <v>on Direct</v>
      </c>
      <c r="G60" s="498" t="str">
        <f>Exh1B!$G$7</f>
        <v>Unearned</v>
      </c>
      <c r="H60" s="498"/>
      <c r="I60" s="118" t="str">
        <f>Exh1B!$I$7</f>
        <v>Unpaid</v>
      </c>
      <c r="J60" s="614" t="str">
        <f>Exh1B!$J60</f>
        <v>Unpaid</v>
      </c>
    </row>
    <row r="61" spans="1:10" ht="15.75" customHeight="1">
      <c r="A61" s="131"/>
      <c r="B61" s="117"/>
      <c r="C61" s="117"/>
      <c r="D61" s="123" t="str">
        <f>Exh1B!$D$8</f>
        <v>Premium</v>
      </c>
      <c r="E61" s="123" t="str">
        <f>Exh1B!$E$8</f>
        <v>Premium</v>
      </c>
      <c r="F61" s="124" t="str">
        <f>Exh1B!$F$8</f>
        <v>Business</v>
      </c>
      <c r="G61" s="499" t="str">
        <f>Exh1B!$G$8</f>
        <v>Premium</v>
      </c>
      <c r="H61" s="499"/>
      <c r="I61" s="123" t="str">
        <f>Exh1B!$I$8</f>
        <v>Losses</v>
      </c>
      <c r="J61" s="615" t="str">
        <f>Exh1B!$J61</f>
        <v>D&amp;CCE</v>
      </c>
    </row>
    <row r="62" spans="1:10" ht="15.75" customHeight="1">
      <c r="A62" s="132" t="str">
        <f aca="true" t="shared" si="10" ref="A62:B65">A50</f>
        <v>Item 1</v>
      </c>
      <c r="B62" s="117" t="str">
        <f t="shared" si="10"/>
        <v>Total as Reported on State Page Exhibit</v>
      </c>
      <c r="C62" s="117"/>
      <c r="D62" s="37">
        <f>SUM(Exh1A!D62,Exh1B!D62,Exh1C!D62)</f>
        <v>0</v>
      </c>
      <c r="E62" s="37">
        <f>SUM(Exh1A!E62,Exh1B!E62,Exh1C!E62)</f>
        <v>0</v>
      </c>
      <c r="F62" s="37">
        <f>SUM(Exh1A!F62,Exh1B!F62,Exh1C!F62)</f>
        <v>0</v>
      </c>
      <c r="G62" s="480">
        <f>SUM(Exh1A!G62,Exh1B!G62,Exh1C!G62)</f>
        <v>0</v>
      </c>
      <c r="H62" s="480"/>
      <c r="I62" s="37">
        <f>SUM(Exh1A!I62,Exh1B!I62,Exh1C!I62)</f>
        <v>0</v>
      </c>
      <c r="J62" s="80">
        <f>SUM(Exh1A!J62,Exh1B!J62,Exh1C!J62)</f>
        <v>0</v>
      </c>
    </row>
    <row r="63" spans="1:10" ht="15.75" customHeight="1">
      <c r="A63" s="132" t="str">
        <f t="shared" si="10"/>
        <v>Item 2</v>
      </c>
      <c r="B63" s="117" t="str">
        <f t="shared" si="10"/>
        <v>Exclusions Reported on State Page Exhibit</v>
      </c>
      <c r="C63" s="117"/>
      <c r="D63" s="37">
        <f>SUM(Exh1A!D63,Exh1B!D63,Exh1C!D63)</f>
        <v>0</v>
      </c>
      <c r="E63" s="37">
        <f>SUM(Exh1A!E63,Exh1B!E63,Exh1C!E63)</f>
        <v>0</v>
      </c>
      <c r="F63" s="37">
        <f>SUM(Exh1A!F63,Exh1B!F63,Exh1C!F63)</f>
        <v>0</v>
      </c>
      <c r="G63" s="480">
        <f>SUM(Exh1A!G63,Exh1B!G63,Exh1C!G63)</f>
        <v>0</v>
      </c>
      <c r="H63" s="480"/>
      <c r="I63" s="37">
        <f>SUM(Exh1A!I63,Exh1B!I63,Exh1C!I63)</f>
        <v>0</v>
      </c>
      <c r="J63" s="617">
        <f>SUM(Exh1A!J63,Exh1B!J63,Exh1C!J63)</f>
        <v>0</v>
      </c>
    </row>
    <row r="64" spans="1:10" ht="15.75" customHeight="1">
      <c r="A64" s="132" t="str">
        <f t="shared" si="10"/>
        <v>Item 3</v>
      </c>
      <c r="B64" s="117" t="str">
        <f t="shared" si="10"/>
        <v>Excess Profit Data [Item 1 -  Item 2]</v>
      </c>
      <c r="C64" s="117"/>
      <c r="D64" s="37">
        <f>SUM(Exh1A!D64,Exh1B!D64,Exh1C!D64)</f>
        <v>0</v>
      </c>
      <c r="E64" s="37">
        <f>SUM(Exh1A!E64,Exh1B!E64,Exh1C!E64)</f>
        <v>0</v>
      </c>
      <c r="F64" s="37">
        <f>SUM(Exh1A!F64,Exh1B!F64,Exh1C!F64)</f>
        <v>0</v>
      </c>
      <c r="G64" s="480">
        <f>SUM(Exh1A!G64,Exh1B!G64,Exh1C!G64)</f>
        <v>0</v>
      </c>
      <c r="H64" s="480"/>
      <c r="I64" s="37">
        <f>SUM(Exh1A!I64,Exh1B!I64,Exh1C!I64)</f>
        <v>0</v>
      </c>
      <c r="J64" s="618">
        <f>SUM(Exh1A!J64,Exh1B!J64,Exh1C!J64)</f>
        <v>0</v>
      </c>
    </row>
    <row r="65" spans="1:10" ht="15.75" customHeight="1">
      <c r="A65" s="132" t="str">
        <f t="shared" si="10"/>
        <v>Item 4</v>
      </c>
      <c r="B65" s="133" t="str">
        <f t="shared" si="10"/>
        <v>UCJF Assessments &amp; Excess Medical Benefits</v>
      </c>
      <c r="C65" s="117"/>
      <c r="D65" s="37">
        <f>SUM(Exh1A!D65,Exh1B!D65,Exh1C!D65)</f>
        <v>0</v>
      </c>
      <c r="E65" s="41">
        <f>SUM(Exh1A!E65,Exh1B!E65,Exh1C!E65)</f>
        <v>0</v>
      </c>
      <c r="F65" s="41">
        <f>SUM(Exh1A!F65,Exh1B!F65,Exh1C!F65)</f>
        <v>0</v>
      </c>
      <c r="G65" s="500">
        <f>SUM(Exh1A!G65,Exh1B!G65,Exh1C!G65)</f>
        <v>0</v>
      </c>
      <c r="H65" s="500"/>
      <c r="I65" s="37">
        <f>SUM(Exh1A!I65,Exh1B!I65,Exh1C!I65)</f>
        <v>0</v>
      </c>
      <c r="J65" s="40" t="s">
        <v>0</v>
      </c>
    </row>
    <row r="66" spans="1:10" ht="15.75" customHeight="1">
      <c r="A66" s="629" t="s">
        <v>372</v>
      </c>
      <c r="B66" s="630"/>
      <c r="C66" s="630"/>
      <c r="D66" s="631">
        <f>D64-D65</f>
        <v>0</v>
      </c>
      <c r="E66" s="631">
        <f>E64-E65</f>
        <v>0</v>
      </c>
      <c r="F66" s="631">
        <f>F64-F65</f>
        <v>0</v>
      </c>
      <c r="G66" s="632">
        <f>G64-G65</f>
        <v>0</v>
      </c>
      <c r="H66" s="632"/>
      <c r="I66" s="631">
        <f>I64-I65</f>
        <v>0</v>
      </c>
      <c r="J66" s="633">
        <f>J64-J65</f>
        <v>0</v>
      </c>
    </row>
    <row r="67" spans="1:10" ht="15.75" customHeight="1">
      <c r="A67" s="132" t="str">
        <f>A55</f>
        <v>Item 5</v>
      </c>
      <c r="B67" s="117" t="str">
        <f>B55</f>
        <v>Refund of Excess Profit, included in Col (3)</v>
      </c>
      <c r="C67" s="117"/>
      <c r="D67" s="39" t="s">
        <v>0</v>
      </c>
      <c r="E67" s="39" t="s">
        <v>0</v>
      </c>
      <c r="F67" s="41">
        <f>InputTOTAL!$I$47</f>
        <v>0</v>
      </c>
      <c r="G67" s="479" t="s">
        <v>0</v>
      </c>
      <c r="H67" s="479"/>
      <c r="I67" s="39" t="s">
        <v>0</v>
      </c>
      <c r="J67" s="40" t="s">
        <v>0</v>
      </c>
    </row>
    <row r="68" spans="1:10" ht="15.75" customHeight="1" thickBot="1">
      <c r="A68" s="134" t="str">
        <f>A56</f>
        <v>Item 6</v>
      </c>
      <c r="B68" s="129" t="str">
        <f>B56</f>
        <v>All Other Dividends, included in Col (3)</v>
      </c>
      <c r="C68" s="129"/>
      <c r="D68" s="276" t="s">
        <v>0</v>
      </c>
      <c r="E68" s="276" t="s">
        <v>0</v>
      </c>
      <c r="F68" s="84">
        <f>F66-F67</f>
        <v>0</v>
      </c>
      <c r="G68" s="572" t="s">
        <v>0</v>
      </c>
      <c r="H68" s="572"/>
      <c r="I68" s="276" t="s">
        <v>0</v>
      </c>
      <c r="J68" s="277" t="s">
        <v>0</v>
      </c>
    </row>
    <row r="69" ht="15.75" customHeight="1" thickBot="1">
      <c r="G69" s="504"/>
    </row>
    <row r="70" spans="1:10" ht="15.75" customHeight="1">
      <c r="A70" s="112" t="str">
        <f>"Calendar Year "&amp;FIXED(ReportYear-6,0,TRUE)</f>
        <v>Calendar Year 2018</v>
      </c>
      <c r="B70" s="113"/>
      <c r="C70" s="113"/>
      <c r="D70" s="611" t="str">
        <f>Exh1B!$D$5</f>
        <v>Col (1)</v>
      </c>
      <c r="E70" s="611" t="str">
        <f>Exh1B!$E$5</f>
        <v>Col (2)</v>
      </c>
      <c r="F70" s="611" t="str">
        <f>Exh1B!$F$5</f>
        <v>Col (3)</v>
      </c>
      <c r="G70" s="612" t="str">
        <f>Exh1B!$G$5</f>
        <v>Col (4)</v>
      </c>
      <c r="H70" s="612"/>
      <c r="I70" s="611" t="str">
        <f>Exh1B!$I$5</f>
        <v>Col (5)</v>
      </c>
      <c r="J70" s="613" t="str">
        <f>Exh1B!$J$5</f>
        <v>Col (6)</v>
      </c>
    </row>
    <row r="71" spans="1:10" ht="15.75" customHeight="1">
      <c r="A71" s="131"/>
      <c r="B71" s="117"/>
      <c r="C71" s="117"/>
      <c r="D71" s="111" t="str">
        <f>Exh1B!$D$6</f>
        <v>Direct</v>
      </c>
      <c r="E71" s="115" t="str">
        <f>Exh1B!$E$6</f>
        <v>Direct</v>
      </c>
      <c r="F71" s="111" t="str">
        <f>Exh1B!$F$6</f>
        <v>Dividends</v>
      </c>
      <c r="G71" s="501" t="str">
        <f>Exh1B!$G$6</f>
        <v>Direct</v>
      </c>
      <c r="H71" s="610"/>
      <c r="I71" s="115" t="str">
        <f>Exh1B!$I$6</f>
        <v>Direct</v>
      </c>
      <c r="J71" s="614" t="str">
        <f>Exh1B!$J71</f>
        <v>Direct</v>
      </c>
    </row>
    <row r="72" spans="1:10" ht="15.75" customHeight="1">
      <c r="A72" s="131"/>
      <c r="B72" s="117"/>
      <c r="C72" s="117"/>
      <c r="D72" s="120" t="str">
        <f>Exh1B!$D$7</f>
        <v>Written</v>
      </c>
      <c r="E72" s="118" t="str">
        <f>Exh1B!$E$7</f>
        <v>Earned</v>
      </c>
      <c r="F72" s="119" t="str">
        <f>Exh1B!$F$7</f>
        <v>on Direct</v>
      </c>
      <c r="G72" s="498" t="str">
        <f>Exh1B!$G$7</f>
        <v>Unearned</v>
      </c>
      <c r="H72" s="498"/>
      <c r="I72" s="118" t="str">
        <f>Exh1B!$I$7</f>
        <v>Unpaid</v>
      </c>
      <c r="J72" s="614" t="str">
        <f>Exh1B!$J72</f>
        <v>Unpaid</v>
      </c>
    </row>
    <row r="73" spans="1:10" ht="15.75" customHeight="1">
      <c r="A73" s="131"/>
      <c r="B73" s="117"/>
      <c r="C73" s="117"/>
      <c r="D73" s="123" t="str">
        <f>Exh1B!$D$8</f>
        <v>Premium</v>
      </c>
      <c r="E73" s="123" t="str">
        <f>Exh1B!$E$8</f>
        <v>Premium</v>
      </c>
      <c r="F73" s="124" t="str">
        <f>Exh1B!$F$8</f>
        <v>Business</v>
      </c>
      <c r="G73" s="499" t="str">
        <f>Exh1B!$G$8</f>
        <v>Premium</v>
      </c>
      <c r="H73" s="499"/>
      <c r="I73" s="123" t="str">
        <f>Exh1B!$I$8</f>
        <v>Losses</v>
      </c>
      <c r="J73" s="615" t="str">
        <f>Exh1B!$J73</f>
        <v>D&amp;CCE</v>
      </c>
    </row>
    <row r="74" spans="1:10" ht="15.75" customHeight="1">
      <c r="A74" s="132" t="str">
        <f aca="true" t="shared" si="11" ref="A74:B77">A62</f>
        <v>Item 1</v>
      </c>
      <c r="B74" s="117" t="str">
        <f t="shared" si="11"/>
        <v>Total as Reported on State Page Exhibit</v>
      </c>
      <c r="C74" s="117"/>
      <c r="D74" s="37">
        <f>SUM(Exh1A!D74,Exh1B!D74,Exh1C!D74)</f>
        <v>0</v>
      </c>
      <c r="E74" s="37">
        <f>SUM(Exh1A!E74,Exh1B!E74,Exh1C!E74)</f>
        <v>0</v>
      </c>
      <c r="F74" s="37">
        <f>SUM(Exh1A!F74,Exh1B!F74,Exh1C!F74)</f>
        <v>0</v>
      </c>
      <c r="G74" s="480">
        <f>SUM(Exh1A!G74,Exh1B!G74,Exh1C!G74)</f>
        <v>0</v>
      </c>
      <c r="H74" s="480"/>
      <c r="I74" s="37">
        <f>SUM(Exh1A!I74,Exh1B!I74,Exh1C!I74)</f>
        <v>0</v>
      </c>
      <c r="J74" s="80">
        <f>SUM(Exh1A!J74,Exh1B!J74,Exh1C!J74)</f>
        <v>0</v>
      </c>
    </row>
    <row r="75" spans="1:10" ht="15.75" customHeight="1">
      <c r="A75" s="132" t="str">
        <f t="shared" si="11"/>
        <v>Item 2</v>
      </c>
      <c r="B75" s="117" t="str">
        <f t="shared" si="11"/>
        <v>Exclusions Reported on State Page Exhibit</v>
      </c>
      <c r="C75" s="117"/>
      <c r="D75" s="37">
        <f>SUM(Exh1A!D75,Exh1B!D75,Exh1C!D75)</f>
        <v>0</v>
      </c>
      <c r="E75" s="37">
        <f>SUM(Exh1A!E75,Exh1B!E75,Exh1C!E75)</f>
        <v>0</v>
      </c>
      <c r="F75" s="37">
        <f>SUM(Exh1A!F75,Exh1B!F75,Exh1C!F75)</f>
        <v>0</v>
      </c>
      <c r="G75" s="480">
        <f>SUM(Exh1A!G75,Exh1B!G75,Exh1C!G75)</f>
        <v>0</v>
      </c>
      <c r="H75" s="480"/>
      <c r="I75" s="37">
        <f>SUM(Exh1A!I75,Exh1B!I75,Exh1C!I75)</f>
        <v>0</v>
      </c>
      <c r="J75" s="617">
        <f>SUM(Exh1A!J75,Exh1B!J75,Exh1C!J75)</f>
        <v>0</v>
      </c>
    </row>
    <row r="76" spans="1:10" ht="15.75" customHeight="1">
      <c r="A76" s="132" t="str">
        <f t="shared" si="11"/>
        <v>Item 3</v>
      </c>
      <c r="B76" s="117" t="str">
        <f t="shared" si="11"/>
        <v>Excess Profit Data [Item 1 -  Item 2]</v>
      </c>
      <c r="C76" s="117"/>
      <c r="D76" s="37">
        <f>SUM(Exh1A!D76,Exh1B!D76,Exh1C!D76)</f>
        <v>0</v>
      </c>
      <c r="E76" s="37">
        <f>SUM(Exh1A!E76,Exh1B!E76,Exh1C!E76)</f>
        <v>0</v>
      </c>
      <c r="F76" s="37">
        <f>SUM(Exh1A!F76,Exh1B!F76,Exh1C!F76)</f>
        <v>0</v>
      </c>
      <c r="G76" s="480">
        <f>SUM(Exh1A!G76,Exh1B!G76,Exh1C!G76)</f>
        <v>0</v>
      </c>
      <c r="H76" s="480"/>
      <c r="I76" s="37">
        <f>SUM(Exh1A!I76,Exh1B!I76,Exh1C!I76)</f>
        <v>0</v>
      </c>
      <c r="J76" s="618">
        <f>SUM(Exh1A!J76,Exh1B!J76,Exh1C!J76)</f>
        <v>0</v>
      </c>
    </row>
    <row r="77" spans="1:10" ht="15.75" customHeight="1">
      <c r="A77" s="132" t="str">
        <f t="shared" si="11"/>
        <v>Item 4</v>
      </c>
      <c r="B77" s="133" t="str">
        <f t="shared" si="11"/>
        <v>UCJF Assessments &amp; Excess Medical Benefits</v>
      </c>
      <c r="C77" s="117"/>
      <c r="D77" s="37">
        <f>SUM(Exh1A!D77,Exh1B!D77,Exh1C!D77)</f>
        <v>0</v>
      </c>
      <c r="E77" s="41">
        <f>SUM(Exh1A!E77,Exh1B!E77,Exh1C!E77)</f>
        <v>0</v>
      </c>
      <c r="F77" s="41">
        <f>SUM(Exh1A!F77,Exh1B!F77,Exh1C!F77)</f>
        <v>0</v>
      </c>
      <c r="G77" s="500">
        <f>SUM(Exh1A!G77,Exh1B!G77,Exh1C!G77)</f>
        <v>0</v>
      </c>
      <c r="H77" s="500"/>
      <c r="I77" s="37">
        <f>SUM(Exh1A!I77,Exh1B!I77,Exh1C!I77)</f>
        <v>0</v>
      </c>
      <c r="J77" s="38">
        <f>SUM(Exh1A!J77,Exh1B!J77,Exh1C!J77)</f>
        <v>0</v>
      </c>
    </row>
    <row r="78" spans="1:10" ht="15.75" customHeight="1">
      <c r="A78" s="629" t="s">
        <v>372</v>
      </c>
      <c r="B78" s="630"/>
      <c r="C78" s="630"/>
      <c r="D78" s="631">
        <f>D76-D77</f>
        <v>0</v>
      </c>
      <c r="E78" s="631">
        <f>E76-E77</f>
        <v>0</v>
      </c>
      <c r="F78" s="631">
        <f>F76-F77</f>
        <v>0</v>
      </c>
      <c r="G78" s="632">
        <f>G76-G77</f>
        <v>0</v>
      </c>
      <c r="H78" s="632"/>
      <c r="I78" s="631">
        <f>I76-I77</f>
        <v>0</v>
      </c>
      <c r="J78" s="633">
        <f>J76-J77</f>
        <v>0</v>
      </c>
    </row>
    <row r="79" spans="1:10" ht="15.75" customHeight="1">
      <c r="A79" s="132" t="str">
        <f>A67</f>
        <v>Item 5</v>
      </c>
      <c r="B79" s="117" t="str">
        <f>B67</f>
        <v>Refund of Excess Profit, included in Col (3)</v>
      </c>
      <c r="C79" s="117"/>
      <c r="D79" s="39" t="s">
        <v>0</v>
      </c>
      <c r="E79" s="39" t="s">
        <v>0</v>
      </c>
      <c r="F79" s="41">
        <f>InputTOTAL!$J$47</f>
        <v>0</v>
      </c>
      <c r="G79" s="479" t="s">
        <v>0</v>
      </c>
      <c r="H79" s="479"/>
      <c r="I79" s="39" t="s">
        <v>0</v>
      </c>
      <c r="J79" s="38">
        <f>SUM(Exh1A!J79,Exh1B!J79,Exh1C!J79)</f>
        <v>0</v>
      </c>
    </row>
    <row r="80" spans="1:10" ht="15.75" customHeight="1" thickBot="1">
      <c r="A80" s="134" t="str">
        <f>A68</f>
        <v>Item 6</v>
      </c>
      <c r="B80" s="129" t="str">
        <f>B68</f>
        <v>All Other Dividends, included in Col (3)</v>
      </c>
      <c r="C80" s="129"/>
      <c r="D80" s="276" t="s">
        <v>0</v>
      </c>
      <c r="E80" s="276" t="s">
        <v>0</v>
      </c>
      <c r="F80" s="84">
        <f>F78-F79</f>
        <v>0</v>
      </c>
      <c r="G80" s="572" t="s">
        <v>0</v>
      </c>
      <c r="H80" s="572"/>
      <c r="I80" s="276" t="s">
        <v>0</v>
      </c>
      <c r="J80" s="628">
        <f>SUM(Exh1A!J80,Exh1B!J80,Exh1C!J80)</f>
        <v>0</v>
      </c>
    </row>
    <row r="81" ht="15.75" customHeight="1">
      <c r="G81" s="504"/>
    </row>
    <row r="82" ht="15.75" customHeight="1">
      <c r="G82" s="504"/>
    </row>
    <row r="83" spans="1:10" ht="15.75" customHeight="1">
      <c r="A83" s="103" t="str">
        <f>InputB!$A$1</f>
        <v>Group Name:</v>
      </c>
      <c r="C83" s="105" t="str">
        <f>InputB!$C$1</f>
        <v>enter group name here</v>
      </c>
      <c r="D83"/>
      <c r="E83"/>
      <c r="F83"/>
      <c r="G83" s="505"/>
      <c r="H83"/>
      <c r="I83"/>
      <c r="J83" s="107" t="str">
        <f>J$1</f>
        <v>Exhibit 1</v>
      </c>
    </row>
    <row r="84" spans="1:10" ht="15.75" customHeight="1">
      <c r="A84" s="108" t="str">
        <f>InputB!$A$2</f>
        <v>Group NAIC #:</v>
      </c>
      <c r="C84" s="105" t="str">
        <f>InputB!$C$2</f>
        <v>enter group # here</v>
      </c>
      <c r="D84"/>
      <c r="E84"/>
      <c r="F84"/>
      <c r="G84" s="505"/>
      <c r="H84"/>
      <c r="I84"/>
      <c r="J84" s="107" t="s">
        <v>384</v>
      </c>
    </row>
    <row r="85" spans="1:10" ht="15.75" customHeight="1">
      <c r="A85" s="103" t="str">
        <f>InputB!$A$3</f>
        <v>Year Filed:</v>
      </c>
      <c r="C85" s="110">
        <f>InputB!$C$3</f>
        <v>2024</v>
      </c>
      <c r="D85"/>
      <c r="E85"/>
      <c r="F85"/>
      <c r="G85" s="505"/>
      <c r="H85"/>
      <c r="I85"/>
      <c r="J85" s="107" t="s">
        <v>117</v>
      </c>
    </row>
    <row r="86" ht="15.75" customHeight="1" thickBot="1">
      <c r="G86" s="504"/>
    </row>
    <row r="87" spans="1:10" ht="15.75" customHeight="1">
      <c r="A87" s="112" t="str">
        <f>"Calendar Year "&amp;FIXED(ReportYear-7,0,TRUE)</f>
        <v>Calendar Year 2017</v>
      </c>
      <c r="B87" s="113"/>
      <c r="C87" s="113"/>
      <c r="D87" s="611" t="str">
        <f>Exh1B!$D$5</f>
        <v>Col (1)</v>
      </c>
      <c r="E87" s="611" t="str">
        <f>Exh1B!$E$5</f>
        <v>Col (2)</v>
      </c>
      <c r="F87" s="611" t="str">
        <f>Exh1B!$F$5</f>
        <v>Col (3)</v>
      </c>
      <c r="G87" s="612" t="str">
        <f>Exh1B!$G$5</f>
        <v>Col (4)</v>
      </c>
      <c r="H87" s="612"/>
      <c r="I87" s="611" t="str">
        <f>Exh1B!$I$5</f>
        <v>Col (5)</v>
      </c>
      <c r="J87" s="613" t="str">
        <f>Exh1B!$J$5</f>
        <v>Col (6)</v>
      </c>
    </row>
    <row r="88" spans="1:10" ht="15.75" customHeight="1">
      <c r="A88" s="131"/>
      <c r="B88" s="117"/>
      <c r="C88" s="117"/>
      <c r="D88" s="111" t="str">
        <f>Exh1B!$D$6</f>
        <v>Direct</v>
      </c>
      <c r="E88" s="115" t="str">
        <f>Exh1B!$E$6</f>
        <v>Direct</v>
      </c>
      <c r="F88" s="111" t="str">
        <f>Exh1B!$F$6</f>
        <v>Dividends</v>
      </c>
      <c r="G88" s="501" t="str">
        <f>Exh1B!$G$6</f>
        <v>Direct</v>
      </c>
      <c r="H88" s="610"/>
      <c r="I88" s="115" t="str">
        <f>Exh1B!$I$6</f>
        <v>Direct</v>
      </c>
      <c r="J88" s="614" t="str">
        <f>Exh1B!$J88</f>
        <v>Direct</v>
      </c>
    </row>
    <row r="89" spans="1:10" ht="15.75" customHeight="1">
      <c r="A89" s="131"/>
      <c r="B89" s="117"/>
      <c r="C89" s="117"/>
      <c r="D89" s="120" t="str">
        <f>Exh1B!$D$7</f>
        <v>Written</v>
      </c>
      <c r="E89" s="118" t="str">
        <f>Exh1B!$E$7</f>
        <v>Earned</v>
      </c>
      <c r="F89" s="119" t="str">
        <f>Exh1B!$F$7</f>
        <v>on Direct</v>
      </c>
      <c r="G89" s="498" t="str">
        <f>Exh1B!$G$7</f>
        <v>Unearned</v>
      </c>
      <c r="H89" s="498"/>
      <c r="I89" s="118" t="str">
        <f>Exh1B!$I$7</f>
        <v>Unpaid</v>
      </c>
      <c r="J89" s="614" t="str">
        <f>Exh1B!$J89</f>
        <v>Unpaid</v>
      </c>
    </row>
    <row r="90" spans="1:10" ht="15.75" customHeight="1">
      <c r="A90" s="131"/>
      <c r="B90" s="117"/>
      <c r="C90" s="117"/>
      <c r="D90" s="123" t="str">
        <f>Exh1B!$D$8</f>
        <v>Premium</v>
      </c>
      <c r="E90" s="123" t="str">
        <f>Exh1B!$E$8</f>
        <v>Premium</v>
      </c>
      <c r="F90" s="124" t="str">
        <f>Exh1B!$F$8</f>
        <v>Business</v>
      </c>
      <c r="G90" s="499" t="str">
        <f>Exh1B!$G$8</f>
        <v>Premium</v>
      </c>
      <c r="H90" s="499"/>
      <c r="I90" s="123" t="str">
        <f>Exh1B!$I$8</f>
        <v>Losses</v>
      </c>
      <c r="J90" s="615" t="str">
        <f>Exh1B!$J90</f>
        <v>D&amp;CCE</v>
      </c>
    </row>
    <row r="91" spans="1:10" ht="15.75" customHeight="1">
      <c r="A91" s="132" t="str">
        <f aca="true" t="shared" si="12" ref="A91:B94">A74</f>
        <v>Item 1</v>
      </c>
      <c r="B91" s="117" t="str">
        <f t="shared" si="12"/>
        <v>Total as Reported on State Page Exhibit</v>
      </c>
      <c r="C91" s="117"/>
      <c r="D91" s="37">
        <f>SUM(Exh1A!D91,Exh1B!D91,Exh1C!D91)</f>
        <v>0</v>
      </c>
      <c r="E91" s="37">
        <f>SUM(Exh1A!E91,Exh1B!E91,Exh1C!E91)</f>
        <v>0</v>
      </c>
      <c r="F91" s="37">
        <f>SUM(Exh1A!F91,Exh1B!F91,Exh1C!F91)</f>
        <v>0</v>
      </c>
      <c r="G91" s="480">
        <f>SUM(Exh1A!G91,Exh1B!G91,Exh1C!G91)</f>
        <v>0</v>
      </c>
      <c r="H91" s="480"/>
      <c r="I91" s="37">
        <f>SUM(Exh1A!I91,Exh1B!I91,Exh1C!I91)</f>
        <v>0</v>
      </c>
      <c r="J91" s="80">
        <f>SUM(Exh1A!J91,Exh1B!J91,Exh1C!J91)</f>
        <v>0</v>
      </c>
    </row>
    <row r="92" spans="1:10" ht="15.75" customHeight="1">
      <c r="A92" s="132" t="str">
        <f t="shared" si="12"/>
        <v>Item 2</v>
      </c>
      <c r="B92" s="117" t="str">
        <f t="shared" si="12"/>
        <v>Exclusions Reported on State Page Exhibit</v>
      </c>
      <c r="C92" s="117"/>
      <c r="D92" s="37">
        <f>SUM(Exh1A!D92,Exh1B!D92,Exh1C!D92)</f>
        <v>0</v>
      </c>
      <c r="E92" s="37">
        <f>SUM(Exh1A!E92,Exh1B!E92,Exh1C!E92)</f>
        <v>0</v>
      </c>
      <c r="F92" s="37">
        <f>SUM(Exh1A!F92,Exh1B!F92,Exh1C!F92)</f>
        <v>0</v>
      </c>
      <c r="G92" s="480">
        <f>SUM(Exh1A!G92,Exh1B!G92,Exh1C!G92)</f>
        <v>0</v>
      </c>
      <c r="H92" s="480"/>
      <c r="I92" s="37">
        <f>SUM(Exh1A!I92,Exh1B!I92,Exh1C!I92)</f>
        <v>0</v>
      </c>
      <c r="J92" s="617">
        <f>SUM(Exh1A!J92,Exh1B!J92,Exh1C!J92)</f>
        <v>0</v>
      </c>
    </row>
    <row r="93" spans="1:10" ht="15.75" customHeight="1">
      <c r="A93" s="132" t="str">
        <f t="shared" si="12"/>
        <v>Item 3</v>
      </c>
      <c r="B93" s="117" t="str">
        <f t="shared" si="12"/>
        <v>Excess Profit Data [Item 1 -  Item 2]</v>
      </c>
      <c r="C93" s="117"/>
      <c r="D93" s="37">
        <f>SUM(Exh1A!D93,Exh1B!D93,Exh1C!D93)</f>
        <v>0</v>
      </c>
      <c r="E93" s="37">
        <f>SUM(Exh1A!E93,Exh1B!E93,Exh1C!E93)</f>
        <v>0</v>
      </c>
      <c r="F93" s="37">
        <f>SUM(Exh1A!F93,Exh1B!F93,Exh1C!F93)</f>
        <v>0</v>
      </c>
      <c r="G93" s="480">
        <f>SUM(Exh1A!G93,Exh1B!G93,Exh1C!G93)</f>
        <v>0</v>
      </c>
      <c r="H93" s="480"/>
      <c r="I93" s="37">
        <f>SUM(Exh1A!I93,Exh1B!I93,Exh1C!I93)</f>
        <v>0</v>
      </c>
      <c r="J93" s="618">
        <f>SUM(Exh1A!J93,Exh1B!J93,Exh1C!J93)</f>
        <v>0</v>
      </c>
    </row>
    <row r="94" spans="1:10" ht="15.75" customHeight="1">
      <c r="A94" s="132" t="str">
        <f t="shared" si="12"/>
        <v>Item 4</v>
      </c>
      <c r="B94" s="133" t="str">
        <f t="shared" si="12"/>
        <v>UCJF Assessments &amp; Excess Medical Benefits</v>
      </c>
      <c r="C94" s="117"/>
      <c r="D94" s="37">
        <f>SUM(Exh1A!D94,Exh1B!D94,Exh1C!D94)</f>
        <v>0</v>
      </c>
      <c r="E94" s="41">
        <f>SUM(Exh1A!E94,Exh1B!E94,Exh1C!E94)</f>
        <v>0</v>
      </c>
      <c r="F94" s="41">
        <f>SUM(Exh1A!F94,Exh1B!F94,Exh1C!F94)</f>
        <v>0</v>
      </c>
      <c r="G94" s="500">
        <f>SUM(Exh1A!G94,Exh1B!G94,Exh1C!G94)</f>
        <v>0</v>
      </c>
      <c r="H94" s="500"/>
      <c r="I94" s="37">
        <f>SUM(Exh1A!I94,Exh1B!I94,Exh1C!I94)</f>
        <v>0</v>
      </c>
      <c r="J94" s="38">
        <f>SUM(Exh1A!J94,Exh1B!J94,Exh1C!J94)</f>
        <v>0</v>
      </c>
    </row>
    <row r="95" spans="1:10" ht="15.75" customHeight="1">
      <c r="A95" s="629" t="s">
        <v>372</v>
      </c>
      <c r="B95" s="630"/>
      <c r="C95" s="630"/>
      <c r="D95" s="631">
        <f>D93-D94</f>
        <v>0</v>
      </c>
      <c r="E95" s="631">
        <f>E93-E94</f>
        <v>0</v>
      </c>
      <c r="F95" s="631">
        <f>F93-F94</f>
        <v>0</v>
      </c>
      <c r="G95" s="632">
        <f>G93-G94</f>
        <v>0</v>
      </c>
      <c r="H95" s="632"/>
      <c r="I95" s="631">
        <f>I93-I94</f>
        <v>0</v>
      </c>
      <c r="J95" s="633">
        <f>J93-J94</f>
        <v>0</v>
      </c>
    </row>
    <row r="96" spans="1:10" ht="15.75" customHeight="1">
      <c r="A96" s="132" t="str">
        <f>A79</f>
        <v>Item 5</v>
      </c>
      <c r="B96" s="117" t="str">
        <f>B79</f>
        <v>Refund of Excess Profit, included in Col (3)</v>
      </c>
      <c r="C96" s="117"/>
      <c r="D96" s="39" t="s">
        <v>0</v>
      </c>
      <c r="E96" s="39" t="s">
        <v>0</v>
      </c>
      <c r="F96" s="41">
        <f>InputTOTAL!$K$47</f>
        <v>0</v>
      </c>
      <c r="G96" s="479" t="s">
        <v>0</v>
      </c>
      <c r="H96" s="479"/>
      <c r="I96" s="39" t="s">
        <v>0</v>
      </c>
      <c r="J96" s="38">
        <f>SUM(Exh1A!J96,Exh1B!J96,Exh1C!J96)</f>
        <v>0</v>
      </c>
    </row>
    <row r="97" spans="1:10" ht="15.75" customHeight="1" thickBot="1">
      <c r="A97" s="134" t="str">
        <f>A80</f>
        <v>Item 6</v>
      </c>
      <c r="B97" s="129" t="str">
        <f>B80</f>
        <v>All Other Dividends, included in Col (3)</v>
      </c>
      <c r="C97" s="129"/>
      <c r="D97" s="276" t="s">
        <v>0</v>
      </c>
      <c r="E97" s="276" t="s">
        <v>0</v>
      </c>
      <c r="F97" s="84">
        <f>F95-F96</f>
        <v>0</v>
      </c>
      <c r="G97" s="572" t="s">
        <v>0</v>
      </c>
      <c r="H97" s="572"/>
      <c r="I97" s="276" t="s">
        <v>0</v>
      </c>
      <c r="J97" s="628">
        <f>SUM(Exh1A!J97,Exh1B!J97,Exh1C!J97)</f>
        <v>0</v>
      </c>
    </row>
    <row r="98" spans="7:8" ht="15.75" customHeight="1" thickBot="1">
      <c r="G98" s="504"/>
      <c r="H98" s="504"/>
    </row>
    <row r="99" spans="1:10" ht="15.75" customHeight="1">
      <c r="A99" s="112" t="str">
        <f>"Calendar Year "&amp;FIXED(ReportYear-8,0,TRUE)</f>
        <v>Calendar Year 2016</v>
      </c>
      <c r="B99" s="113"/>
      <c r="C99" s="113"/>
      <c r="D99" s="611" t="str">
        <f>Exh1B!$D$5</f>
        <v>Col (1)</v>
      </c>
      <c r="E99" s="611" t="str">
        <f>Exh1B!$E$5</f>
        <v>Col (2)</v>
      </c>
      <c r="F99" s="611" t="str">
        <f>Exh1B!$F$5</f>
        <v>Col (3)</v>
      </c>
      <c r="G99" s="612" t="str">
        <f>Exh1B!$G$5</f>
        <v>Col (4)</v>
      </c>
      <c r="H99" s="612"/>
      <c r="I99" s="611" t="str">
        <f>Exh1B!$I$5</f>
        <v>Col (5)</v>
      </c>
      <c r="J99" s="613" t="str">
        <f>Exh1B!$J$5</f>
        <v>Col (6)</v>
      </c>
    </row>
    <row r="100" spans="1:10" ht="15.75" customHeight="1">
      <c r="A100" s="131"/>
      <c r="B100" s="117"/>
      <c r="C100" s="117"/>
      <c r="D100" s="111" t="str">
        <f>Exh1B!$D$6</f>
        <v>Direct</v>
      </c>
      <c r="E100" s="115" t="str">
        <f>Exh1B!$E$6</f>
        <v>Direct</v>
      </c>
      <c r="F100" s="111" t="str">
        <f>Exh1B!$F$6</f>
        <v>Dividends</v>
      </c>
      <c r="G100" s="501" t="str">
        <f>Exh1B!$G$6</f>
        <v>Direct</v>
      </c>
      <c r="H100" s="610"/>
      <c r="I100" s="115" t="str">
        <f>Exh1B!$I$6</f>
        <v>Direct</v>
      </c>
      <c r="J100" s="614" t="str">
        <f>Exh1B!$J100</f>
        <v>Direct</v>
      </c>
    </row>
    <row r="101" spans="1:10" ht="15.75" customHeight="1">
      <c r="A101" s="131"/>
      <c r="B101" s="117"/>
      <c r="C101" s="117"/>
      <c r="D101" s="120" t="str">
        <f>Exh1B!$D$7</f>
        <v>Written</v>
      </c>
      <c r="E101" s="118" t="str">
        <f>Exh1B!$E$7</f>
        <v>Earned</v>
      </c>
      <c r="F101" s="119" t="str">
        <f>Exh1B!$F$7</f>
        <v>on Direct</v>
      </c>
      <c r="G101" s="498" t="str">
        <f>Exh1B!$G$7</f>
        <v>Unearned</v>
      </c>
      <c r="H101" s="498"/>
      <c r="I101" s="118" t="str">
        <f>Exh1B!$I$7</f>
        <v>Unpaid</v>
      </c>
      <c r="J101" s="614" t="str">
        <f>Exh1B!$J101</f>
        <v>Unpaid</v>
      </c>
    </row>
    <row r="102" spans="1:10" ht="15.75" customHeight="1">
      <c r="A102" s="131"/>
      <c r="B102" s="117"/>
      <c r="C102" s="117"/>
      <c r="D102" s="123" t="str">
        <f>Exh1B!$D$8</f>
        <v>Premium</v>
      </c>
      <c r="E102" s="123" t="str">
        <f>Exh1B!$E$8</f>
        <v>Premium</v>
      </c>
      <c r="F102" s="124" t="str">
        <f>Exh1B!$F$8</f>
        <v>Business</v>
      </c>
      <c r="G102" s="499" t="str">
        <f>Exh1B!$G$8</f>
        <v>Premium</v>
      </c>
      <c r="H102" s="499"/>
      <c r="I102" s="123" t="str">
        <f>Exh1B!$I$8</f>
        <v>Losses</v>
      </c>
      <c r="J102" s="615" t="str">
        <f>Exh1B!$J102</f>
        <v>D&amp;CCE</v>
      </c>
    </row>
    <row r="103" spans="1:10" ht="15.75" customHeight="1">
      <c r="A103" s="132" t="str">
        <f aca="true" t="shared" si="13" ref="A103:B106">A91</f>
        <v>Item 1</v>
      </c>
      <c r="B103" s="117" t="str">
        <f t="shared" si="13"/>
        <v>Total as Reported on State Page Exhibit</v>
      </c>
      <c r="C103" s="117"/>
      <c r="D103" s="37">
        <f>SUM(Exh1A!D103,Exh1B!D103,Exh1C!D103)</f>
        <v>0</v>
      </c>
      <c r="E103" s="37">
        <f>SUM(Exh1A!E103,Exh1B!E103,Exh1C!E103)</f>
        <v>0</v>
      </c>
      <c r="F103" s="37">
        <f>SUM(Exh1A!F103,Exh1B!F103,Exh1C!F103)</f>
        <v>0</v>
      </c>
      <c r="G103" s="480">
        <f>SUM(Exh1A!G103,Exh1B!G103,Exh1C!G103)</f>
        <v>0</v>
      </c>
      <c r="H103" s="480"/>
      <c r="I103" s="37">
        <f>SUM(Exh1A!I103,Exh1B!I103,Exh1C!I103)</f>
        <v>0</v>
      </c>
      <c r="J103" s="80">
        <f>SUM(Exh1A!J103,Exh1B!J103,Exh1C!J103)</f>
        <v>0</v>
      </c>
    </row>
    <row r="104" spans="1:10" ht="15.75" customHeight="1">
      <c r="A104" s="132" t="str">
        <f t="shared" si="13"/>
        <v>Item 2</v>
      </c>
      <c r="B104" s="117" t="str">
        <f t="shared" si="13"/>
        <v>Exclusions Reported on State Page Exhibit</v>
      </c>
      <c r="C104" s="117"/>
      <c r="D104" s="37">
        <f>SUM(Exh1A!D104,Exh1B!D104,Exh1C!D104)</f>
        <v>0</v>
      </c>
      <c r="E104" s="37">
        <f>SUM(Exh1A!E104,Exh1B!E104,Exh1C!E104)</f>
        <v>0</v>
      </c>
      <c r="F104" s="37">
        <f>SUM(Exh1A!F104,Exh1B!F104,Exh1C!F104)</f>
        <v>0</v>
      </c>
      <c r="G104" s="480">
        <f>SUM(Exh1A!G104,Exh1B!G104,Exh1C!G104)</f>
        <v>0</v>
      </c>
      <c r="H104" s="480"/>
      <c r="I104" s="37">
        <f>SUM(Exh1A!I104,Exh1B!I104,Exh1C!I104)</f>
        <v>0</v>
      </c>
      <c r="J104" s="617">
        <f>SUM(Exh1A!J104,Exh1B!J104,Exh1C!J104)</f>
        <v>0</v>
      </c>
    </row>
    <row r="105" spans="1:10" ht="15.75" customHeight="1">
      <c r="A105" s="132" t="str">
        <f t="shared" si="13"/>
        <v>Item 3</v>
      </c>
      <c r="B105" s="117" t="str">
        <f t="shared" si="13"/>
        <v>Excess Profit Data [Item 1 -  Item 2]</v>
      </c>
      <c r="C105" s="117"/>
      <c r="D105" s="37">
        <f>SUM(Exh1A!D105,Exh1B!D105,Exh1C!D105)</f>
        <v>0</v>
      </c>
      <c r="E105" s="37">
        <f>SUM(Exh1A!E105,Exh1B!E105,Exh1C!E105)</f>
        <v>0</v>
      </c>
      <c r="F105" s="37">
        <f>SUM(Exh1A!F105,Exh1B!F105,Exh1C!F105)</f>
        <v>0</v>
      </c>
      <c r="G105" s="480">
        <f>SUM(Exh1A!G105,Exh1B!G105,Exh1C!G105)</f>
        <v>0</v>
      </c>
      <c r="H105" s="480"/>
      <c r="I105" s="37">
        <f>SUM(Exh1A!I105,Exh1B!I105,Exh1C!I105)</f>
        <v>0</v>
      </c>
      <c r="J105" s="618">
        <f>SUM(Exh1A!J105,Exh1B!J105,Exh1C!J105)</f>
        <v>0</v>
      </c>
    </row>
    <row r="106" spans="1:10" ht="15.75" customHeight="1">
      <c r="A106" s="132" t="str">
        <f t="shared" si="13"/>
        <v>Item 4</v>
      </c>
      <c r="B106" s="133" t="str">
        <f t="shared" si="13"/>
        <v>UCJF Assessments &amp; Excess Medical Benefits</v>
      </c>
      <c r="C106" s="117"/>
      <c r="D106" s="37">
        <f>SUM(Exh1A!D106,Exh1B!D106,Exh1C!D106)</f>
        <v>0</v>
      </c>
      <c r="E106" s="41">
        <f>SUM(Exh1A!E106,Exh1B!E106,Exh1C!E106)</f>
        <v>0</v>
      </c>
      <c r="F106" s="41">
        <f>SUM(Exh1A!F106,Exh1B!F106,Exh1C!F106)</f>
        <v>0</v>
      </c>
      <c r="G106" s="500">
        <f>SUM(Exh1A!G106,Exh1B!G106,Exh1C!G106)</f>
        <v>0</v>
      </c>
      <c r="H106" s="500"/>
      <c r="I106" s="37">
        <f>SUM(Exh1A!I106,Exh1B!I106,Exh1C!I106)</f>
        <v>0</v>
      </c>
      <c r="J106" s="38">
        <f>SUM(Exh1A!J106,Exh1B!J106,Exh1C!J106)</f>
        <v>0</v>
      </c>
    </row>
    <row r="107" spans="1:10" ht="15.75" customHeight="1">
      <c r="A107" s="629" t="s">
        <v>372</v>
      </c>
      <c r="B107" s="630"/>
      <c r="C107" s="630"/>
      <c r="D107" s="631">
        <f>D105-D106</f>
        <v>0</v>
      </c>
      <c r="E107" s="631">
        <f>E105-E106</f>
        <v>0</v>
      </c>
      <c r="F107" s="631">
        <f>F105-F106</f>
        <v>0</v>
      </c>
      <c r="G107" s="632">
        <f>G105-G106</f>
        <v>0</v>
      </c>
      <c r="H107" s="632"/>
      <c r="I107" s="631">
        <f>I105-I106</f>
        <v>0</v>
      </c>
      <c r="J107" s="633">
        <f>J105-J106</f>
        <v>0</v>
      </c>
    </row>
    <row r="108" spans="1:10" ht="15.75" customHeight="1">
      <c r="A108" s="132" t="str">
        <f>A96</f>
        <v>Item 5</v>
      </c>
      <c r="B108" s="117" t="str">
        <f>B96</f>
        <v>Refund of Excess Profit, included in Col (3)</v>
      </c>
      <c r="C108" s="117"/>
      <c r="D108" s="39" t="s">
        <v>0</v>
      </c>
      <c r="E108" s="39" t="s">
        <v>0</v>
      </c>
      <c r="F108" s="41">
        <f>InputTOTAL!$L$47</f>
        <v>0</v>
      </c>
      <c r="G108" s="479" t="s">
        <v>0</v>
      </c>
      <c r="H108" s="479"/>
      <c r="I108" s="39" t="s">
        <v>0</v>
      </c>
      <c r="J108" s="38">
        <f>SUM(Exh1A!J108,Exh1B!J108,Exh1C!J108)</f>
        <v>0</v>
      </c>
    </row>
    <row r="109" spans="1:10" ht="15.75" customHeight="1" thickBot="1">
      <c r="A109" s="134" t="str">
        <f>A97</f>
        <v>Item 6</v>
      </c>
      <c r="B109" s="129" t="str">
        <f>B97</f>
        <v>All Other Dividends, included in Col (3)</v>
      </c>
      <c r="C109" s="129"/>
      <c r="D109" s="276" t="s">
        <v>0</v>
      </c>
      <c r="E109" s="276" t="s">
        <v>0</v>
      </c>
      <c r="F109" s="84">
        <f>F107-F108</f>
        <v>0</v>
      </c>
      <c r="G109" s="572" t="s">
        <v>0</v>
      </c>
      <c r="H109" s="572"/>
      <c r="I109" s="276" t="s">
        <v>0</v>
      </c>
      <c r="J109" s="628">
        <f>SUM(Exh1A!J109,Exh1B!J109,Exh1C!J109)</f>
        <v>0</v>
      </c>
    </row>
    <row r="110" ht="15.75" customHeight="1" thickBot="1">
      <c r="G110" s="504"/>
    </row>
    <row r="111" spans="1:10" ht="15.75" customHeight="1">
      <c r="A111" s="112" t="str">
        <f>"Calendar Year "&amp;FIXED(ReportYear-9,0,TRUE)</f>
        <v>Calendar Year 2015</v>
      </c>
      <c r="B111" s="113"/>
      <c r="C111" s="622"/>
      <c r="D111" s="611" t="str">
        <f>Exh1B!$D$5</f>
        <v>Col (1)</v>
      </c>
      <c r="E111" s="611" t="str">
        <f>Exh1B!$E$5</f>
        <v>Col (2)</v>
      </c>
      <c r="F111" s="611" t="str">
        <f>Exh1B!$F$5</f>
        <v>Col (3)</v>
      </c>
      <c r="G111" s="612" t="str">
        <f>Exh1B!$G$5</f>
        <v>Col (4)</v>
      </c>
      <c r="H111" s="612"/>
      <c r="I111" s="611" t="str">
        <f>Exh1B!$I$5</f>
        <v>Col (5)</v>
      </c>
      <c r="J111" s="613" t="str">
        <f>Exh1B!$J$5</f>
        <v>Col (6)</v>
      </c>
    </row>
    <row r="112" spans="1:10" ht="15.75" customHeight="1">
      <c r="A112" s="131"/>
      <c r="B112" s="117"/>
      <c r="C112" s="114"/>
      <c r="D112" s="111" t="str">
        <f>Exh1B!$D$6</f>
        <v>Direct</v>
      </c>
      <c r="E112" s="115" t="str">
        <f>Exh1B!$E$6</f>
        <v>Direct</v>
      </c>
      <c r="F112" s="111" t="str">
        <f>Exh1B!$F$6</f>
        <v>Dividends</v>
      </c>
      <c r="G112" s="501" t="str">
        <f>Exh1B!$G$6</f>
        <v>Direct</v>
      </c>
      <c r="H112" s="610"/>
      <c r="I112" s="115" t="str">
        <f>Exh1B!$I$6</f>
        <v>Direct</v>
      </c>
      <c r="J112" s="614" t="str">
        <f>Exh1B!$J112</f>
        <v>Direct</v>
      </c>
    </row>
    <row r="113" spans="1:10" ht="15.75" customHeight="1">
      <c r="A113" s="131"/>
      <c r="B113" s="117"/>
      <c r="C113" s="114"/>
      <c r="D113" s="120" t="str">
        <f>Exh1B!$D$7</f>
        <v>Written</v>
      </c>
      <c r="E113" s="118" t="str">
        <f>Exh1B!$E$7</f>
        <v>Earned</v>
      </c>
      <c r="F113" s="119" t="str">
        <f>Exh1B!$F$7</f>
        <v>on Direct</v>
      </c>
      <c r="G113" s="498" t="str">
        <f>Exh1B!$G$7</f>
        <v>Unearned</v>
      </c>
      <c r="H113" s="498"/>
      <c r="I113" s="118" t="str">
        <f>Exh1B!$I$7</f>
        <v>Unpaid</v>
      </c>
      <c r="J113" s="614" t="str">
        <f>Exh1B!$J113</f>
        <v>Unpaid</v>
      </c>
    </row>
    <row r="114" spans="1:10" ht="15.75" customHeight="1">
      <c r="A114" s="131"/>
      <c r="B114" s="117"/>
      <c r="C114" s="117"/>
      <c r="D114" s="123" t="str">
        <f>Exh1B!$D$8</f>
        <v>Premium</v>
      </c>
      <c r="E114" s="123" t="str">
        <f>Exh1B!$E$8</f>
        <v>Premium</v>
      </c>
      <c r="F114" s="124" t="str">
        <f>Exh1B!$F$8</f>
        <v>Business</v>
      </c>
      <c r="G114" s="499" t="str">
        <f>Exh1B!$G$8</f>
        <v>Premium</v>
      </c>
      <c r="H114" s="499"/>
      <c r="I114" s="123" t="str">
        <f>Exh1B!$I$8</f>
        <v>Losses</v>
      </c>
      <c r="J114" s="615" t="str">
        <f>Exh1B!$J114</f>
        <v>D&amp;CCE</v>
      </c>
    </row>
    <row r="115" spans="1:10" ht="15.75" customHeight="1">
      <c r="A115" s="132" t="str">
        <f aca="true" t="shared" si="14" ref="A115:B118">A103</f>
        <v>Item 1</v>
      </c>
      <c r="B115" s="117" t="str">
        <f t="shared" si="14"/>
        <v>Total as Reported on State Page Exhibit</v>
      </c>
      <c r="C115" s="117"/>
      <c r="D115" s="37">
        <f>SUM(Exh1A!D115,Exh1B!D115,Exh1C!D115)</f>
        <v>0</v>
      </c>
      <c r="E115" s="37">
        <f>SUM(Exh1A!E115,Exh1B!E115,Exh1C!E115)</f>
        <v>0</v>
      </c>
      <c r="F115" s="37">
        <f>SUM(Exh1A!F115,Exh1B!F115,Exh1C!F115)</f>
        <v>0</v>
      </c>
      <c r="G115" s="480">
        <f>SUM(Exh1A!G115,Exh1B!G115,Exh1C!G115)</f>
        <v>0</v>
      </c>
      <c r="H115" s="480"/>
      <c r="I115" s="37">
        <f>SUM(Exh1A!I115,Exh1B!I115,Exh1C!I115)</f>
        <v>0</v>
      </c>
      <c r="J115" s="80">
        <f>SUM(Exh1A!J115,Exh1B!J115,Exh1C!J115)</f>
        <v>0</v>
      </c>
    </row>
    <row r="116" spans="1:10" ht="15.75" customHeight="1">
      <c r="A116" s="132" t="str">
        <f t="shared" si="14"/>
        <v>Item 2</v>
      </c>
      <c r="B116" s="117" t="str">
        <f t="shared" si="14"/>
        <v>Exclusions Reported on State Page Exhibit</v>
      </c>
      <c r="C116" s="117"/>
      <c r="D116" s="37">
        <f>SUM(Exh1A!D116,Exh1B!D116,Exh1C!D116)</f>
        <v>0</v>
      </c>
      <c r="E116" s="37">
        <f>SUM(Exh1A!E116,Exh1B!E116,Exh1C!E116)</f>
        <v>0</v>
      </c>
      <c r="F116" s="37">
        <f>SUM(Exh1A!F116,Exh1B!F116,Exh1C!F116)</f>
        <v>0</v>
      </c>
      <c r="G116" s="480">
        <f>SUM(Exh1A!G116,Exh1B!G116,Exh1C!G116)</f>
        <v>0</v>
      </c>
      <c r="H116" s="480"/>
      <c r="I116" s="37">
        <f>SUM(Exh1A!I116,Exh1B!I116,Exh1C!I116)</f>
        <v>0</v>
      </c>
      <c r="J116" s="617">
        <f>SUM(Exh1A!J116,Exh1B!J116,Exh1C!J116)</f>
        <v>0</v>
      </c>
    </row>
    <row r="117" spans="1:10" ht="15.75" customHeight="1">
      <c r="A117" s="132" t="str">
        <f t="shared" si="14"/>
        <v>Item 3</v>
      </c>
      <c r="B117" s="117" t="str">
        <f t="shared" si="14"/>
        <v>Excess Profit Data [Item 1 -  Item 2]</v>
      </c>
      <c r="C117" s="117"/>
      <c r="D117" s="37">
        <f>SUM(Exh1A!D117,Exh1B!D117,Exh1C!D117)</f>
        <v>0</v>
      </c>
      <c r="E117" s="37">
        <f>SUM(Exh1A!E117,Exh1B!E117,Exh1C!E117)</f>
        <v>0</v>
      </c>
      <c r="F117" s="37">
        <f>SUM(Exh1A!F117,Exh1B!F117,Exh1C!F117)</f>
        <v>0</v>
      </c>
      <c r="G117" s="480">
        <f>SUM(Exh1A!G117,Exh1B!G117,Exh1C!G117)</f>
        <v>0</v>
      </c>
      <c r="H117" s="480"/>
      <c r="I117" s="37">
        <f>SUM(Exh1A!I117,Exh1B!I117,Exh1C!I117)</f>
        <v>0</v>
      </c>
      <c r="J117" s="618">
        <f>SUM(Exh1A!J117,Exh1B!J117,Exh1C!J117)</f>
        <v>0</v>
      </c>
    </row>
    <row r="118" spans="1:10" ht="15.75" customHeight="1">
      <c r="A118" s="132" t="str">
        <f t="shared" si="14"/>
        <v>Item 4</v>
      </c>
      <c r="B118" s="133" t="str">
        <f t="shared" si="14"/>
        <v>UCJF Assessments &amp; Excess Medical Benefits</v>
      </c>
      <c r="C118" s="117"/>
      <c r="D118" s="37">
        <f>SUM(Exh1A!D118,Exh1B!D118,Exh1C!D118)</f>
        <v>0</v>
      </c>
      <c r="E118" s="41">
        <f>SUM(Exh1A!E118,Exh1B!E118,Exh1C!E118)</f>
        <v>0</v>
      </c>
      <c r="F118" s="41">
        <f>SUM(Exh1A!F118,Exh1B!F118,Exh1C!F118)</f>
        <v>0</v>
      </c>
      <c r="G118" s="500">
        <f>SUM(Exh1A!G118,Exh1B!G118,Exh1C!G118)</f>
        <v>0</v>
      </c>
      <c r="H118" s="500"/>
      <c r="I118" s="37">
        <f>SUM(Exh1A!I118,Exh1B!I118,Exh1C!I118)</f>
        <v>0</v>
      </c>
      <c r="J118" s="38">
        <f>SUM(Exh1A!J118,Exh1B!J118,Exh1C!J118)</f>
        <v>0</v>
      </c>
    </row>
    <row r="119" spans="1:10" ht="15.75" customHeight="1">
      <c r="A119" s="629" t="s">
        <v>372</v>
      </c>
      <c r="B119" s="630"/>
      <c r="C119" s="630"/>
      <c r="D119" s="631">
        <f>D117-D118</f>
        <v>0</v>
      </c>
      <c r="E119" s="631">
        <f>E117-E118</f>
        <v>0</v>
      </c>
      <c r="F119" s="631">
        <f>F117-F118</f>
        <v>0</v>
      </c>
      <c r="G119" s="632">
        <f>G117-G118</f>
        <v>0</v>
      </c>
      <c r="H119" s="632"/>
      <c r="I119" s="631">
        <f>I117-I118</f>
        <v>0</v>
      </c>
      <c r="J119" s="633">
        <f>J117-J118</f>
        <v>0</v>
      </c>
    </row>
    <row r="120" spans="1:10" ht="15.75" customHeight="1">
      <c r="A120" s="132" t="str">
        <f>A108</f>
        <v>Item 5</v>
      </c>
      <c r="B120" s="117" t="str">
        <f>B108</f>
        <v>Refund of Excess Profit, included in Col (3)</v>
      </c>
      <c r="C120" s="117"/>
      <c r="D120" s="39" t="s">
        <v>0</v>
      </c>
      <c r="E120" s="39" t="s">
        <v>0</v>
      </c>
      <c r="F120" s="41">
        <f>InputTOTAL!$M$47</f>
        <v>0</v>
      </c>
      <c r="G120" s="479" t="s">
        <v>0</v>
      </c>
      <c r="H120" s="479"/>
      <c r="I120" s="39" t="s">
        <v>0</v>
      </c>
      <c r="J120" s="38">
        <f>SUM(Exh1A!J120,Exh1B!J120,Exh1C!J120)</f>
        <v>0</v>
      </c>
    </row>
    <row r="121" spans="1:10" ht="15.75" customHeight="1" thickBot="1">
      <c r="A121" s="134" t="str">
        <f>A109</f>
        <v>Item 6</v>
      </c>
      <c r="B121" s="129" t="str">
        <f>B109</f>
        <v>All Other Dividends, included in Col (3)</v>
      </c>
      <c r="C121" s="129"/>
      <c r="D121" s="276" t="s">
        <v>0</v>
      </c>
      <c r="E121" s="276" t="s">
        <v>0</v>
      </c>
      <c r="F121" s="84">
        <f>F119-F120</f>
        <v>0</v>
      </c>
      <c r="G121" s="572" t="s">
        <v>0</v>
      </c>
      <c r="H121" s="572"/>
      <c r="I121" s="276" t="s">
        <v>0</v>
      </c>
      <c r="J121" s="628">
        <f>SUM(Exh1A!J121,Exh1B!J121,Exh1C!J121)</f>
        <v>0</v>
      </c>
    </row>
    <row r="122" ht="15.75" customHeight="1">
      <c r="G122" s="504"/>
    </row>
    <row r="123" ht="15.75" customHeight="1">
      <c r="G123" s="504"/>
    </row>
    <row r="124" ht="15.75" customHeight="1">
      <c r="G124" s="504"/>
    </row>
    <row r="125" ht="15.75" customHeight="1">
      <c r="G125" s="504"/>
    </row>
    <row r="126" ht="15.75" customHeight="1">
      <c r="G126" s="504"/>
    </row>
    <row r="127" ht="15.75" customHeight="1">
      <c r="G127" s="504"/>
    </row>
    <row r="128" ht="15.75" customHeight="1">
      <c r="G128" s="504"/>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Banking &amp;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PPA Excess Profit Spreadsheet - 2004 Version</dc:title>
  <dc:subject>PPA</dc:subject>
  <dc:creator>NJ Department of Banking &amp; Insurance</dc:creator>
  <cp:keywords/>
  <dc:description/>
  <cp:lastModifiedBy>McKeever, Lucy</cp:lastModifiedBy>
  <cp:lastPrinted>2020-03-13T14:31:20Z</cp:lastPrinted>
  <dcterms:created xsi:type="dcterms:W3CDTF">2000-09-20T18:08:24Z</dcterms:created>
  <dcterms:modified xsi:type="dcterms:W3CDTF">2024-06-07T15:17:24Z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{4228E8DA-F01D-43AD-865A-DE5584F8F8F5}</vt:lpwstr>
  </property>
</Properties>
</file>